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4_low_aquifer_thickness/"/>
    </mc:Choice>
  </mc:AlternateContent>
  <xr:revisionPtr revIDLastSave="0" documentId="8_{EF4ACB3D-40CF-4D3E-BA5E-3F08D63E7F44}" xr6:coauthVersionLast="47" xr6:coauthVersionMax="47" xr10:uidLastSave="{00000000-0000-0000-0000-000000000000}"/>
  <bookViews>
    <workbookView xWindow="1575" yWindow="465" windowWidth="18915" windowHeight="9960" xr2:uid="{8D8A98B7-8196-44A6-B437-6C777C9CE614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05" i="1" l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<sst xmlns="http://schemas.openxmlformats.org/spreadsheetml/2006/main" count="15" uniqueCount="15">
  <si>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MODEL\SCENARIOS\2022\S14_low_aquifer_thickness\S14_low_aquifer_thickness.sr3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</si>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</sst>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4A7EE2-C693-4D76-AB4C-B80C9D845F52}" name="Table1" displayName="Table1" ref="A3:N2705" totalsRowShown="0">
  <autoFilter ref="A3:N2705" xr:uid="{274A7EE2-C693-4D76-AB4C-B80C9D845F52}"/>
  <tableColumns count="14">
    <tableColumn id="1" xr3:uid="{0A91C6DF-48F6-48BA-81CE-937D53442990}" name="Time (day)"/>
    <tableColumn id="2" xr3:uid="{BFA6B1BA-7640-4457-9BA9-4ADC84B9AA71}" name="Date" dataDxfId="0"/>
    <tableColumn id="3" xr3:uid="{DAF4788B-CB55-43E1-9705-7915AAF90433}" name="Hot well INJ-Well bottom hole temperature (C)"/>
    <tableColumn id="4" xr3:uid="{09F04C0B-5A38-4E91-A5BC-9D663FA025CC}" name="Hot well PROD-Well bottom hole temperature (C)"/>
    <tableColumn id="5" xr3:uid="{14EB4694-F194-479C-9AEC-9A34FD6EB2AF}" name="Warm well INJ-Well bottom hole temperature (C)"/>
    <tableColumn id="6" xr3:uid="{8E2A63AB-C91D-461A-AF47-9F12FBFFE3AB}" name="Warm well PROD-Well bottom hole temperature (C)"/>
    <tableColumn id="7" xr3:uid="{7955E94C-7B44-471E-81AE-D21E11D8217E}" name="Hot well INJ-Well Bottom-hole Pressure (kPa)"/>
    <tableColumn id="8" xr3:uid="{3DF1B276-09AF-4F0D-989C-08304BD5A238}" name="Hot well PROD-Well Bottom-hole Pressure (kPa)"/>
    <tableColumn id="9" xr3:uid="{3D758C0C-4A19-474F-86CC-D6E78981F8B2}" name="Warm well INJ-Well Bottom-hole Pressure (kPa)"/>
    <tableColumn id="10" xr3:uid="{0909A85E-5314-4A6D-B1B9-F0580BF0A1C5}" name="Warm well PROD-Well Bottom-hole Pressure (kPa)"/>
    <tableColumn id="11" xr3:uid="{10C71DB2-D689-4BC7-B4E8-20522DB510CA}" name="Hot well INJ-Fluid Rate SC (m³/day)"/>
    <tableColumn id="12" xr3:uid="{F5CDD87E-64AB-4AF0-9E8A-F6D30C7E18B4}" name="Hot well PROD-Fluid Rate SC (m³/day)"/>
    <tableColumn id="13" xr3:uid="{5BD63FFA-2AFC-4E28-9056-4D4AD3472BF4}" name="Warm well INJ-Fluid Rate SC (m³/day)"/>
    <tableColumn id="14" xr3:uid="{F4E86D8E-53D7-4514-913F-91C1C2026024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74A0-12E5-43C4-851B-2BDB33F44858}">
  <dimension ref="A1:N270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15.000296593</v>
      </c>
      <c r="E4">
        <v>50</v>
      </c>
      <c r="F4">
        <v>14.999887466000001</v>
      </c>
      <c r="G4">
        <v>1429.0816649999999</v>
      </c>
      <c r="H4">
        <v>1330.5078125</v>
      </c>
      <c r="I4">
        <v>1328.3162841999999</v>
      </c>
      <c r="J4">
        <v>1229.7412108999999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15.001165390000001</v>
      </c>
      <c r="E5">
        <v>50</v>
      </c>
      <c r="F5">
        <v>14.999569893</v>
      </c>
      <c r="G5">
        <v>1432.1846923999999</v>
      </c>
      <c r="H5">
        <v>1333.6131591999999</v>
      </c>
      <c r="I5">
        <v>1325.2246094</v>
      </c>
      <c r="J5">
        <v>1226.6485596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15.003632545</v>
      </c>
      <c r="E6">
        <v>50</v>
      </c>
      <c r="F6">
        <v>14.998756409</v>
      </c>
      <c r="G6">
        <v>1440.1186522999999</v>
      </c>
      <c r="H6">
        <v>1341.5537108999999</v>
      </c>
      <c r="I6">
        <v>1317.3184814000001</v>
      </c>
      <c r="J6">
        <v>1218.7398682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15.010270118999999</v>
      </c>
      <c r="E7">
        <v>50</v>
      </c>
      <c r="F7">
        <v>14.997077942000001</v>
      </c>
      <c r="G7">
        <v>1456.5006103999999</v>
      </c>
      <c r="H7">
        <v>1357.9534911999999</v>
      </c>
      <c r="I7">
        <v>1300.9891356999999</v>
      </c>
      <c r="J7">
        <v>1202.4052733999999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15.027652740000001</v>
      </c>
      <c r="E8">
        <v>50</v>
      </c>
      <c r="F8">
        <v>14.994556426999999</v>
      </c>
      <c r="G8">
        <v>1481.0858154</v>
      </c>
      <c r="H8">
        <v>1382.5847168</v>
      </c>
      <c r="I8">
        <v>1276.4536132999999</v>
      </c>
      <c r="J8">
        <v>1177.8621826000001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15.075037003</v>
      </c>
      <c r="E9">
        <v>50</v>
      </c>
      <c r="F9">
        <v>14.991699218999999</v>
      </c>
      <c r="G9">
        <v>1508.8698730000001</v>
      </c>
      <c r="H9">
        <v>1410.4929199000001</v>
      </c>
      <c r="I9">
        <v>1248.6085204999999</v>
      </c>
      <c r="J9">
        <v>1150.0084228999999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15.211194991999999</v>
      </c>
      <c r="E10">
        <v>50</v>
      </c>
      <c r="F10">
        <v>14.98882103</v>
      </c>
      <c r="G10">
        <v>1536.5930175999999</v>
      </c>
      <c r="H10">
        <v>1438.5692139</v>
      </c>
      <c r="I10">
        <v>1220.4372559000001</v>
      </c>
      <c r="J10">
        <v>1121.8286132999999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15.611474037000001</v>
      </c>
      <c r="E11">
        <v>50</v>
      </c>
      <c r="F11">
        <v>14.985980988</v>
      </c>
      <c r="G11">
        <v>1563.2066649999999</v>
      </c>
      <c r="H11">
        <v>1466.2067870999999</v>
      </c>
      <c r="I11">
        <v>1192.3077393000001</v>
      </c>
      <c r="J11">
        <v>1093.6906738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8.744E-3</v>
      </c>
      <c r="B12" s="1">
        <f>DATE(2010,5,1) + TIME(0,12,35)</f>
        <v>40299.008738425924</v>
      </c>
      <c r="C12">
        <v>80</v>
      </c>
      <c r="D12">
        <v>16.593585967999999</v>
      </c>
      <c r="E12">
        <v>50</v>
      </c>
      <c r="F12">
        <v>14.983492850999999</v>
      </c>
      <c r="G12">
        <v>1584.9688721</v>
      </c>
      <c r="H12">
        <v>1490.40625</v>
      </c>
      <c r="I12">
        <v>1166.8970947</v>
      </c>
      <c r="J12">
        <v>1068.2725829999999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1.4307E-2</v>
      </c>
      <c r="B13" s="1">
        <f>DATE(2010,5,1) + TIME(0,20,36)</f>
        <v>40299.014305555553</v>
      </c>
      <c r="C13">
        <v>80</v>
      </c>
      <c r="D13">
        <v>17.578813553</v>
      </c>
      <c r="E13">
        <v>50</v>
      </c>
      <c r="F13">
        <v>14.982175827000001</v>
      </c>
      <c r="G13">
        <v>1595.3094481999999</v>
      </c>
      <c r="H13">
        <v>1503.0886230000001</v>
      </c>
      <c r="I13">
        <v>1153.0423584</v>
      </c>
      <c r="J13">
        <v>1054.4139404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1.9954E-2</v>
      </c>
      <c r="B14" s="1">
        <f>DATE(2010,5,1) + TIME(0,28,43)</f>
        <v>40299.019942129627</v>
      </c>
      <c r="C14">
        <v>80</v>
      </c>
      <c r="D14">
        <v>18.564676285000001</v>
      </c>
      <c r="E14">
        <v>50</v>
      </c>
      <c r="F14">
        <v>14.981342315999999</v>
      </c>
      <c r="G14">
        <v>1601.0168457</v>
      </c>
      <c r="H14">
        <v>1511.0449219</v>
      </c>
      <c r="I14">
        <v>1143.9736327999999</v>
      </c>
      <c r="J14">
        <v>1045.3426514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2.5680999999999999E-2</v>
      </c>
      <c r="B15" s="1">
        <f>DATE(2010,5,1) + TIME(0,36,58)</f>
        <v>40299.025671296295</v>
      </c>
      <c r="C15">
        <v>80</v>
      </c>
      <c r="D15">
        <v>19.550481796</v>
      </c>
      <c r="E15">
        <v>50</v>
      </c>
      <c r="F15">
        <v>14.980768204</v>
      </c>
      <c r="G15">
        <v>1604.3067627</v>
      </c>
      <c r="H15">
        <v>1516.4938964999999</v>
      </c>
      <c r="I15">
        <v>1137.4757079999999</v>
      </c>
      <c r="J15">
        <v>1038.8430175999999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3.1490999999999998E-2</v>
      </c>
      <c r="B16" s="1">
        <f>DATE(2010,5,1) + TIME(0,45,20)</f>
        <v>40299.031481481485</v>
      </c>
      <c r="C16">
        <v>80</v>
      </c>
      <c r="D16">
        <v>20.536565781</v>
      </c>
      <c r="E16">
        <v>50</v>
      </c>
      <c r="F16">
        <v>14.980358124</v>
      </c>
      <c r="G16">
        <v>1606.1275635</v>
      </c>
      <c r="H16">
        <v>1520.3896483999999</v>
      </c>
      <c r="I16">
        <v>1132.5958252</v>
      </c>
      <c r="J16">
        <v>1033.9617920000001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3.7383E-2</v>
      </c>
      <c r="B17" s="1">
        <f>DATE(2010,5,1) + TIME(0,53,49)</f>
        <v>40299.037372685183</v>
      </c>
      <c r="C17">
        <v>80</v>
      </c>
      <c r="D17">
        <v>21.522338866999998</v>
      </c>
      <c r="E17">
        <v>50</v>
      </c>
      <c r="F17">
        <v>14.980060577</v>
      </c>
      <c r="G17">
        <v>1606.9686279</v>
      </c>
      <c r="H17">
        <v>1523.2246094</v>
      </c>
      <c r="I17">
        <v>1128.8386230000001</v>
      </c>
      <c r="J17">
        <v>1030.2037353999999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4.3360000000000003E-2</v>
      </c>
      <c r="B18" s="1">
        <f>DATE(2010,5,1) + TIME(1,2,26)</f>
        <v>40299.043356481481</v>
      </c>
      <c r="C18">
        <v>80</v>
      </c>
      <c r="D18">
        <v>22.507442474000001</v>
      </c>
      <c r="E18">
        <v>50</v>
      </c>
      <c r="F18">
        <v>14.979846953999999</v>
      </c>
      <c r="G18">
        <v>1607.1187743999999</v>
      </c>
      <c r="H18">
        <v>1525.2912598</v>
      </c>
      <c r="I18">
        <v>1125.9060059000001</v>
      </c>
      <c r="J18">
        <v>1027.2703856999999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4.9428E-2</v>
      </c>
      <c r="B19" s="1">
        <f>DATE(2010,5,1) + TIME(1,11,10)</f>
        <v>40299.049421296295</v>
      </c>
      <c r="C19">
        <v>80</v>
      </c>
      <c r="D19">
        <v>23.492242813000001</v>
      </c>
      <c r="E19">
        <v>50</v>
      </c>
      <c r="F19">
        <v>14.979696274</v>
      </c>
      <c r="G19">
        <v>1606.7633057</v>
      </c>
      <c r="H19">
        <v>1526.7794189000001</v>
      </c>
      <c r="I19">
        <v>1123.6000977000001</v>
      </c>
      <c r="J19">
        <v>1024.9639893000001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5.5589E-2</v>
      </c>
      <c r="B20" s="1">
        <f>DATE(2010,5,1) + TIME(1,20,2)</f>
        <v>40299.055578703701</v>
      </c>
      <c r="C20">
        <v>80</v>
      </c>
      <c r="D20">
        <v>24.476726532000001</v>
      </c>
      <c r="E20">
        <v>50</v>
      </c>
      <c r="F20">
        <v>14.979595184000001</v>
      </c>
      <c r="G20">
        <v>1606.0302733999999</v>
      </c>
      <c r="H20">
        <v>1527.8208007999999</v>
      </c>
      <c r="I20">
        <v>1121.7821045000001</v>
      </c>
      <c r="J20">
        <v>1023.1455688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6.1846999999999999E-2</v>
      </c>
      <c r="B21" s="1">
        <f>DATE(2010,5,1) + TIME(1,29,3)</f>
        <v>40299.061840277776</v>
      </c>
      <c r="C21">
        <v>80</v>
      </c>
      <c r="D21">
        <v>25.461193085000001</v>
      </c>
      <c r="E21">
        <v>50</v>
      </c>
      <c r="F21">
        <v>14.979533195</v>
      </c>
      <c r="G21">
        <v>1605.0119629000001</v>
      </c>
      <c r="H21">
        <v>1528.5117187999999</v>
      </c>
      <c r="I21">
        <v>1120.3482666</v>
      </c>
      <c r="J21">
        <v>1021.7116089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6.8204000000000001E-2</v>
      </c>
      <c r="B22" s="1">
        <f>DATE(2010,5,1) + TIME(1,38,12)</f>
        <v>40299.068194444444</v>
      </c>
      <c r="C22">
        <v>80</v>
      </c>
      <c r="D22">
        <v>26.445373535000002</v>
      </c>
      <c r="E22">
        <v>50</v>
      </c>
      <c r="F22">
        <v>14.979501724</v>
      </c>
      <c r="G22">
        <v>1603.7783202999999</v>
      </c>
      <c r="H22">
        <v>1528.9248047000001</v>
      </c>
      <c r="I22">
        <v>1119.2197266000001</v>
      </c>
      <c r="J22">
        <v>1020.5829467999999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7.4662999999999993E-2</v>
      </c>
      <c r="B23" s="1">
        <f>DATE(2010,5,1) + TIME(1,47,30)</f>
        <v>40299.074652777781</v>
      </c>
      <c r="C23">
        <v>80</v>
      </c>
      <c r="D23">
        <v>27.428861617999999</v>
      </c>
      <c r="E23">
        <v>50</v>
      </c>
      <c r="F23">
        <v>14.979495049000001</v>
      </c>
      <c r="G23">
        <v>1602.3840332</v>
      </c>
      <c r="H23">
        <v>1529.1170654</v>
      </c>
      <c r="I23">
        <v>1118.3342285000001</v>
      </c>
      <c r="J23">
        <v>1019.6973267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8.1230999999999998E-2</v>
      </c>
      <c r="B24" s="1">
        <f>DATE(2010,5,1) + TIME(1,56,58)</f>
        <v>40299.081226851849</v>
      </c>
      <c r="C24">
        <v>80</v>
      </c>
      <c r="D24">
        <v>28.411985396999999</v>
      </c>
      <c r="E24">
        <v>50</v>
      </c>
      <c r="F24">
        <v>14.9795084</v>
      </c>
      <c r="G24">
        <v>1600.8710937999999</v>
      </c>
      <c r="H24">
        <v>1529.1340332</v>
      </c>
      <c r="I24">
        <v>1117.6417236</v>
      </c>
      <c r="J24">
        <v>1019.0049438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8.7911000000000003E-2</v>
      </c>
      <c r="B25" s="1">
        <f>DATE(2010,5,1) + TIME(2,6,35)</f>
        <v>40299.087905092594</v>
      </c>
      <c r="C25">
        <v>80</v>
      </c>
      <c r="D25">
        <v>29.394731522000001</v>
      </c>
      <c r="E25">
        <v>50</v>
      </c>
      <c r="F25">
        <v>14.979536057000001</v>
      </c>
      <c r="G25">
        <v>1599.2728271000001</v>
      </c>
      <c r="H25">
        <v>1529.0115966999999</v>
      </c>
      <c r="I25">
        <v>1117.1032714999999</v>
      </c>
      <c r="J25">
        <v>1018.4664307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9.4709000000000002E-2</v>
      </c>
      <c r="B26" s="1">
        <f>DATE(2010,5,1) + TIME(2,16,22)</f>
        <v>40299.094699074078</v>
      </c>
      <c r="C26">
        <v>80</v>
      </c>
      <c r="D26">
        <v>30.377172470000001</v>
      </c>
      <c r="E26">
        <v>50</v>
      </c>
      <c r="F26">
        <v>14.979577065000001</v>
      </c>
      <c r="G26">
        <v>1597.6154785000001</v>
      </c>
      <c r="H26">
        <v>1528.7788086</v>
      </c>
      <c r="I26">
        <v>1116.6868896000001</v>
      </c>
      <c r="J26">
        <v>1018.0501099000001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0.101628</v>
      </c>
      <c r="B27" s="1">
        <f>DATE(2010,5,1) + TIME(2,26,20)</f>
        <v>40299.101620370369</v>
      </c>
      <c r="C27">
        <v>80</v>
      </c>
      <c r="D27">
        <v>31.359268188000001</v>
      </c>
      <c r="E27">
        <v>50</v>
      </c>
      <c r="F27">
        <v>14.979627609</v>
      </c>
      <c r="G27">
        <v>1595.9201660000001</v>
      </c>
      <c r="H27">
        <v>1528.4589844</v>
      </c>
      <c r="I27">
        <v>1116.3671875</v>
      </c>
      <c r="J27">
        <v>1017.7306519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0.10867300000000001</v>
      </c>
      <c r="B28" s="1">
        <f>DATE(2010,5,1) + TIME(2,36,29)</f>
        <v>40299.108668981484</v>
      </c>
      <c r="C28">
        <v>80</v>
      </c>
      <c r="D28">
        <v>32.340812683000003</v>
      </c>
      <c r="E28">
        <v>50</v>
      </c>
      <c r="F28">
        <v>14.979686737</v>
      </c>
      <c r="G28">
        <v>1594.2037353999999</v>
      </c>
      <c r="H28">
        <v>1528.0710449000001</v>
      </c>
      <c r="I28">
        <v>1116.1240233999999</v>
      </c>
      <c r="J28">
        <v>1017.4875488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0.115851</v>
      </c>
      <c r="B29" s="1">
        <f>DATE(2010,5,1) + TIME(2,46,49)</f>
        <v>40299.115844907406</v>
      </c>
      <c r="C29">
        <v>80</v>
      </c>
      <c r="D29">
        <v>33.321926116999997</v>
      </c>
      <c r="E29">
        <v>50</v>
      </c>
      <c r="F29">
        <v>14.979751587000001</v>
      </c>
      <c r="G29">
        <v>1592.4793701000001</v>
      </c>
      <c r="H29">
        <v>1527.630249</v>
      </c>
      <c r="I29">
        <v>1115.9406738</v>
      </c>
      <c r="J29">
        <v>1017.3043213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0.123167</v>
      </c>
      <c r="B30" s="1">
        <f>DATE(2010,5,1) + TIME(2,57,21)</f>
        <v>40299.123159722221</v>
      </c>
      <c r="C30">
        <v>80</v>
      </c>
      <c r="D30">
        <v>34.302589417</v>
      </c>
      <c r="E30">
        <v>50</v>
      </c>
      <c r="F30">
        <v>14.979821205</v>
      </c>
      <c r="G30">
        <v>1590.7570800999999</v>
      </c>
      <c r="H30">
        <v>1527.1489257999999</v>
      </c>
      <c r="I30">
        <v>1115.8040771000001</v>
      </c>
      <c r="J30">
        <v>1017.1679688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0.13062699999999999</v>
      </c>
      <c r="B31" s="1">
        <f>DATE(2010,5,1) + TIME(3,8,6)</f>
        <v>40299.130624999998</v>
      </c>
      <c r="C31">
        <v>80</v>
      </c>
      <c r="D31">
        <v>35.282787323000001</v>
      </c>
      <c r="E31">
        <v>50</v>
      </c>
      <c r="F31">
        <v>14.979894637999999</v>
      </c>
      <c r="G31">
        <v>1589.0451660000001</v>
      </c>
      <c r="H31">
        <v>1526.6369629000001</v>
      </c>
      <c r="I31">
        <v>1115.7038574000001</v>
      </c>
      <c r="J31">
        <v>1017.0678711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0.138238</v>
      </c>
      <c r="B32" s="1">
        <f>DATE(2010,5,1) + TIME(3,19,3)</f>
        <v>40299.138229166667</v>
      </c>
      <c r="C32">
        <v>80</v>
      </c>
      <c r="D32">
        <v>36.262500762999998</v>
      </c>
      <c r="E32">
        <v>50</v>
      </c>
      <c r="F32">
        <v>14.979970932000001</v>
      </c>
      <c r="G32">
        <v>1587.3494873</v>
      </c>
      <c r="H32">
        <v>1526.1021728999999</v>
      </c>
      <c r="I32">
        <v>1115.6314697</v>
      </c>
      <c r="J32">
        <v>1016.9957886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0.146006</v>
      </c>
      <c r="B33" s="1">
        <f>DATE(2010,5,1) + TIME(3,30,14)</f>
        <v>40299.145995370367</v>
      </c>
      <c r="C33">
        <v>80</v>
      </c>
      <c r="D33">
        <v>37.241714477999999</v>
      </c>
      <c r="E33">
        <v>50</v>
      </c>
      <c r="F33">
        <v>14.980050087</v>
      </c>
      <c r="G33">
        <v>1585.6746826000001</v>
      </c>
      <c r="H33">
        <v>1525.5509033000001</v>
      </c>
      <c r="I33">
        <v>1115.5805664</v>
      </c>
      <c r="J33">
        <v>1016.9450073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0.15393999999999999</v>
      </c>
      <c r="B34" s="1">
        <f>DATE(2010,5,1) + TIME(3,41,40)</f>
        <v>40299.153935185182</v>
      </c>
      <c r="C34">
        <v>80</v>
      </c>
      <c r="D34">
        <v>38.220401764000002</v>
      </c>
      <c r="E34">
        <v>50</v>
      </c>
      <c r="F34">
        <v>14.980131149</v>
      </c>
      <c r="G34">
        <v>1584.0241699000001</v>
      </c>
      <c r="H34">
        <v>1524.9880370999999</v>
      </c>
      <c r="I34">
        <v>1115.5457764</v>
      </c>
      <c r="J34">
        <v>1016.9104614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0.162046</v>
      </c>
      <c r="B35" s="1">
        <f>DATE(2010,5,1) + TIME(3,53,20)</f>
        <v>40299.162037037036</v>
      </c>
      <c r="C35">
        <v>80</v>
      </c>
      <c r="D35">
        <v>39.198543549</v>
      </c>
      <c r="E35">
        <v>50</v>
      </c>
      <c r="F35">
        <v>14.980214118999999</v>
      </c>
      <c r="G35">
        <v>1582.4002685999999</v>
      </c>
      <c r="H35">
        <v>1524.4174805</v>
      </c>
      <c r="I35">
        <v>1115.5230713000001</v>
      </c>
      <c r="J35">
        <v>1016.8880005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0.17033300000000001</v>
      </c>
      <c r="B36" s="1">
        <f>DATE(2010,5,1) + TIME(4,5,16)</f>
        <v>40299.170324074075</v>
      </c>
      <c r="C36">
        <v>80</v>
      </c>
      <c r="D36">
        <v>40.176158905000001</v>
      </c>
      <c r="E36">
        <v>50</v>
      </c>
      <c r="F36">
        <v>14.980298041999999</v>
      </c>
      <c r="G36">
        <v>1580.8045654</v>
      </c>
      <c r="H36">
        <v>1523.8421631000001</v>
      </c>
      <c r="I36">
        <v>1115.5092772999999</v>
      </c>
      <c r="J36">
        <v>1016.8743896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0.17881</v>
      </c>
      <c r="B37" s="1">
        <f>DATE(2010,5,1) + TIME(4,17,29)</f>
        <v>40299.178807870368</v>
      </c>
      <c r="C37">
        <v>80</v>
      </c>
      <c r="D37">
        <v>41.153327941999997</v>
      </c>
      <c r="E37">
        <v>50</v>
      </c>
      <c r="F37">
        <v>14.980381965999999</v>
      </c>
      <c r="G37">
        <v>1579.237793</v>
      </c>
      <c r="H37">
        <v>1523.2644043</v>
      </c>
      <c r="I37">
        <v>1115.5019531</v>
      </c>
      <c r="J37">
        <v>1016.8673096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0.18748500000000001</v>
      </c>
      <c r="B38" s="1">
        <f>DATE(2010,5,1) + TIME(4,29,58)</f>
        <v>40299.187476851854</v>
      </c>
      <c r="C38">
        <v>80</v>
      </c>
      <c r="D38">
        <v>42.129699707</v>
      </c>
      <c r="E38">
        <v>50</v>
      </c>
      <c r="F38">
        <v>14.980467795999999</v>
      </c>
      <c r="G38">
        <v>1577.7008057</v>
      </c>
      <c r="H38">
        <v>1522.6860352000001</v>
      </c>
      <c r="I38">
        <v>1115.4992675999999</v>
      </c>
      <c r="J38">
        <v>1016.8648071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0.19636999999999999</v>
      </c>
      <c r="B39" s="1">
        <f>DATE(2010,5,1) + TIME(4,42,46)</f>
        <v>40299.19636574074</v>
      </c>
      <c r="C39">
        <v>80</v>
      </c>
      <c r="D39">
        <v>43.105422974</v>
      </c>
      <c r="E39">
        <v>50</v>
      </c>
      <c r="F39">
        <v>14.980553627000001</v>
      </c>
      <c r="G39">
        <v>1576.1933594</v>
      </c>
      <c r="H39">
        <v>1522.1081543</v>
      </c>
      <c r="I39">
        <v>1115.4996338000001</v>
      </c>
      <c r="J39">
        <v>1016.8654785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0.20547599999999999</v>
      </c>
      <c r="B40" s="1">
        <f>DATE(2010,5,1) + TIME(4,55,53)</f>
        <v>40299.205474537041</v>
      </c>
      <c r="C40">
        <v>80</v>
      </c>
      <c r="D40">
        <v>44.080459595000001</v>
      </c>
      <c r="E40">
        <v>50</v>
      </c>
      <c r="F40">
        <v>14.980640411</v>
      </c>
      <c r="G40">
        <v>1574.715332</v>
      </c>
      <c r="H40">
        <v>1521.5317382999999</v>
      </c>
      <c r="I40">
        <v>1115.5021973</v>
      </c>
      <c r="J40">
        <v>1016.8681640999999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0.21481500000000001</v>
      </c>
      <c r="B41" s="1">
        <f>DATE(2010,5,1) + TIME(5,9,20)</f>
        <v>40299.214814814812</v>
      </c>
      <c r="C41">
        <v>80</v>
      </c>
      <c r="D41">
        <v>45.054786682</v>
      </c>
      <c r="E41">
        <v>50</v>
      </c>
      <c r="F41">
        <v>14.980728149000001</v>
      </c>
      <c r="G41">
        <v>1573.2659911999999</v>
      </c>
      <c r="H41">
        <v>1520.9572754000001</v>
      </c>
      <c r="I41">
        <v>1115.5059814000001</v>
      </c>
      <c r="J41">
        <v>1016.8721924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0.22440099999999999</v>
      </c>
      <c r="B42" s="1">
        <f>DATE(2010,5,1) + TIME(5,23,8)</f>
        <v>40299.224398148152</v>
      </c>
      <c r="C42">
        <v>80</v>
      </c>
      <c r="D42">
        <v>46.028358459000003</v>
      </c>
      <c r="E42">
        <v>50</v>
      </c>
      <c r="F42">
        <v>14.980815887</v>
      </c>
      <c r="G42">
        <v>1571.8448486</v>
      </c>
      <c r="H42">
        <v>1520.3851318</v>
      </c>
      <c r="I42">
        <v>1115.5104980000001</v>
      </c>
      <c r="J42">
        <v>1016.8768921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0.23424600000000001</v>
      </c>
      <c r="B43" s="1">
        <f>DATE(2010,5,1) + TIME(5,37,18)</f>
        <v>40299.234236111108</v>
      </c>
      <c r="C43">
        <v>80</v>
      </c>
      <c r="D43">
        <v>47.001136780000003</v>
      </c>
      <c r="E43">
        <v>50</v>
      </c>
      <c r="F43">
        <v>14.980904579000001</v>
      </c>
      <c r="G43">
        <v>1570.4510498</v>
      </c>
      <c r="H43">
        <v>1519.8155518000001</v>
      </c>
      <c r="I43">
        <v>1115.5152588000001</v>
      </c>
      <c r="J43">
        <v>1016.8819580000001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0.244367</v>
      </c>
      <c r="B44" s="1">
        <f>DATE(2010,5,1) + TIME(5,51,53)</f>
        <v>40299.244363425925</v>
      </c>
      <c r="C44">
        <v>80</v>
      </c>
      <c r="D44">
        <v>47.973083496000001</v>
      </c>
      <c r="E44">
        <v>50</v>
      </c>
      <c r="F44">
        <v>14.980993270999999</v>
      </c>
      <c r="G44">
        <v>1569.0836182</v>
      </c>
      <c r="H44">
        <v>1519.2485352000001</v>
      </c>
      <c r="I44">
        <v>1115.5200195</v>
      </c>
      <c r="J44">
        <v>1016.8869629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0.25478099999999998</v>
      </c>
      <c r="B45" s="1">
        <f>DATE(2010,5,1) + TIME(6,6,53)</f>
        <v>40299.254780092589</v>
      </c>
      <c r="C45">
        <v>80</v>
      </c>
      <c r="D45">
        <v>48.944145202999998</v>
      </c>
      <c r="E45">
        <v>50</v>
      </c>
      <c r="F45">
        <v>14.981082916</v>
      </c>
      <c r="G45">
        <v>1567.7415771000001</v>
      </c>
      <c r="H45">
        <v>1518.6839600000001</v>
      </c>
      <c r="I45">
        <v>1115.5246582</v>
      </c>
      <c r="J45">
        <v>1016.8918457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0.26550400000000002</v>
      </c>
      <c r="B46" s="1">
        <f>DATE(2010,5,1) + TIME(6,22,19)</f>
        <v>40299.265497685185</v>
      </c>
      <c r="C46">
        <v>80</v>
      </c>
      <c r="D46">
        <v>49.914276123</v>
      </c>
      <c r="E46">
        <v>50</v>
      </c>
      <c r="F46">
        <v>14.981172561999999</v>
      </c>
      <c r="G46">
        <v>1566.4239502</v>
      </c>
      <c r="H46">
        <v>1518.1217041</v>
      </c>
      <c r="I46">
        <v>1115.5290527</v>
      </c>
      <c r="J46">
        <v>1016.8964233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0.27655800000000003</v>
      </c>
      <c r="B47" s="1">
        <f>DATE(2010,5,1) + TIME(6,38,14)</f>
        <v>40299.276550925926</v>
      </c>
      <c r="C47">
        <v>80</v>
      </c>
      <c r="D47">
        <v>50.882999419999997</v>
      </c>
      <c r="E47">
        <v>50</v>
      </c>
      <c r="F47">
        <v>14.981263160999999</v>
      </c>
      <c r="G47">
        <v>1565.1296387</v>
      </c>
      <c r="H47">
        <v>1517.5610352000001</v>
      </c>
      <c r="I47">
        <v>1115.5329589999999</v>
      </c>
      <c r="J47">
        <v>1016.9006348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0.287968</v>
      </c>
      <c r="B48" s="1">
        <f>DATE(2010,5,1) + TIME(6,54,40)</f>
        <v>40299.287962962961</v>
      </c>
      <c r="C48">
        <v>80</v>
      </c>
      <c r="D48">
        <v>51.851020812999998</v>
      </c>
      <c r="E48">
        <v>50</v>
      </c>
      <c r="F48">
        <v>14.981354713</v>
      </c>
      <c r="G48">
        <v>1563.8572998</v>
      </c>
      <c r="H48">
        <v>1517.0021973</v>
      </c>
      <c r="I48">
        <v>1115.5366211</v>
      </c>
      <c r="J48">
        <v>1016.9044189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0.29975600000000002</v>
      </c>
      <c r="B49" s="1">
        <f>DATE(2010,5,1) + TIME(7,11,38)</f>
        <v>40299.299745370372</v>
      </c>
      <c r="C49">
        <v>80</v>
      </c>
      <c r="D49">
        <v>52.817958832000002</v>
      </c>
      <c r="E49">
        <v>50</v>
      </c>
      <c r="F49">
        <v>14.981446266000001</v>
      </c>
      <c r="G49">
        <v>1562.6060791</v>
      </c>
      <c r="H49">
        <v>1516.4444579999999</v>
      </c>
      <c r="I49">
        <v>1115.5397949000001</v>
      </c>
      <c r="J49">
        <v>1016.9078369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0.311946</v>
      </c>
      <c r="B50" s="1">
        <f>DATE(2010,5,1) + TIME(7,29,12)</f>
        <v>40299.311944444446</v>
      </c>
      <c r="C50">
        <v>80</v>
      </c>
      <c r="D50">
        <v>53.783706664999997</v>
      </c>
      <c r="E50">
        <v>50</v>
      </c>
      <c r="F50">
        <v>14.981539725999999</v>
      </c>
      <c r="G50">
        <v>1561.3745117000001</v>
      </c>
      <c r="H50">
        <v>1515.8873291</v>
      </c>
      <c r="I50">
        <v>1115.5424805</v>
      </c>
      <c r="J50">
        <v>1016.9108887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0.324569</v>
      </c>
      <c r="B51" s="1">
        <f>DATE(2010,5,1) + TIME(7,47,22)</f>
        <v>40299.324560185189</v>
      </c>
      <c r="C51">
        <v>80</v>
      </c>
      <c r="D51">
        <v>54.748176575000002</v>
      </c>
      <c r="E51">
        <v>50</v>
      </c>
      <c r="F51">
        <v>14.981633186</v>
      </c>
      <c r="G51">
        <v>1560.1616211</v>
      </c>
      <c r="H51">
        <v>1515.3304443</v>
      </c>
      <c r="I51">
        <v>1115.5449219</v>
      </c>
      <c r="J51">
        <v>1016.9135132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0.33765699999999998</v>
      </c>
      <c r="B52" s="1">
        <f>DATE(2010,5,1) + TIME(8,6,13)</f>
        <v>40299.337650462963</v>
      </c>
      <c r="C52">
        <v>80</v>
      </c>
      <c r="D52">
        <v>55.711280823000003</v>
      </c>
      <c r="E52">
        <v>50</v>
      </c>
      <c r="F52">
        <v>14.981727599999999</v>
      </c>
      <c r="G52">
        <v>1558.9663086</v>
      </c>
      <c r="H52">
        <v>1514.7733154</v>
      </c>
      <c r="I52">
        <v>1115.5469971</v>
      </c>
      <c r="J52">
        <v>1016.9158936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0.351246</v>
      </c>
      <c r="B53" s="1">
        <f>DATE(2010,5,1) + TIME(8,25,47)</f>
        <v>40299.351238425923</v>
      </c>
      <c r="C53">
        <v>80</v>
      </c>
      <c r="D53">
        <v>56.672916411999999</v>
      </c>
      <c r="E53">
        <v>50</v>
      </c>
      <c r="F53">
        <v>14.981822967999999</v>
      </c>
      <c r="G53">
        <v>1557.7873535000001</v>
      </c>
      <c r="H53">
        <v>1514.2150879000001</v>
      </c>
      <c r="I53">
        <v>1115.5488281</v>
      </c>
      <c r="J53">
        <v>1016.9179077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0.36537700000000001</v>
      </c>
      <c r="B54" s="1">
        <f>DATE(2010,5,1) + TIME(8,46,8)</f>
        <v>40299.365370370368</v>
      </c>
      <c r="C54">
        <v>80</v>
      </c>
      <c r="D54">
        <v>57.632968902999998</v>
      </c>
      <c r="E54">
        <v>50</v>
      </c>
      <c r="F54">
        <v>14.981919289</v>
      </c>
      <c r="G54">
        <v>1556.6236572</v>
      </c>
      <c r="H54">
        <v>1513.6555175999999</v>
      </c>
      <c r="I54">
        <v>1115.5504149999999</v>
      </c>
      <c r="J54">
        <v>1016.9196777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0.38009700000000002</v>
      </c>
      <c r="B55" s="1">
        <f>DATE(2010,5,1) + TIME(9,7,20)</f>
        <v>40299.38009259259</v>
      </c>
      <c r="C55">
        <v>80</v>
      </c>
      <c r="D55">
        <v>58.591320037999999</v>
      </c>
      <c r="E55">
        <v>50</v>
      </c>
      <c r="F55">
        <v>14.982016563</v>
      </c>
      <c r="G55">
        <v>1555.4738769999999</v>
      </c>
      <c r="H55">
        <v>1513.09375</v>
      </c>
      <c r="I55">
        <v>1115.5516356999999</v>
      </c>
      <c r="J55">
        <v>1016.9212646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0.39545599999999997</v>
      </c>
      <c r="B56" s="1">
        <f>DATE(2010,5,1) + TIME(9,29,27)</f>
        <v>40299.395451388889</v>
      </c>
      <c r="C56">
        <v>80</v>
      </c>
      <c r="D56">
        <v>59.547821044999999</v>
      </c>
      <c r="E56">
        <v>50</v>
      </c>
      <c r="F56">
        <v>14.982114792000001</v>
      </c>
      <c r="G56">
        <v>1554.3370361</v>
      </c>
      <c r="H56">
        <v>1512.5290527</v>
      </c>
      <c r="I56">
        <v>1115.5527344</v>
      </c>
      <c r="J56">
        <v>1016.9226073999999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0.41151399999999999</v>
      </c>
      <c r="B57" s="1">
        <f>DATE(2010,5,1) + TIME(9,52,34)</f>
        <v>40299.411504629628</v>
      </c>
      <c r="C57">
        <v>80</v>
      </c>
      <c r="D57">
        <v>60.501945495999998</v>
      </c>
      <c r="E57">
        <v>50</v>
      </c>
      <c r="F57">
        <v>14.982214927999999</v>
      </c>
      <c r="G57">
        <v>1553.2119141000001</v>
      </c>
      <c r="H57">
        <v>1511.9606934000001</v>
      </c>
      <c r="I57">
        <v>1115.5537108999999</v>
      </c>
      <c r="J57">
        <v>1016.9238281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0.42834299999999997</v>
      </c>
      <c r="B58" s="1">
        <f>DATE(2010,5,1) + TIME(10,16,48)</f>
        <v>40299.428333333337</v>
      </c>
      <c r="C58">
        <v>80</v>
      </c>
      <c r="D58">
        <v>61.453880310000002</v>
      </c>
      <c r="E58">
        <v>50</v>
      </c>
      <c r="F58">
        <v>14.982316970999999</v>
      </c>
      <c r="G58">
        <v>1552.0968018000001</v>
      </c>
      <c r="H58">
        <v>1511.3876952999999</v>
      </c>
      <c r="I58">
        <v>1115.5545654</v>
      </c>
      <c r="J58">
        <v>1016.9249268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0.446023</v>
      </c>
      <c r="B59" s="1">
        <f>DATE(2010,5,1) + TIME(10,42,16)</f>
        <v>40299.446018518516</v>
      </c>
      <c r="C59">
        <v>80</v>
      </c>
      <c r="D59">
        <v>62.403709411999998</v>
      </c>
      <c r="E59">
        <v>50</v>
      </c>
      <c r="F59">
        <v>14.982419968</v>
      </c>
      <c r="G59">
        <v>1550.9906006000001</v>
      </c>
      <c r="H59">
        <v>1510.8092041</v>
      </c>
      <c r="I59">
        <v>1115.5552978999999</v>
      </c>
      <c r="J59">
        <v>1016.9259033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0.46463599999999999</v>
      </c>
      <c r="B60" s="1">
        <f>DATE(2010,5,1) + TIME(11,9,4)</f>
        <v>40299.464629629627</v>
      </c>
      <c r="C60">
        <v>80</v>
      </c>
      <c r="D60">
        <v>63.350898743000002</v>
      </c>
      <c r="E60">
        <v>50</v>
      </c>
      <c r="F60">
        <v>14.982523918</v>
      </c>
      <c r="G60">
        <v>1549.8919678</v>
      </c>
      <c r="H60">
        <v>1510.2243652</v>
      </c>
      <c r="I60">
        <v>1115.5559082</v>
      </c>
      <c r="J60">
        <v>1016.9268188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0.48428700000000002</v>
      </c>
      <c r="B61" s="1">
        <f>DATE(2010,5,1) + TIME(11,37,22)</f>
        <v>40299.484282407408</v>
      </c>
      <c r="C61">
        <v>80</v>
      </c>
      <c r="D61">
        <v>64.295166015999996</v>
      </c>
      <c r="E61">
        <v>50</v>
      </c>
      <c r="F61">
        <v>14.98263073</v>
      </c>
      <c r="G61">
        <v>1548.7991943</v>
      </c>
      <c r="H61">
        <v>1509.6317139</v>
      </c>
      <c r="I61">
        <v>1115.5565185999999</v>
      </c>
      <c r="J61">
        <v>1016.9276733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0.50509800000000005</v>
      </c>
      <c r="B62" s="1">
        <f>DATE(2010,5,1) + TIME(12,7,20)</f>
        <v>40299.50509259259</v>
      </c>
      <c r="C62">
        <v>80</v>
      </c>
      <c r="D62">
        <v>65.236251831000004</v>
      </c>
      <c r="E62">
        <v>50</v>
      </c>
      <c r="F62">
        <v>14.982739449</v>
      </c>
      <c r="G62">
        <v>1547.7108154</v>
      </c>
      <c r="H62">
        <v>1509.0301514</v>
      </c>
      <c r="I62">
        <v>1115.5571289</v>
      </c>
      <c r="J62">
        <v>1016.9285278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0.52721099999999999</v>
      </c>
      <c r="B63" s="1">
        <f>DATE(2010,5,1) + TIME(12,39,11)</f>
        <v>40299.52721064815</v>
      </c>
      <c r="C63">
        <v>80</v>
      </c>
      <c r="D63">
        <v>66.173851013000004</v>
      </c>
      <c r="E63">
        <v>50</v>
      </c>
      <c r="F63">
        <v>14.982850075</v>
      </c>
      <c r="G63">
        <v>1546.6251221</v>
      </c>
      <c r="H63">
        <v>1508.4183350000001</v>
      </c>
      <c r="I63">
        <v>1115.5576172000001</v>
      </c>
      <c r="J63">
        <v>1016.9293823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0.55079699999999998</v>
      </c>
      <c r="B64" s="1">
        <f>DATE(2010,5,1) + TIME(13,13,8)</f>
        <v>40299.550787037035</v>
      </c>
      <c r="C64">
        <v>80</v>
      </c>
      <c r="D64">
        <v>67.107238769999995</v>
      </c>
      <c r="E64">
        <v>50</v>
      </c>
      <c r="F64">
        <v>14.982963562</v>
      </c>
      <c r="G64">
        <v>1545.5404053</v>
      </c>
      <c r="H64">
        <v>1507.7945557</v>
      </c>
      <c r="I64">
        <v>1115.5581055</v>
      </c>
      <c r="J64">
        <v>1016.9302368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0.57474800000000004</v>
      </c>
      <c r="B65" s="1">
        <f>DATE(2010,5,1) + TIME(13,47,38)</f>
        <v>40299.574745370373</v>
      </c>
      <c r="C65">
        <v>80</v>
      </c>
      <c r="D65">
        <v>67.990943908999995</v>
      </c>
      <c r="E65">
        <v>50</v>
      </c>
      <c r="F65">
        <v>14.983074188</v>
      </c>
      <c r="G65">
        <v>1544.4893798999999</v>
      </c>
      <c r="H65">
        <v>1507.1696777</v>
      </c>
      <c r="I65">
        <v>1115.5587158000001</v>
      </c>
      <c r="J65">
        <v>1016.9310303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0.59871399999999997</v>
      </c>
      <c r="B66" s="1">
        <f>DATE(2010,5,1) + TIME(14,22,8)</f>
        <v>40299.598703703705</v>
      </c>
      <c r="C66">
        <v>80</v>
      </c>
      <c r="D66">
        <v>68.815170288000004</v>
      </c>
      <c r="E66">
        <v>50</v>
      </c>
      <c r="F66">
        <v>14.983181</v>
      </c>
      <c r="G66">
        <v>1543.4945068</v>
      </c>
      <c r="H66">
        <v>1506.5637207</v>
      </c>
      <c r="I66">
        <v>1115.5593262</v>
      </c>
      <c r="J66">
        <v>1016.9318848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0.62274600000000002</v>
      </c>
      <c r="B67" s="1">
        <f>DATE(2010,5,1) + TIME(14,56,45)</f>
        <v>40299.622743055559</v>
      </c>
      <c r="C67">
        <v>80</v>
      </c>
      <c r="D67">
        <v>69.585319518999995</v>
      </c>
      <c r="E67">
        <v>50</v>
      </c>
      <c r="F67">
        <v>14.983283043</v>
      </c>
      <c r="G67">
        <v>1542.5545654</v>
      </c>
      <c r="H67">
        <v>1505.9803466999999</v>
      </c>
      <c r="I67">
        <v>1115.5598144999999</v>
      </c>
      <c r="J67">
        <v>1016.9327393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0.64688199999999996</v>
      </c>
      <c r="B68" s="1">
        <f>DATE(2010,5,1) + TIME(15,31,30)</f>
        <v>40299.646874999999</v>
      </c>
      <c r="C68">
        <v>80</v>
      </c>
      <c r="D68">
        <v>70.305541992000002</v>
      </c>
      <c r="E68">
        <v>50</v>
      </c>
      <c r="F68">
        <v>14.983382225</v>
      </c>
      <c r="G68">
        <v>1541.6636963000001</v>
      </c>
      <c r="H68">
        <v>1505.4169922000001</v>
      </c>
      <c r="I68">
        <v>1115.5604248</v>
      </c>
      <c r="J68">
        <v>1016.9335938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0.67115899999999995</v>
      </c>
      <c r="B69" s="1">
        <f>DATE(2010,5,1) + TIME(16,6,28)</f>
        <v>40299.671157407407</v>
      </c>
      <c r="C69">
        <v>80</v>
      </c>
      <c r="D69">
        <v>70.979629517000006</v>
      </c>
      <c r="E69">
        <v>50</v>
      </c>
      <c r="F69">
        <v>14.983478546000001</v>
      </c>
      <c r="G69">
        <v>1540.8170166</v>
      </c>
      <c r="H69">
        <v>1504.8718262</v>
      </c>
      <c r="I69">
        <v>1115.5610352000001</v>
      </c>
      <c r="J69">
        <v>1016.9344482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0.69561399999999995</v>
      </c>
      <c r="B70" s="1">
        <f>DATE(2010,5,1) + TIME(16,41,41)</f>
        <v>40299.695613425924</v>
      </c>
      <c r="C70">
        <v>80</v>
      </c>
      <c r="D70">
        <v>71.611289978000002</v>
      </c>
      <c r="E70">
        <v>50</v>
      </c>
      <c r="F70">
        <v>14.983572005999999</v>
      </c>
      <c r="G70">
        <v>1540.0100098</v>
      </c>
      <c r="H70">
        <v>1504.3430175999999</v>
      </c>
      <c r="I70">
        <v>1115.5616454999999</v>
      </c>
      <c r="J70">
        <v>1016.9353027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0.72028000000000003</v>
      </c>
      <c r="B71" s="1">
        <f>DATE(2010,5,1) + TIME(17,17,12)</f>
        <v>40299.720277777778</v>
      </c>
      <c r="C71">
        <v>80</v>
      </c>
      <c r="D71">
        <v>72.203575134000005</v>
      </c>
      <c r="E71">
        <v>50</v>
      </c>
      <c r="F71">
        <v>14.983662604999999</v>
      </c>
      <c r="G71">
        <v>1539.2386475000001</v>
      </c>
      <c r="H71">
        <v>1503.8288574000001</v>
      </c>
      <c r="I71">
        <v>1115.5622559000001</v>
      </c>
      <c r="J71">
        <v>1016.9361572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0.74519100000000005</v>
      </c>
      <c r="B72" s="1">
        <f>DATE(2010,5,1) + TIME(17,53,4)</f>
        <v>40299.745185185187</v>
      </c>
      <c r="C72">
        <v>80</v>
      </c>
      <c r="D72">
        <v>72.759201050000001</v>
      </c>
      <c r="E72">
        <v>50</v>
      </c>
      <c r="F72">
        <v>14.983750343000001</v>
      </c>
      <c r="G72">
        <v>1538.4995117000001</v>
      </c>
      <c r="H72">
        <v>1503.3278809000001</v>
      </c>
      <c r="I72">
        <v>1115.5628661999999</v>
      </c>
      <c r="J72">
        <v>1016.9370117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0.77038300000000004</v>
      </c>
      <c r="B73" s="1">
        <f>DATE(2010,5,1) + TIME(18,29,21)</f>
        <v>40299.770381944443</v>
      </c>
      <c r="C73">
        <v>80</v>
      </c>
      <c r="D73">
        <v>73.280632018999995</v>
      </c>
      <c r="E73">
        <v>50</v>
      </c>
      <c r="F73">
        <v>14.983837127999999</v>
      </c>
      <c r="G73">
        <v>1537.7897949000001</v>
      </c>
      <c r="H73">
        <v>1502.8387451000001</v>
      </c>
      <c r="I73">
        <v>1115.5635986</v>
      </c>
      <c r="J73">
        <v>1016.9378662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0.79588700000000001</v>
      </c>
      <c r="B74" s="1">
        <f>DATE(2010,5,1) + TIME(19,6,4)</f>
        <v>40299.79587962963</v>
      </c>
      <c r="C74">
        <v>80</v>
      </c>
      <c r="D74">
        <v>73.770050049000005</v>
      </c>
      <c r="E74">
        <v>50</v>
      </c>
      <c r="F74">
        <v>14.983921050999999</v>
      </c>
      <c r="G74">
        <v>1537.1066894999999</v>
      </c>
      <c r="H74">
        <v>1502.3603516000001</v>
      </c>
      <c r="I74">
        <v>1115.5642089999999</v>
      </c>
      <c r="J74">
        <v>1016.9387207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0.82173700000000005</v>
      </c>
      <c r="B75" s="1">
        <f>DATE(2010,5,1) + TIME(19,43,18)</f>
        <v>40299.821736111109</v>
      </c>
      <c r="C75">
        <v>80</v>
      </c>
      <c r="D75">
        <v>74.229438782000003</v>
      </c>
      <c r="E75">
        <v>50</v>
      </c>
      <c r="F75">
        <v>14.984003067</v>
      </c>
      <c r="G75">
        <v>1536.4476318</v>
      </c>
      <c r="H75">
        <v>1501.8914795000001</v>
      </c>
      <c r="I75">
        <v>1115.5648193</v>
      </c>
      <c r="J75">
        <v>1016.9396362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0.84797100000000003</v>
      </c>
      <c r="B76" s="1">
        <f>DATE(2010,5,1) + TIME(20,21,4)</f>
        <v>40299.847962962966</v>
      </c>
      <c r="C76">
        <v>80</v>
      </c>
      <c r="D76">
        <v>74.660713196000003</v>
      </c>
      <c r="E76">
        <v>50</v>
      </c>
      <c r="F76">
        <v>14.984083176</v>
      </c>
      <c r="G76">
        <v>1535.8107910000001</v>
      </c>
      <c r="H76">
        <v>1501.4312743999999</v>
      </c>
      <c r="I76">
        <v>1115.5655518000001</v>
      </c>
      <c r="J76">
        <v>1016.9404907000001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0.87462700000000004</v>
      </c>
      <c r="B77" s="1">
        <f>DATE(2010,5,1) + TIME(20,59,27)</f>
        <v>40299.874618055554</v>
      </c>
      <c r="C77">
        <v>80</v>
      </c>
      <c r="D77">
        <v>75.065490722999996</v>
      </c>
      <c r="E77">
        <v>50</v>
      </c>
      <c r="F77">
        <v>14.984162331</v>
      </c>
      <c r="G77">
        <v>1535.1938477000001</v>
      </c>
      <c r="H77">
        <v>1500.9788818</v>
      </c>
      <c r="I77">
        <v>1115.5661620999999</v>
      </c>
      <c r="J77">
        <v>1016.9414062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0.90174399999999999</v>
      </c>
      <c r="B78" s="1">
        <f>DATE(2010,5,1) + TIME(21,38,30)</f>
        <v>40299.901736111111</v>
      </c>
      <c r="C78">
        <v>80</v>
      </c>
      <c r="D78">
        <v>75.445121764999996</v>
      </c>
      <c r="E78">
        <v>50</v>
      </c>
      <c r="F78">
        <v>14.984240531999999</v>
      </c>
      <c r="G78">
        <v>1534.5953368999999</v>
      </c>
      <c r="H78">
        <v>1500.5330810999999</v>
      </c>
      <c r="I78">
        <v>1115.5668945</v>
      </c>
      <c r="J78">
        <v>1016.9422607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0.92936099999999999</v>
      </c>
      <c r="B79" s="1">
        <f>DATE(2010,5,1) + TIME(22,18,16)</f>
        <v>40299.929351851853</v>
      </c>
      <c r="C79">
        <v>80</v>
      </c>
      <c r="D79">
        <v>75.801261901999993</v>
      </c>
      <c r="E79">
        <v>50</v>
      </c>
      <c r="F79">
        <v>14.984316826000001</v>
      </c>
      <c r="G79">
        <v>1534.0133057</v>
      </c>
      <c r="H79">
        <v>1500.0932617000001</v>
      </c>
      <c r="I79">
        <v>1115.5676269999999</v>
      </c>
      <c r="J79">
        <v>1016.9431763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0.95752199999999998</v>
      </c>
      <c r="B80" s="1">
        <f>DATE(2010,5,1) + TIME(22,58,49)</f>
        <v>40299.957511574074</v>
      </c>
      <c r="C80">
        <v>80</v>
      </c>
      <c r="D80">
        <v>76.135215759000005</v>
      </c>
      <c r="E80">
        <v>50</v>
      </c>
      <c r="F80">
        <v>14.984392165999999</v>
      </c>
      <c r="G80">
        <v>1533.4462891000001</v>
      </c>
      <c r="H80">
        <v>1499.6586914</v>
      </c>
      <c r="I80">
        <v>1115.5682373</v>
      </c>
      <c r="J80">
        <v>1016.9440308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0.98627100000000001</v>
      </c>
      <c r="B81" s="1">
        <f>DATE(2010,5,1) + TIME(23,40,13)</f>
        <v>40299.986261574071</v>
      </c>
      <c r="C81">
        <v>80</v>
      </c>
      <c r="D81">
        <v>76.448196410999998</v>
      </c>
      <c r="E81">
        <v>50</v>
      </c>
      <c r="F81">
        <v>14.984466553000001</v>
      </c>
      <c r="G81">
        <v>1532.8929443</v>
      </c>
      <c r="H81">
        <v>1499.2286377</v>
      </c>
      <c r="I81">
        <v>1115.5689697</v>
      </c>
      <c r="J81">
        <v>1016.9449463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1.015657</v>
      </c>
      <c r="B82" s="1">
        <f>DATE(2010,5,2) + TIME(0,22,32)</f>
        <v>40300.015648148146</v>
      </c>
      <c r="C82">
        <v>80</v>
      </c>
      <c r="D82">
        <v>76.741333007999998</v>
      </c>
      <c r="E82">
        <v>50</v>
      </c>
      <c r="F82">
        <v>14.984539986</v>
      </c>
      <c r="G82">
        <v>1532.3519286999999</v>
      </c>
      <c r="H82">
        <v>1498.8023682</v>
      </c>
      <c r="I82">
        <v>1115.5697021000001</v>
      </c>
      <c r="J82">
        <v>1016.9458618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1.04573</v>
      </c>
      <c r="B83" s="1">
        <f>DATE(2010,5,2) + TIME(1,5,51)</f>
        <v>40300.045729166668</v>
      </c>
      <c r="C83">
        <v>80</v>
      </c>
      <c r="D83">
        <v>77.015670775999993</v>
      </c>
      <c r="E83">
        <v>50</v>
      </c>
      <c r="F83">
        <v>14.984612465</v>
      </c>
      <c r="G83">
        <v>1531.8218993999999</v>
      </c>
      <c r="H83">
        <v>1498.3791504000001</v>
      </c>
      <c r="I83">
        <v>1115.5704346</v>
      </c>
      <c r="J83">
        <v>1016.9467773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1.076549</v>
      </c>
      <c r="B84" s="1">
        <f>DATE(2010,5,2) + TIME(1,50,13)</f>
        <v>40300.076539351852</v>
      </c>
      <c r="C84">
        <v>80</v>
      </c>
      <c r="D84">
        <v>77.272209167</v>
      </c>
      <c r="E84">
        <v>50</v>
      </c>
      <c r="F84">
        <v>14.984683990000001</v>
      </c>
      <c r="G84">
        <v>1531.3017577999999</v>
      </c>
      <c r="H84">
        <v>1497.958374</v>
      </c>
      <c r="I84">
        <v>1115.5711670000001</v>
      </c>
      <c r="J84">
        <v>1016.9476929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1.1081840000000001</v>
      </c>
      <c r="B85" s="1">
        <f>DATE(2010,5,2) + TIME(2,35,47)</f>
        <v>40300.108182870368</v>
      </c>
      <c r="C85">
        <v>80</v>
      </c>
      <c r="D85">
        <v>77.511932372999993</v>
      </c>
      <c r="E85">
        <v>50</v>
      </c>
      <c r="F85">
        <v>14.984755516</v>
      </c>
      <c r="G85">
        <v>1530.7902832</v>
      </c>
      <c r="H85">
        <v>1497.5395507999999</v>
      </c>
      <c r="I85">
        <v>1115.5718993999999</v>
      </c>
      <c r="J85">
        <v>1016.9486084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1.1406890000000001</v>
      </c>
      <c r="B86" s="1">
        <f>DATE(2010,5,2) + TIME(3,22,35)</f>
        <v>40300.140682870369</v>
      </c>
      <c r="C86">
        <v>80</v>
      </c>
      <c r="D86">
        <v>77.735603333</v>
      </c>
      <c r="E86">
        <v>50</v>
      </c>
      <c r="F86">
        <v>14.984827041999999</v>
      </c>
      <c r="G86">
        <v>1530.286499</v>
      </c>
      <c r="H86">
        <v>1497.1217041</v>
      </c>
      <c r="I86">
        <v>1115.5726318</v>
      </c>
      <c r="J86">
        <v>1016.9495239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1.1741360000000001</v>
      </c>
      <c r="B87" s="1">
        <f>DATE(2010,5,2) + TIME(4,10,45)</f>
        <v>40300.174131944441</v>
      </c>
      <c r="C87">
        <v>80</v>
      </c>
      <c r="D87">
        <v>77.944038391000007</v>
      </c>
      <c r="E87">
        <v>50</v>
      </c>
      <c r="F87">
        <v>14.984897613999999</v>
      </c>
      <c r="G87">
        <v>1529.7894286999999</v>
      </c>
      <c r="H87">
        <v>1496.7044678</v>
      </c>
      <c r="I87">
        <v>1115.5733643000001</v>
      </c>
      <c r="J87">
        <v>1016.9504395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1.2086030000000001</v>
      </c>
      <c r="B88" s="1">
        <f>DATE(2010,5,2) + TIME(5,0,23)</f>
        <v>40300.208599537036</v>
      </c>
      <c r="C88">
        <v>80</v>
      </c>
      <c r="D88">
        <v>78.138000488000003</v>
      </c>
      <c r="E88">
        <v>50</v>
      </c>
      <c r="F88">
        <v>14.984968185</v>
      </c>
      <c r="G88">
        <v>1529.2980957</v>
      </c>
      <c r="H88">
        <v>1496.2872314000001</v>
      </c>
      <c r="I88">
        <v>1115.5740966999999</v>
      </c>
      <c r="J88">
        <v>1016.951416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1.2441759999999999</v>
      </c>
      <c r="B89" s="1">
        <f>DATE(2010,5,2) + TIME(5,51,36)</f>
        <v>40300.244166666664</v>
      </c>
      <c r="C89">
        <v>80</v>
      </c>
      <c r="D89">
        <v>78.318199157999999</v>
      </c>
      <c r="E89">
        <v>50</v>
      </c>
      <c r="F89">
        <v>14.985038757</v>
      </c>
      <c r="G89">
        <v>1528.8112793</v>
      </c>
      <c r="H89">
        <v>1495.8692627</v>
      </c>
      <c r="I89">
        <v>1115.5749512</v>
      </c>
      <c r="J89">
        <v>1016.9523315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1.28095</v>
      </c>
      <c r="B90" s="1">
        <f>DATE(2010,5,2) + TIME(6,44,34)</f>
        <v>40300.280949074076</v>
      </c>
      <c r="C90">
        <v>80</v>
      </c>
      <c r="D90">
        <v>78.485336304</v>
      </c>
      <c r="E90">
        <v>50</v>
      </c>
      <c r="F90">
        <v>14.985109329</v>
      </c>
      <c r="G90">
        <v>1528.3282471</v>
      </c>
      <c r="H90">
        <v>1495.4498291</v>
      </c>
      <c r="I90">
        <v>1115.5756836</v>
      </c>
      <c r="J90">
        <v>1016.9533081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1.3190329999999999</v>
      </c>
      <c r="B91" s="1">
        <f>DATE(2010,5,2) + TIME(7,39,24)</f>
        <v>40300.319027777776</v>
      </c>
      <c r="C91">
        <v>80</v>
      </c>
      <c r="D91">
        <v>78.640045165999993</v>
      </c>
      <c r="E91">
        <v>50</v>
      </c>
      <c r="F91">
        <v>14.985179901</v>
      </c>
      <c r="G91">
        <v>1527.8479004000001</v>
      </c>
      <c r="H91">
        <v>1495.0284423999999</v>
      </c>
      <c r="I91">
        <v>1115.5764160000001</v>
      </c>
      <c r="J91">
        <v>1016.9542847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1.358519</v>
      </c>
      <c r="B92" s="1">
        <f>DATE(2010,5,2) + TIME(8,36,16)</f>
        <v>40300.358518518522</v>
      </c>
      <c r="C92">
        <v>80</v>
      </c>
      <c r="D92">
        <v>78.782882689999994</v>
      </c>
      <c r="E92">
        <v>50</v>
      </c>
      <c r="F92">
        <v>14.985250473000001</v>
      </c>
      <c r="G92">
        <v>1527.3695068</v>
      </c>
      <c r="H92">
        <v>1494.6043701000001</v>
      </c>
      <c r="I92">
        <v>1115.5772704999999</v>
      </c>
      <c r="J92">
        <v>1016.9552612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1.399286</v>
      </c>
      <c r="B93" s="1">
        <f>DATE(2010,5,2) + TIME(9,34,58)</f>
        <v>40300.399282407408</v>
      </c>
      <c r="C93">
        <v>80</v>
      </c>
      <c r="D93">
        <v>78.913734435999999</v>
      </c>
      <c r="E93">
        <v>50</v>
      </c>
      <c r="F93">
        <v>14.985321044999999</v>
      </c>
      <c r="G93">
        <v>1526.8924560999999</v>
      </c>
      <c r="H93">
        <v>1494.1772461</v>
      </c>
      <c r="I93">
        <v>1115.578125</v>
      </c>
      <c r="J93">
        <v>1016.9562988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1.441387</v>
      </c>
      <c r="B94" s="1">
        <f>DATE(2010,5,2) + TIME(10,35,35)</f>
        <v>40300.441377314812</v>
      </c>
      <c r="C94">
        <v>80</v>
      </c>
      <c r="D94">
        <v>79.033187866000006</v>
      </c>
      <c r="E94">
        <v>50</v>
      </c>
      <c r="F94">
        <v>14.98539257</v>
      </c>
      <c r="G94">
        <v>1526.4180908000001</v>
      </c>
      <c r="H94">
        <v>1493.7485352000001</v>
      </c>
      <c r="I94">
        <v>1115.5789795000001</v>
      </c>
      <c r="J94">
        <v>1016.9572754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1.484934</v>
      </c>
      <c r="B95" s="1">
        <f>DATE(2010,5,2) + TIME(11,38,18)</f>
        <v>40300.484930555554</v>
      </c>
      <c r="C95">
        <v>80</v>
      </c>
      <c r="D95">
        <v>79.141998290999993</v>
      </c>
      <c r="E95">
        <v>50</v>
      </c>
      <c r="F95">
        <v>14.985463142</v>
      </c>
      <c r="G95">
        <v>1525.9460449000001</v>
      </c>
      <c r="H95">
        <v>1493.3181152</v>
      </c>
      <c r="I95">
        <v>1115.5798339999999</v>
      </c>
      <c r="J95">
        <v>1016.958313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1.5300210000000001</v>
      </c>
      <c r="B96" s="1">
        <f>DATE(2010,5,2) + TIME(12,43,13)</f>
        <v>40300.530011574076</v>
      </c>
      <c r="C96">
        <v>80</v>
      </c>
      <c r="D96">
        <v>79.240783691000004</v>
      </c>
      <c r="E96">
        <v>50</v>
      </c>
      <c r="F96">
        <v>14.985534668</v>
      </c>
      <c r="G96">
        <v>1525.4755858999999</v>
      </c>
      <c r="H96">
        <v>1492.8856201000001</v>
      </c>
      <c r="I96">
        <v>1115.5806885</v>
      </c>
      <c r="J96">
        <v>1016.9593506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1.576786</v>
      </c>
      <c r="B97" s="1">
        <f>DATE(2010,5,2) + TIME(13,50,34)</f>
        <v>40300.576782407406</v>
      </c>
      <c r="C97">
        <v>80</v>
      </c>
      <c r="D97">
        <v>79.330230713000006</v>
      </c>
      <c r="E97">
        <v>50</v>
      </c>
      <c r="F97">
        <v>14.985606194000001</v>
      </c>
      <c r="G97">
        <v>1525.0058594</v>
      </c>
      <c r="H97">
        <v>1492.4505615</v>
      </c>
      <c r="I97">
        <v>1115.581543</v>
      </c>
      <c r="J97">
        <v>1016.9604492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1.625381</v>
      </c>
      <c r="B98" s="1">
        <f>DATE(2010,5,2) + TIME(15,0,32)</f>
        <v>40300.62537037037</v>
      </c>
      <c r="C98">
        <v>80</v>
      </c>
      <c r="D98">
        <v>79.410980225000003</v>
      </c>
      <c r="E98">
        <v>50</v>
      </c>
      <c r="F98">
        <v>14.985677719</v>
      </c>
      <c r="G98">
        <v>1524.5358887</v>
      </c>
      <c r="H98">
        <v>1492.0119629000001</v>
      </c>
      <c r="I98">
        <v>1115.5823975000001</v>
      </c>
      <c r="J98">
        <v>1016.9615479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1.675956</v>
      </c>
      <c r="B99" s="1">
        <f>DATE(2010,5,2) + TIME(16,13,22)</f>
        <v>40300.675949074073</v>
      </c>
      <c r="C99">
        <v>80</v>
      </c>
      <c r="D99">
        <v>79.483604431000003</v>
      </c>
      <c r="E99">
        <v>50</v>
      </c>
      <c r="F99">
        <v>14.985751152000001</v>
      </c>
      <c r="G99">
        <v>1524.0644531</v>
      </c>
      <c r="H99">
        <v>1491.5690918</v>
      </c>
      <c r="I99">
        <v>1115.583374</v>
      </c>
      <c r="J99">
        <v>1016.9626465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1.727568</v>
      </c>
      <c r="B100" s="1">
        <f>DATE(2010,5,2) + TIME(17,27,41)</f>
        <v>40300.72755787037</v>
      </c>
      <c r="C100">
        <v>80</v>
      </c>
      <c r="D100">
        <v>79.547485351999995</v>
      </c>
      <c r="E100">
        <v>50</v>
      </c>
      <c r="F100">
        <v>14.985822678</v>
      </c>
      <c r="G100">
        <v>1523.5916748</v>
      </c>
      <c r="H100">
        <v>1491.1217041</v>
      </c>
      <c r="I100">
        <v>1115.5842285000001</v>
      </c>
      <c r="J100">
        <v>1016.9637451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1.7793000000000001</v>
      </c>
      <c r="B101" s="1">
        <f>DATE(2010,5,2) + TIME(18,42,11)</f>
        <v>40300.779293981483</v>
      </c>
      <c r="C101">
        <v>80</v>
      </c>
      <c r="D101">
        <v>79.602668761999993</v>
      </c>
      <c r="E101">
        <v>50</v>
      </c>
      <c r="F101">
        <v>14.98589325</v>
      </c>
      <c r="G101">
        <v>1523.1258545000001</v>
      </c>
      <c r="H101">
        <v>1490.6782227000001</v>
      </c>
      <c r="I101">
        <v>1115.5852050999999</v>
      </c>
      <c r="J101">
        <v>1016.9648438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1.83125</v>
      </c>
      <c r="B102" s="1">
        <f>DATE(2010,5,2) + TIME(19,56,59)</f>
        <v>40300.831238425926</v>
      </c>
      <c r="C102">
        <v>80</v>
      </c>
      <c r="D102">
        <v>79.650405883999994</v>
      </c>
      <c r="E102">
        <v>50</v>
      </c>
      <c r="F102">
        <v>14.985961914000001</v>
      </c>
      <c r="G102">
        <v>1522.6740723</v>
      </c>
      <c r="H102">
        <v>1490.2458495999999</v>
      </c>
      <c r="I102">
        <v>1115.5860596</v>
      </c>
      <c r="J102">
        <v>1016.9659424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1.883507</v>
      </c>
      <c r="B103" s="1">
        <f>DATE(2010,5,2) + TIME(21,12,15)</f>
        <v>40300.883506944447</v>
      </c>
      <c r="C103">
        <v>80</v>
      </c>
      <c r="D103">
        <v>79.691741942999997</v>
      </c>
      <c r="E103">
        <v>50</v>
      </c>
      <c r="F103">
        <v>14.986029625</v>
      </c>
      <c r="G103">
        <v>1522.2344971</v>
      </c>
      <c r="H103">
        <v>1489.8234863</v>
      </c>
      <c r="I103">
        <v>1115.5870361</v>
      </c>
      <c r="J103">
        <v>1016.96698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1.936159</v>
      </c>
      <c r="B104" s="1">
        <f>DATE(2010,5,2) + TIME(22,28,4)</f>
        <v>40300.936157407406</v>
      </c>
      <c r="C104">
        <v>80</v>
      </c>
      <c r="D104">
        <v>79.727569579999994</v>
      </c>
      <c r="E104">
        <v>50</v>
      </c>
      <c r="F104">
        <v>14.986096381999999</v>
      </c>
      <c r="G104">
        <v>1521.8055420000001</v>
      </c>
      <c r="H104">
        <v>1489.4099120999999</v>
      </c>
      <c r="I104">
        <v>1115.5878906</v>
      </c>
      <c r="J104">
        <v>1016.9680786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1.9892879999999999</v>
      </c>
      <c r="B105" s="1">
        <f>DATE(2010,5,2) + TIME(23,44,34)</f>
        <v>40300.989282407405</v>
      </c>
      <c r="C105">
        <v>80</v>
      </c>
      <c r="D105">
        <v>79.758636475000003</v>
      </c>
      <c r="E105">
        <v>50</v>
      </c>
      <c r="F105">
        <v>14.986162186</v>
      </c>
      <c r="G105">
        <v>1521.3861084</v>
      </c>
      <c r="H105">
        <v>1489.0039062000001</v>
      </c>
      <c r="I105">
        <v>1115.5887451000001</v>
      </c>
      <c r="J105">
        <v>1016.9691162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2.0429710000000001</v>
      </c>
      <c r="B106" s="1">
        <f>DATE(2010,5,3) + TIME(1,1,52)</f>
        <v>40301.042962962965</v>
      </c>
      <c r="C106">
        <v>80</v>
      </c>
      <c r="D106">
        <v>79.785575867000006</v>
      </c>
      <c r="E106">
        <v>50</v>
      </c>
      <c r="F106">
        <v>14.986226082</v>
      </c>
      <c r="G106">
        <v>1520.9747314000001</v>
      </c>
      <c r="H106">
        <v>1488.6047363</v>
      </c>
      <c r="I106">
        <v>1115.5897216999999</v>
      </c>
      <c r="J106">
        <v>1016.9702148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2.0972949999999999</v>
      </c>
      <c r="B107" s="1">
        <f>DATE(2010,5,3) + TIME(2,20,6)</f>
        <v>40301.097291666665</v>
      </c>
      <c r="C107">
        <v>80</v>
      </c>
      <c r="D107">
        <v>79.808944702000005</v>
      </c>
      <c r="E107">
        <v>50</v>
      </c>
      <c r="F107">
        <v>14.986289978</v>
      </c>
      <c r="G107">
        <v>1520.5705565999999</v>
      </c>
      <c r="H107">
        <v>1488.2113036999999</v>
      </c>
      <c r="I107">
        <v>1115.5905762</v>
      </c>
      <c r="J107">
        <v>1016.9712524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2.152345</v>
      </c>
      <c r="B108" s="1">
        <f>DATE(2010,5,3) + TIME(3,39,22)</f>
        <v>40301.152337962965</v>
      </c>
      <c r="C108">
        <v>80</v>
      </c>
      <c r="D108">
        <v>79.829208374000004</v>
      </c>
      <c r="E108">
        <v>50</v>
      </c>
      <c r="F108">
        <v>14.986352921</v>
      </c>
      <c r="G108">
        <v>1520.1724853999999</v>
      </c>
      <c r="H108">
        <v>1487.8231201000001</v>
      </c>
      <c r="I108">
        <v>1115.5914307</v>
      </c>
      <c r="J108">
        <v>1016.97229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2.2082079999999999</v>
      </c>
      <c r="B109" s="1">
        <f>DATE(2010,5,3) + TIME(4,59,49)</f>
        <v>40301.20820601852</v>
      </c>
      <c r="C109">
        <v>80</v>
      </c>
      <c r="D109">
        <v>79.846778869999994</v>
      </c>
      <c r="E109">
        <v>50</v>
      </c>
      <c r="F109">
        <v>14.986415863</v>
      </c>
      <c r="G109">
        <v>1519.7797852000001</v>
      </c>
      <c r="H109">
        <v>1487.4392089999999</v>
      </c>
      <c r="I109">
        <v>1115.5924072</v>
      </c>
      <c r="J109">
        <v>1016.9733887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2.264875</v>
      </c>
      <c r="B110" s="1">
        <f>DATE(2010,5,3) + TIME(6,21,25)</f>
        <v>40301.264872685184</v>
      </c>
      <c r="C110">
        <v>80</v>
      </c>
      <c r="D110">
        <v>79.861984253000003</v>
      </c>
      <c r="E110">
        <v>50</v>
      </c>
      <c r="F110">
        <v>14.986477852</v>
      </c>
      <c r="G110">
        <v>1519.3916016000001</v>
      </c>
      <c r="H110">
        <v>1487.0589600000001</v>
      </c>
      <c r="I110">
        <v>1115.5932617000001</v>
      </c>
      <c r="J110">
        <v>1016.9744263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2.3222520000000002</v>
      </c>
      <c r="B111" s="1">
        <f>DATE(2010,5,3) + TIME(7,44,2)</f>
        <v>40301.322245370371</v>
      </c>
      <c r="C111">
        <v>80</v>
      </c>
      <c r="D111">
        <v>79.875099182</v>
      </c>
      <c r="E111">
        <v>50</v>
      </c>
      <c r="F111">
        <v>14.986538887</v>
      </c>
      <c r="G111">
        <v>1519.0076904</v>
      </c>
      <c r="H111">
        <v>1486.6823730000001</v>
      </c>
      <c r="I111">
        <v>1115.5941161999999</v>
      </c>
      <c r="J111">
        <v>1016.9755249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2.3804219999999998</v>
      </c>
      <c r="B112" s="1">
        <f>DATE(2010,5,3) + TIME(9,7,48)</f>
        <v>40301.380416666667</v>
      </c>
      <c r="C112">
        <v>80</v>
      </c>
      <c r="D112">
        <v>79.886405945000007</v>
      </c>
      <c r="E112">
        <v>50</v>
      </c>
      <c r="F112">
        <v>14.986599922</v>
      </c>
      <c r="G112">
        <v>1518.6285399999999</v>
      </c>
      <c r="H112">
        <v>1486.3099365</v>
      </c>
      <c r="I112">
        <v>1115.5950928</v>
      </c>
      <c r="J112">
        <v>1016.9765625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2.4394680000000002</v>
      </c>
      <c r="B113" s="1">
        <f>DATE(2010,5,3) + TIME(10,32,50)</f>
        <v>40301.439467592594</v>
      </c>
      <c r="C113">
        <v>80</v>
      </c>
      <c r="D113">
        <v>79.896148682000003</v>
      </c>
      <c r="E113">
        <v>50</v>
      </c>
      <c r="F113">
        <v>14.986660957</v>
      </c>
      <c r="G113">
        <v>1518.2535399999999</v>
      </c>
      <c r="H113">
        <v>1485.9410399999999</v>
      </c>
      <c r="I113">
        <v>1115.5959473</v>
      </c>
      <c r="J113">
        <v>1016.9776611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2.4994779999999999</v>
      </c>
      <c r="B114" s="1">
        <f>DATE(2010,5,3) + TIME(11,59,14)</f>
        <v>40301.499467592592</v>
      </c>
      <c r="C114">
        <v>80</v>
      </c>
      <c r="D114">
        <v>79.904548645000006</v>
      </c>
      <c r="E114">
        <v>50</v>
      </c>
      <c r="F114">
        <v>14.986721039000001</v>
      </c>
      <c r="G114">
        <v>1517.8820800999999</v>
      </c>
      <c r="H114">
        <v>1485.5751952999999</v>
      </c>
      <c r="I114">
        <v>1115.5969238</v>
      </c>
      <c r="J114">
        <v>1016.9786987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2.5605449999999998</v>
      </c>
      <c r="B115" s="1">
        <f>DATE(2010,5,3) + TIME(13,27,11)</f>
        <v>40301.560543981483</v>
      </c>
      <c r="C115">
        <v>80</v>
      </c>
      <c r="D115">
        <v>79.911781310999999</v>
      </c>
      <c r="E115">
        <v>50</v>
      </c>
      <c r="F115">
        <v>14.986780166999999</v>
      </c>
      <c r="G115">
        <v>1517.5134277</v>
      </c>
      <c r="H115">
        <v>1485.2119141000001</v>
      </c>
      <c r="I115">
        <v>1115.5979004000001</v>
      </c>
      <c r="J115">
        <v>1016.9797974000001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2.6227680000000002</v>
      </c>
      <c r="B116" s="1">
        <f>DATE(2010,5,3) + TIME(14,56,47)</f>
        <v>40301.622766203705</v>
      </c>
      <c r="C116">
        <v>80</v>
      </c>
      <c r="D116">
        <v>79.918006896999998</v>
      </c>
      <c r="E116">
        <v>50</v>
      </c>
      <c r="F116">
        <v>14.986840248</v>
      </c>
      <c r="G116">
        <v>1517.1469727000001</v>
      </c>
      <c r="H116">
        <v>1484.8504639</v>
      </c>
      <c r="I116">
        <v>1115.5987548999999</v>
      </c>
      <c r="J116">
        <v>1016.980896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2.6862710000000001</v>
      </c>
      <c r="B117" s="1">
        <f>DATE(2010,5,3) + TIME(16,28,13)</f>
        <v>40301.686261574076</v>
      </c>
      <c r="C117">
        <v>80</v>
      </c>
      <c r="D117">
        <v>79.923362732000001</v>
      </c>
      <c r="E117">
        <v>50</v>
      </c>
      <c r="F117">
        <v>14.986899376</v>
      </c>
      <c r="G117">
        <v>1516.7821045000001</v>
      </c>
      <c r="H117">
        <v>1484.4903564000001</v>
      </c>
      <c r="I117">
        <v>1115.5997314000001</v>
      </c>
      <c r="J117">
        <v>1016.9819946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2.75116</v>
      </c>
      <c r="B118" s="1">
        <f>DATE(2010,5,3) + TIME(18,1,40)</f>
        <v>40301.751157407409</v>
      </c>
      <c r="C118">
        <v>80</v>
      </c>
      <c r="D118">
        <v>79.927963257000002</v>
      </c>
      <c r="E118">
        <v>50</v>
      </c>
      <c r="F118">
        <v>14.986958504</v>
      </c>
      <c r="G118">
        <v>1516.4183350000001</v>
      </c>
      <c r="H118">
        <v>1484.1311035000001</v>
      </c>
      <c r="I118">
        <v>1115.6007079999999</v>
      </c>
      <c r="J118">
        <v>1016.9830933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2.8174790000000001</v>
      </c>
      <c r="B119" s="1">
        <f>DATE(2010,5,3) + TIME(19,37,10)</f>
        <v>40301.817476851851</v>
      </c>
      <c r="C119">
        <v>80</v>
      </c>
      <c r="D119">
        <v>79.931915282999995</v>
      </c>
      <c r="E119">
        <v>50</v>
      </c>
      <c r="F119">
        <v>14.987018585</v>
      </c>
      <c r="G119">
        <v>1516.0551757999999</v>
      </c>
      <c r="H119">
        <v>1483.7723389</v>
      </c>
      <c r="I119">
        <v>1115.6016846</v>
      </c>
      <c r="J119">
        <v>1016.9842529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2.8853490000000002</v>
      </c>
      <c r="B120" s="1">
        <f>DATE(2010,5,3) + TIME(21,14,54)</f>
        <v>40301.885347222225</v>
      </c>
      <c r="C120">
        <v>80</v>
      </c>
      <c r="D120">
        <v>79.935302734000004</v>
      </c>
      <c r="E120">
        <v>50</v>
      </c>
      <c r="F120">
        <v>14.987077713</v>
      </c>
      <c r="G120">
        <v>1515.6923827999999</v>
      </c>
      <c r="H120">
        <v>1483.4136963000001</v>
      </c>
      <c r="I120">
        <v>1115.6026611</v>
      </c>
      <c r="J120">
        <v>1016.9854126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2.9549089999999998</v>
      </c>
      <c r="B121" s="1">
        <f>DATE(2010,5,3) + TIME(22,55,4)</f>
        <v>40301.954907407409</v>
      </c>
      <c r="C121">
        <v>80</v>
      </c>
      <c r="D121">
        <v>79.938194275000001</v>
      </c>
      <c r="E121">
        <v>50</v>
      </c>
      <c r="F121">
        <v>14.987136841</v>
      </c>
      <c r="G121">
        <v>1515.3295897999999</v>
      </c>
      <c r="H121">
        <v>1483.0549315999999</v>
      </c>
      <c r="I121">
        <v>1115.6036377</v>
      </c>
      <c r="J121">
        <v>1016.9865723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3.0263080000000002</v>
      </c>
      <c r="B122" s="1">
        <f>DATE(2010,5,4) + TIME(0,37,53)</f>
        <v>40302.026307870372</v>
      </c>
      <c r="C122">
        <v>80</v>
      </c>
      <c r="D122">
        <v>79.940681458</v>
      </c>
      <c r="E122">
        <v>50</v>
      </c>
      <c r="F122">
        <v>14.987196922000001</v>
      </c>
      <c r="G122">
        <v>1514.9660644999999</v>
      </c>
      <c r="H122">
        <v>1482.6954346</v>
      </c>
      <c r="I122">
        <v>1115.6047363</v>
      </c>
      <c r="J122">
        <v>1016.9877319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3.0997140000000001</v>
      </c>
      <c r="B123" s="1">
        <f>DATE(2010,5,4) + TIME(2,23,35)</f>
        <v>40302.099710648145</v>
      </c>
      <c r="C123">
        <v>80</v>
      </c>
      <c r="D123">
        <v>79.942802428999997</v>
      </c>
      <c r="E123">
        <v>50</v>
      </c>
      <c r="F123">
        <v>14.987257004</v>
      </c>
      <c r="G123">
        <v>1514.6013184000001</v>
      </c>
      <c r="H123">
        <v>1482.3345947</v>
      </c>
      <c r="I123">
        <v>1115.6058350000001</v>
      </c>
      <c r="J123">
        <v>1016.9889525999999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3.1753089999999999</v>
      </c>
      <c r="B124" s="1">
        <f>DATE(2010,5,4) + TIME(4,12,26)</f>
        <v>40302.175300925926</v>
      </c>
      <c r="C124">
        <v>80</v>
      </c>
      <c r="D124">
        <v>79.944618224999999</v>
      </c>
      <c r="E124">
        <v>50</v>
      </c>
      <c r="F124">
        <v>14.987318039</v>
      </c>
      <c r="G124">
        <v>1514.2347411999999</v>
      </c>
      <c r="H124">
        <v>1481.9719238</v>
      </c>
      <c r="I124">
        <v>1115.6068115</v>
      </c>
      <c r="J124">
        <v>1016.9902344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3.2532269999999999</v>
      </c>
      <c r="B125" s="1">
        <f>DATE(2010,5,4) + TIME(6,4,38)</f>
        <v>40302.253217592595</v>
      </c>
      <c r="C125">
        <v>80</v>
      </c>
      <c r="D125">
        <v>79.946166992000002</v>
      </c>
      <c r="E125">
        <v>50</v>
      </c>
      <c r="F125">
        <v>14.987378120000001</v>
      </c>
      <c r="G125">
        <v>1513.8658447</v>
      </c>
      <c r="H125">
        <v>1481.6070557</v>
      </c>
      <c r="I125">
        <v>1115.6080322</v>
      </c>
      <c r="J125">
        <v>1016.9914551000001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3.3336440000000001</v>
      </c>
      <c r="B126" s="1">
        <f>DATE(2010,5,4) + TIME(8,0,26)</f>
        <v>40302.333634259259</v>
      </c>
      <c r="C126">
        <v>80</v>
      </c>
      <c r="D126">
        <v>79.947494507000002</v>
      </c>
      <c r="E126">
        <v>50</v>
      </c>
      <c r="F126">
        <v>14.987440109</v>
      </c>
      <c r="G126">
        <v>1513.4943848</v>
      </c>
      <c r="H126">
        <v>1481.2393798999999</v>
      </c>
      <c r="I126">
        <v>1115.6091309000001</v>
      </c>
      <c r="J126">
        <v>1016.9927368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3.416652</v>
      </c>
      <c r="B127" s="1">
        <f>DATE(2010,5,4) + TIME(9,59,58)</f>
        <v>40302.416643518518</v>
      </c>
      <c r="C127">
        <v>80</v>
      </c>
      <c r="D127">
        <v>79.948623656999999</v>
      </c>
      <c r="E127">
        <v>50</v>
      </c>
      <c r="F127">
        <v>14.987502098</v>
      </c>
      <c r="G127">
        <v>1513.1196289</v>
      </c>
      <c r="H127">
        <v>1480.8686522999999</v>
      </c>
      <c r="I127">
        <v>1115.6102295000001</v>
      </c>
      <c r="J127">
        <v>1016.9940796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3.5022389999999999</v>
      </c>
      <c r="B128" s="1">
        <f>DATE(2010,5,4) + TIME(12,3,13)</f>
        <v>40302.502233796295</v>
      </c>
      <c r="C128">
        <v>80</v>
      </c>
      <c r="D128">
        <v>79.949584960999999</v>
      </c>
      <c r="E128">
        <v>50</v>
      </c>
      <c r="F128">
        <v>14.987564087000001</v>
      </c>
      <c r="G128">
        <v>1512.7418213000001</v>
      </c>
      <c r="H128">
        <v>1480.4948730000001</v>
      </c>
      <c r="I128">
        <v>1115.6114502</v>
      </c>
      <c r="J128">
        <v>1016.9954224000001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3.5456889999999999</v>
      </c>
      <c r="B129" s="1">
        <f>DATE(2010,5,4) + TIME(13,5,47)</f>
        <v>40302.545682870368</v>
      </c>
      <c r="C129">
        <v>80</v>
      </c>
      <c r="D129">
        <v>79.950004578000005</v>
      </c>
      <c r="E129">
        <v>50</v>
      </c>
      <c r="F129">
        <v>14.987598418999999</v>
      </c>
      <c r="G129">
        <v>1512.3604736</v>
      </c>
      <c r="H129">
        <v>1480.1158447</v>
      </c>
      <c r="I129">
        <v>1115.6124268000001</v>
      </c>
      <c r="J129">
        <v>1016.99646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3.6325889999999998</v>
      </c>
      <c r="B130" s="1">
        <f>DATE(2010,5,4) + TIME(15,10,55)</f>
        <v>40302.632581018515</v>
      </c>
      <c r="C130">
        <v>80</v>
      </c>
      <c r="D130">
        <v>79.950759887999993</v>
      </c>
      <c r="E130">
        <v>50</v>
      </c>
      <c r="F130">
        <v>14.987659453999999</v>
      </c>
      <c r="G130">
        <v>1512.1683350000001</v>
      </c>
      <c r="H130">
        <v>1479.9273682</v>
      </c>
      <c r="I130">
        <v>1115.6132812000001</v>
      </c>
      <c r="J130">
        <v>1016.9974976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3.719503</v>
      </c>
      <c r="B131" s="1">
        <f>DATE(2010,5,4) + TIME(17,16,5)</f>
        <v>40302.719502314816</v>
      </c>
      <c r="C131">
        <v>80</v>
      </c>
      <c r="D131">
        <v>79.951370238999999</v>
      </c>
      <c r="E131">
        <v>50</v>
      </c>
      <c r="F131">
        <v>14.987719536</v>
      </c>
      <c r="G131">
        <v>1511.7979736</v>
      </c>
      <c r="H131">
        <v>1479.5609131000001</v>
      </c>
      <c r="I131">
        <v>1115.6145019999999</v>
      </c>
      <c r="J131">
        <v>1016.9988403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3.8065989999999998</v>
      </c>
      <c r="B132" s="1">
        <f>DATE(2010,5,4) + TIME(19,21,30)</f>
        <v>40302.806597222225</v>
      </c>
      <c r="C132">
        <v>80</v>
      </c>
      <c r="D132">
        <v>79.951881408999995</v>
      </c>
      <c r="E132">
        <v>50</v>
      </c>
      <c r="F132">
        <v>14.987778664</v>
      </c>
      <c r="G132">
        <v>1511.4333495999999</v>
      </c>
      <c r="H132">
        <v>1479.2001952999999</v>
      </c>
      <c r="I132">
        <v>1115.6157227000001</v>
      </c>
      <c r="J132">
        <v>1017.0001831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3.8940009999999998</v>
      </c>
      <c r="B133" s="1">
        <f>DATE(2010,5,4) + TIME(21,27,21)</f>
        <v>40302.893993055557</v>
      </c>
      <c r="C133">
        <v>80</v>
      </c>
      <c r="D133">
        <v>79.952316284000005</v>
      </c>
      <c r="E133">
        <v>50</v>
      </c>
      <c r="F133">
        <v>14.987836838</v>
      </c>
      <c r="G133">
        <v>1511.0759277</v>
      </c>
      <c r="H133">
        <v>1478.8465576000001</v>
      </c>
      <c r="I133">
        <v>1115.6168213000001</v>
      </c>
      <c r="J133">
        <v>1017.0015259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3.9818370000000001</v>
      </c>
      <c r="B134" s="1">
        <f>DATE(2010,5,4) + TIME(23,33,50)</f>
        <v>40302.981828703705</v>
      </c>
      <c r="C134">
        <v>80</v>
      </c>
      <c r="D134">
        <v>79.952690125000004</v>
      </c>
      <c r="E134">
        <v>50</v>
      </c>
      <c r="F134">
        <v>14.987894058</v>
      </c>
      <c r="G134">
        <v>1510.7248535000001</v>
      </c>
      <c r="H134">
        <v>1478.4993896000001</v>
      </c>
      <c r="I134">
        <v>1115.6180420000001</v>
      </c>
      <c r="J134">
        <v>1017.0029297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4.070246</v>
      </c>
      <c r="B135" s="1">
        <f>DATE(2010,5,5) + TIME(1,41,9)</f>
        <v>40303.070243055554</v>
      </c>
      <c r="C135">
        <v>80</v>
      </c>
      <c r="D135">
        <v>79.953002929999997</v>
      </c>
      <c r="E135">
        <v>50</v>
      </c>
      <c r="F135">
        <v>14.987951279000001</v>
      </c>
      <c r="G135">
        <v>1510.3796387</v>
      </c>
      <c r="H135">
        <v>1478.1579589999999</v>
      </c>
      <c r="I135">
        <v>1115.6192627</v>
      </c>
      <c r="J135">
        <v>1017.0042725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4.1593559999999998</v>
      </c>
      <c r="B136" s="1">
        <f>DATE(2010,5,5) + TIME(3,49,28)</f>
        <v>40303.159351851849</v>
      </c>
      <c r="C136">
        <v>80</v>
      </c>
      <c r="D136">
        <v>79.953277588000006</v>
      </c>
      <c r="E136">
        <v>50</v>
      </c>
      <c r="F136">
        <v>14.988007545</v>
      </c>
      <c r="G136">
        <v>1510.0394286999999</v>
      </c>
      <c r="H136">
        <v>1477.8216553</v>
      </c>
      <c r="I136">
        <v>1115.6204834</v>
      </c>
      <c r="J136">
        <v>1017.0056152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4.2492939999999999</v>
      </c>
      <c r="B137" s="1">
        <f>DATE(2010,5,5) + TIME(5,58,59)</f>
        <v>40303.249293981484</v>
      </c>
      <c r="C137">
        <v>80</v>
      </c>
      <c r="D137">
        <v>79.953514099000003</v>
      </c>
      <c r="E137">
        <v>50</v>
      </c>
      <c r="F137">
        <v>14.988062858999999</v>
      </c>
      <c r="G137">
        <v>1509.7037353999999</v>
      </c>
      <c r="H137">
        <v>1477.489624</v>
      </c>
      <c r="I137">
        <v>1115.6217041</v>
      </c>
      <c r="J137">
        <v>1017.0069580000001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4.340192</v>
      </c>
      <c r="B138" s="1">
        <f>DATE(2010,5,5) + TIME(8,9,52)</f>
        <v>40303.340185185189</v>
      </c>
      <c r="C138">
        <v>80</v>
      </c>
      <c r="D138">
        <v>79.953727721999996</v>
      </c>
      <c r="E138">
        <v>50</v>
      </c>
      <c r="F138">
        <v>14.988117217999999</v>
      </c>
      <c r="G138">
        <v>1509.3717041</v>
      </c>
      <c r="H138">
        <v>1477.1613769999999</v>
      </c>
      <c r="I138">
        <v>1115.6229248</v>
      </c>
      <c r="J138">
        <v>1017.0083008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4.4321840000000003</v>
      </c>
      <c r="B139" s="1">
        <f>DATE(2010,5,5) + TIME(10,22,20)</f>
        <v>40303.432175925926</v>
      </c>
      <c r="C139">
        <v>80</v>
      </c>
      <c r="D139">
        <v>79.953903198000006</v>
      </c>
      <c r="E139">
        <v>50</v>
      </c>
      <c r="F139">
        <v>14.988172531</v>
      </c>
      <c r="G139">
        <v>1509.0429687999999</v>
      </c>
      <c r="H139">
        <v>1476.8363036999999</v>
      </c>
      <c r="I139">
        <v>1115.6241454999999</v>
      </c>
      <c r="J139">
        <v>1017.0096436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4.5254070000000004</v>
      </c>
      <c r="B140" s="1">
        <f>DATE(2010,5,5) + TIME(12,36,35)</f>
        <v>40303.525405092594</v>
      </c>
      <c r="C140">
        <v>80</v>
      </c>
      <c r="D140">
        <v>79.954071045000006</v>
      </c>
      <c r="E140">
        <v>50</v>
      </c>
      <c r="F140">
        <v>14.988226891</v>
      </c>
      <c r="G140">
        <v>1508.7169189000001</v>
      </c>
      <c r="H140">
        <v>1476.5140381000001</v>
      </c>
      <c r="I140">
        <v>1115.6253661999999</v>
      </c>
      <c r="J140">
        <v>1017.0110474000001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4.6200070000000002</v>
      </c>
      <c r="B141" s="1">
        <f>DATE(2010,5,5) + TIME(14,52,48)</f>
        <v>40303.620000000003</v>
      </c>
      <c r="C141">
        <v>80</v>
      </c>
      <c r="D141">
        <v>79.954208374000004</v>
      </c>
      <c r="E141">
        <v>50</v>
      </c>
      <c r="F141">
        <v>14.988280295999999</v>
      </c>
      <c r="G141">
        <v>1508.3930664</v>
      </c>
      <c r="H141">
        <v>1476.1939697</v>
      </c>
      <c r="I141">
        <v>1115.6265868999999</v>
      </c>
      <c r="J141">
        <v>1017.0124512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4.7160840000000004</v>
      </c>
      <c r="B142" s="1">
        <f>DATE(2010,5,5) + TIME(17,11,9)</f>
        <v>40303.71607638889</v>
      </c>
      <c r="C142">
        <v>80</v>
      </c>
      <c r="D142">
        <v>79.954338074000006</v>
      </c>
      <c r="E142">
        <v>50</v>
      </c>
      <c r="F142">
        <v>14.988334655999999</v>
      </c>
      <c r="G142">
        <v>1508.0709228999999</v>
      </c>
      <c r="H142">
        <v>1475.8754882999999</v>
      </c>
      <c r="I142">
        <v>1115.6278076000001</v>
      </c>
      <c r="J142">
        <v>1017.0137939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4.8136970000000003</v>
      </c>
      <c r="B143" s="1">
        <f>DATE(2010,5,5) + TIME(19,31,43)</f>
        <v>40303.813692129632</v>
      </c>
      <c r="C143">
        <v>80</v>
      </c>
      <c r="D143">
        <v>79.954452515</v>
      </c>
      <c r="E143">
        <v>50</v>
      </c>
      <c r="F143">
        <v>14.988388062</v>
      </c>
      <c r="G143">
        <v>1507.7501221</v>
      </c>
      <c r="H143">
        <v>1475.5584716999999</v>
      </c>
      <c r="I143">
        <v>1115.6291504000001</v>
      </c>
      <c r="J143">
        <v>1017.0152588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4.9130419999999999</v>
      </c>
      <c r="B144" s="1">
        <f>DATE(2010,5,5) + TIME(21,54,46)</f>
        <v>40303.913032407407</v>
      </c>
      <c r="C144">
        <v>80</v>
      </c>
      <c r="D144">
        <v>79.954551696999999</v>
      </c>
      <c r="E144">
        <v>50</v>
      </c>
      <c r="F144">
        <v>14.988441466999999</v>
      </c>
      <c r="G144">
        <v>1507.4305420000001</v>
      </c>
      <c r="H144">
        <v>1475.2426757999999</v>
      </c>
      <c r="I144">
        <v>1115.6303711</v>
      </c>
      <c r="J144">
        <v>1017.0166626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5.0142699999999998</v>
      </c>
      <c r="B145" s="1">
        <f>DATE(2010,5,6) + TIME(0,20,32)</f>
        <v>40304.01425925926</v>
      </c>
      <c r="C145">
        <v>80</v>
      </c>
      <c r="D145">
        <v>79.954643250000004</v>
      </c>
      <c r="E145">
        <v>50</v>
      </c>
      <c r="F145">
        <v>14.988494873</v>
      </c>
      <c r="G145">
        <v>1507.1116943</v>
      </c>
      <c r="H145">
        <v>1474.9276123</v>
      </c>
      <c r="I145">
        <v>1115.6317139</v>
      </c>
      <c r="J145">
        <v>1017.0181274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5.1175519999999999</v>
      </c>
      <c r="B146" s="1">
        <f>DATE(2010,5,6) + TIME(2,49,16)</f>
        <v>40304.117546296293</v>
      </c>
      <c r="C146">
        <v>80</v>
      </c>
      <c r="D146">
        <v>79.954727172999995</v>
      </c>
      <c r="E146">
        <v>50</v>
      </c>
      <c r="F146">
        <v>14.988548279</v>
      </c>
      <c r="G146">
        <v>1506.7930908000001</v>
      </c>
      <c r="H146">
        <v>1474.6129149999999</v>
      </c>
      <c r="I146">
        <v>1115.6330565999999</v>
      </c>
      <c r="J146">
        <v>1017.0195923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5.2230889999999999</v>
      </c>
      <c r="B147" s="1">
        <f>DATE(2010,5,6) + TIME(5,21,14)</f>
        <v>40304.223078703704</v>
      </c>
      <c r="C147">
        <v>80</v>
      </c>
      <c r="D147">
        <v>79.954803467000005</v>
      </c>
      <c r="E147">
        <v>50</v>
      </c>
      <c r="F147">
        <v>14.988601685000001</v>
      </c>
      <c r="G147">
        <v>1506.4743652</v>
      </c>
      <c r="H147">
        <v>1474.2980957</v>
      </c>
      <c r="I147">
        <v>1115.6343993999999</v>
      </c>
      <c r="J147">
        <v>1017.0210571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5.3310940000000002</v>
      </c>
      <c r="B148" s="1">
        <f>DATE(2010,5,6) + TIME(7,56,46)</f>
        <v>40304.331087962964</v>
      </c>
      <c r="C148">
        <v>80</v>
      </c>
      <c r="D148">
        <v>79.954872131000002</v>
      </c>
      <c r="E148">
        <v>50</v>
      </c>
      <c r="F148">
        <v>14.98865509</v>
      </c>
      <c r="G148">
        <v>1506.1550293</v>
      </c>
      <c r="H148">
        <v>1473.9826660000001</v>
      </c>
      <c r="I148">
        <v>1115.6357422000001</v>
      </c>
      <c r="J148">
        <v>1017.0225830000001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5.4418040000000003</v>
      </c>
      <c r="B149" s="1">
        <f>DATE(2010,5,6) + TIME(10,36,11)</f>
        <v>40304.441793981481</v>
      </c>
      <c r="C149">
        <v>80</v>
      </c>
      <c r="D149">
        <v>79.954933166999993</v>
      </c>
      <c r="E149">
        <v>50</v>
      </c>
      <c r="F149">
        <v>14.988708495999999</v>
      </c>
      <c r="G149">
        <v>1505.8347168</v>
      </c>
      <c r="H149">
        <v>1473.6662598</v>
      </c>
      <c r="I149">
        <v>1115.637207</v>
      </c>
      <c r="J149">
        <v>1017.0241089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5.5553480000000004</v>
      </c>
      <c r="B150" s="1">
        <f>DATE(2010,5,6) + TIME(13,19,42)</f>
        <v>40304.555347222224</v>
      </c>
      <c r="C150">
        <v>80</v>
      </c>
      <c r="D150">
        <v>79.954994201999995</v>
      </c>
      <c r="E150">
        <v>50</v>
      </c>
      <c r="F150">
        <v>14.988762855999999</v>
      </c>
      <c r="G150">
        <v>1505.5126952999999</v>
      </c>
      <c r="H150">
        <v>1473.3482666</v>
      </c>
      <c r="I150">
        <v>1115.6386719</v>
      </c>
      <c r="J150">
        <v>1017.0256958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5.6718729999999997</v>
      </c>
      <c r="B151" s="1">
        <f>DATE(2010,5,6) + TIME(16,7,29)</f>
        <v>40304.671863425923</v>
      </c>
      <c r="C151">
        <v>80</v>
      </c>
      <c r="D151">
        <v>79.955039978000002</v>
      </c>
      <c r="E151">
        <v>50</v>
      </c>
      <c r="F151">
        <v>14.988817214999999</v>
      </c>
      <c r="G151">
        <v>1505.1889647999999</v>
      </c>
      <c r="H151">
        <v>1473.0285644999999</v>
      </c>
      <c r="I151">
        <v>1115.6401367000001</v>
      </c>
      <c r="J151">
        <v>1017.0273438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5.791404</v>
      </c>
      <c r="B152" s="1">
        <f>DATE(2010,5,6) + TIME(18,59,37)</f>
        <v>40304.791400462964</v>
      </c>
      <c r="C152">
        <v>80</v>
      </c>
      <c r="D152">
        <v>79.955093383999994</v>
      </c>
      <c r="E152">
        <v>50</v>
      </c>
      <c r="F152">
        <v>14.988871573999999</v>
      </c>
      <c r="G152">
        <v>1504.8632812000001</v>
      </c>
      <c r="H152">
        <v>1472.7069091999999</v>
      </c>
      <c r="I152">
        <v>1115.6416016000001</v>
      </c>
      <c r="J152">
        <v>1017.0289917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5.91214</v>
      </c>
      <c r="B153" s="1">
        <f>DATE(2010,5,6) + TIME(21,53,28)</f>
        <v>40304.912129629629</v>
      </c>
      <c r="C153">
        <v>80</v>
      </c>
      <c r="D153">
        <v>79.955131531000006</v>
      </c>
      <c r="E153">
        <v>50</v>
      </c>
      <c r="F153">
        <v>14.988925933999999</v>
      </c>
      <c r="G153">
        <v>1504.5357666</v>
      </c>
      <c r="H153">
        <v>1472.3835449000001</v>
      </c>
      <c r="I153">
        <v>1115.6431885</v>
      </c>
      <c r="J153">
        <v>1017.0306396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6.0329350000000002</v>
      </c>
      <c r="B154" s="1">
        <f>DATE(2010,5,7) + TIME(0,47,25)</f>
        <v>40305.03292824074</v>
      </c>
      <c r="C154">
        <v>80</v>
      </c>
      <c r="D154">
        <v>79.955169678000004</v>
      </c>
      <c r="E154">
        <v>50</v>
      </c>
      <c r="F154">
        <v>14.98897934</v>
      </c>
      <c r="G154">
        <v>1504.2113036999999</v>
      </c>
      <c r="H154">
        <v>1472.0633545000001</v>
      </c>
      <c r="I154">
        <v>1115.6446533000001</v>
      </c>
      <c r="J154">
        <v>1017.0322876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6.1539549999999998</v>
      </c>
      <c r="B155" s="1">
        <f>DATE(2010,5,7) + TIME(3,41,41)</f>
        <v>40305.153946759259</v>
      </c>
      <c r="C155">
        <v>80</v>
      </c>
      <c r="D155">
        <v>79.955207825000002</v>
      </c>
      <c r="E155">
        <v>50</v>
      </c>
      <c r="F155">
        <v>14.989032744999999</v>
      </c>
      <c r="G155">
        <v>1503.8930664</v>
      </c>
      <c r="H155">
        <v>1471.7491454999999</v>
      </c>
      <c r="I155">
        <v>1115.6462402</v>
      </c>
      <c r="J155">
        <v>1017.0339966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6.2754079999999997</v>
      </c>
      <c r="B156" s="1">
        <f>DATE(2010,5,7) + TIME(6,36,35)</f>
        <v>40305.275405092594</v>
      </c>
      <c r="C156">
        <v>80</v>
      </c>
      <c r="D156">
        <v>79.955238342000001</v>
      </c>
      <c r="E156">
        <v>50</v>
      </c>
      <c r="F156">
        <v>14.989084244000001</v>
      </c>
      <c r="G156">
        <v>1503.5804443</v>
      </c>
      <c r="H156">
        <v>1471.4405518000001</v>
      </c>
      <c r="I156">
        <v>1115.6477050999999</v>
      </c>
      <c r="J156">
        <v>1017.0356445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6.3974799999999998</v>
      </c>
      <c r="B157" s="1">
        <f>DATE(2010,5,7) + TIME(9,32,22)</f>
        <v>40305.397476851853</v>
      </c>
      <c r="C157">
        <v>80</v>
      </c>
      <c r="D157">
        <v>79.955261230000005</v>
      </c>
      <c r="E157">
        <v>50</v>
      </c>
      <c r="F157">
        <v>14.989135742</v>
      </c>
      <c r="G157">
        <v>1503.2725829999999</v>
      </c>
      <c r="H157">
        <v>1471.1365966999999</v>
      </c>
      <c r="I157">
        <v>1115.6492920000001</v>
      </c>
      <c r="J157">
        <v>1017.0372925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6.5203550000000003</v>
      </c>
      <c r="B158" s="1">
        <f>DATE(2010,5,7) + TIME(12,29,18)</f>
        <v>40305.52034722222</v>
      </c>
      <c r="C158">
        <v>80</v>
      </c>
      <c r="D158">
        <v>79.955291747999993</v>
      </c>
      <c r="E158">
        <v>50</v>
      </c>
      <c r="F158">
        <v>14.989187241</v>
      </c>
      <c r="G158">
        <v>1502.9688721</v>
      </c>
      <c r="H158">
        <v>1470.8369141000001</v>
      </c>
      <c r="I158">
        <v>1115.6508789</v>
      </c>
      <c r="J158">
        <v>1017.0389404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6.6442129999999997</v>
      </c>
      <c r="B159" s="1">
        <f>DATE(2010,5,7) + TIME(15,27,40)</f>
        <v>40305.644212962965</v>
      </c>
      <c r="C159">
        <v>80</v>
      </c>
      <c r="D159">
        <v>79.955314635999997</v>
      </c>
      <c r="E159">
        <v>50</v>
      </c>
      <c r="F159">
        <v>14.989237785</v>
      </c>
      <c r="G159">
        <v>1502.6688231999999</v>
      </c>
      <c r="H159">
        <v>1470.5407714999999</v>
      </c>
      <c r="I159">
        <v>1115.6523437999999</v>
      </c>
      <c r="J159">
        <v>1017.0406494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6.7692420000000002</v>
      </c>
      <c r="B160" s="1">
        <f>DATE(2010,5,7) + TIME(18,27,42)</f>
        <v>40305.769236111111</v>
      </c>
      <c r="C160">
        <v>80</v>
      </c>
      <c r="D160">
        <v>79.955337524000001</v>
      </c>
      <c r="E160">
        <v>50</v>
      </c>
      <c r="F160">
        <v>14.989287376</v>
      </c>
      <c r="G160">
        <v>1502.3719481999999</v>
      </c>
      <c r="H160">
        <v>1470.2478027</v>
      </c>
      <c r="I160">
        <v>1115.6539307</v>
      </c>
      <c r="J160">
        <v>1017.0423584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6.8956309999999998</v>
      </c>
      <c r="B161" s="1">
        <f>DATE(2010,5,7) + TIME(21,29,42)</f>
        <v>40305.895624999997</v>
      </c>
      <c r="C161">
        <v>80</v>
      </c>
      <c r="D161">
        <v>79.955352782999995</v>
      </c>
      <c r="E161">
        <v>50</v>
      </c>
      <c r="F161">
        <v>14.989336967</v>
      </c>
      <c r="G161">
        <v>1502.0776367000001</v>
      </c>
      <c r="H161">
        <v>1469.9572754000001</v>
      </c>
      <c r="I161">
        <v>1115.6555175999999</v>
      </c>
      <c r="J161">
        <v>1017.0440063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7.0234610000000002</v>
      </c>
      <c r="B162" s="1">
        <f>DATE(2010,5,8) + TIME(0,33,47)</f>
        <v>40306.023460648146</v>
      </c>
      <c r="C162">
        <v>80</v>
      </c>
      <c r="D162">
        <v>79.955375670999999</v>
      </c>
      <c r="E162">
        <v>50</v>
      </c>
      <c r="F162">
        <v>14.989386559</v>
      </c>
      <c r="G162">
        <v>1501.7854004000001</v>
      </c>
      <c r="H162">
        <v>1469.6689452999999</v>
      </c>
      <c r="I162">
        <v>1115.6571045000001</v>
      </c>
      <c r="J162">
        <v>1017.0457153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7.1527880000000001</v>
      </c>
      <c r="B163" s="1">
        <f>DATE(2010,5,8) + TIME(3,40,0)</f>
        <v>40306.152777777781</v>
      </c>
      <c r="C163">
        <v>80</v>
      </c>
      <c r="D163">
        <v>79.955390929999993</v>
      </c>
      <c r="E163">
        <v>50</v>
      </c>
      <c r="F163">
        <v>14.98943615</v>
      </c>
      <c r="G163">
        <v>1501.4949951000001</v>
      </c>
      <c r="H163">
        <v>1469.3824463000001</v>
      </c>
      <c r="I163">
        <v>1115.6586914</v>
      </c>
      <c r="J163">
        <v>1017.0474854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7.283811</v>
      </c>
      <c r="B164" s="1">
        <f>DATE(2010,5,8) + TIME(6,48,41)</f>
        <v>40306.283807870372</v>
      </c>
      <c r="C164">
        <v>80</v>
      </c>
      <c r="D164">
        <v>79.955406189000001</v>
      </c>
      <c r="E164">
        <v>50</v>
      </c>
      <c r="F164">
        <v>14.989484787</v>
      </c>
      <c r="G164">
        <v>1501.2064209</v>
      </c>
      <c r="H164">
        <v>1469.0976562000001</v>
      </c>
      <c r="I164">
        <v>1115.6602783000001</v>
      </c>
      <c r="J164">
        <v>1017.0491943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7.416741</v>
      </c>
      <c r="B165" s="1">
        <f>DATE(2010,5,8) + TIME(10,0,6)</f>
        <v>40306.41673611111</v>
      </c>
      <c r="C165">
        <v>80</v>
      </c>
      <c r="D165">
        <v>79.955421447999996</v>
      </c>
      <c r="E165">
        <v>50</v>
      </c>
      <c r="F165">
        <v>14.989533423999999</v>
      </c>
      <c r="G165">
        <v>1500.9190673999999</v>
      </c>
      <c r="H165">
        <v>1468.8143310999999</v>
      </c>
      <c r="I165">
        <v>1115.6619873</v>
      </c>
      <c r="J165">
        <v>1017.0509644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7.5518460000000003</v>
      </c>
      <c r="B166" s="1">
        <f>DATE(2010,5,8) + TIME(13,14,39)</f>
        <v>40306.551840277774</v>
      </c>
      <c r="C166">
        <v>80</v>
      </c>
      <c r="D166">
        <v>79.955436707000004</v>
      </c>
      <c r="E166">
        <v>50</v>
      </c>
      <c r="F166">
        <v>14.989582062</v>
      </c>
      <c r="G166">
        <v>1500.6326904</v>
      </c>
      <c r="H166">
        <v>1468.5317382999999</v>
      </c>
      <c r="I166">
        <v>1115.6635742000001</v>
      </c>
      <c r="J166">
        <v>1017.0527954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7.6893070000000003</v>
      </c>
      <c r="B167" s="1">
        <f>DATE(2010,5,8) + TIME(16,32,36)</f>
        <v>40306.689305555556</v>
      </c>
      <c r="C167">
        <v>80</v>
      </c>
      <c r="D167">
        <v>79.955451964999995</v>
      </c>
      <c r="E167">
        <v>50</v>
      </c>
      <c r="F167">
        <v>14.989630698999999</v>
      </c>
      <c r="G167">
        <v>1500.3466797000001</v>
      </c>
      <c r="H167">
        <v>1468.2496338000001</v>
      </c>
      <c r="I167">
        <v>1115.6652832</v>
      </c>
      <c r="J167">
        <v>1017.0545654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7.8293720000000002</v>
      </c>
      <c r="B168" s="1">
        <f>DATE(2010,5,8) + TIME(19,54,17)</f>
        <v>40306.829363425924</v>
      </c>
      <c r="C168">
        <v>80</v>
      </c>
      <c r="D168">
        <v>79.955467224000003</v>
      </c>
      <c r="E168">
        <v>50</v>
      </c>
      <c r="F168">
        <v>14.989679337</v>
      </c>
      <c r="G168">
        <v>1500.0607910000001</v>
      </c>
      <c r="H168">
        <v>1467.9675293</v>
      </c>
      <c r="I168">
        <v>1115.6669922000001</v>
      </c>
      <c r="J168">
        <v>1017.0563965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7.9723059999999997</v>
      </c>
      <c r="B169" s="1">
        <f>DATE(2010,5,8) + TIME(23,20,7)</f>
        <v>40306.972303240742</v>
      </c>
      <c r="C169">
        <v>80</v>
      </c>
      <c r="D169">
        <v>79.955474854000002</v>
      </c>
      <c r="E169">
        <v>50</v>
      </c>
      <c r="F169">
        <v>14.989727973999999</v>
      </c>
      <c r="G169">
        <v>1499.7744141000001</v>
      </c>
      <c r="H169">
        <v>1467.6850586</v>
      </c>
      <c r="I169">
        <v>1115.6687012</v>
      </c>
      <c r="J169">
        <v>1017.0582886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8.1183999999999994</v>
      </c>
      <c r="B170" s="1">
        <f>DATE(2010,5,9) + TIME(2,50,29)</f>
        <v>40307.118391203701</v>
      </c>
      <c r="C170">
        <v>80</v>
      </c>
      <c r="D170">
        <v>79.955490112000007</v>
      </c>
      <c r="E170">
        <v>50</v>
      </c>
      <c r="F170">
        <v>14.989776611</v>
      </c>
      <c r="G170">
        <v>1499.4873047000001</v>
      </c>
      <c r="H170">
        <v>1467.4018555</v>
      </c>
      <c r="I170">
        <v>1115.6705322</v>
      </c>
      <c r="J170">
        <v>1017.0601807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8.2678940000000001</v>
      </c>
      <c r="B171" s="1">
        <f>DATE(2010,5,9) + TIME(6,25,46)</f>
        <v>40307.267893518518</v>
      </c>
      <c r="C171">
        <v>80</v>
      </c>
      <c r="D171">
        <v>79.955505371000001</v>
      </c>
      <c r="E171">
        <v>50</v>
      </c>
      <c r="F171">
        <v>14.989825249000001</v>
      </c>
      <c r="G171">
        <v>1499.1989745999999</v>
      </c>
      <c r="H171">
        <v>1467.1175536999999</v>
      </c>
      <c r="I171">
        <v>1115.6723632999999</v>
      </c>
      <c r="J171">
        <v>1017.0621338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8.4207900000000002</v>
      </c>
      <c r="B172" s="1">
        <f>DATE(2010,5,9) + TIME(10,5,56)</f>
        <v>40307.420787037037</v>
      </c>
      <c r="C172">
        <v>80</v>
      </c>
      <c r="D172">
        <v>79.955512999999996</v>
      </c>
      <c r="E172">
        <v>50</v>
      </c>
      <c r="F172">
        <v>14.989874840000001</v>
      </c>
      <c r="G172">
        <v>1498.9091797000001</v>
      </c>
      <c r="H172">
        <v>1466.8316649999999</v>
      </c>
      <c r="I172">
        <v>1115.6741943</v>
      </c>
      <c r="J172">
        <v>1017.0640869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8.5771160000000002</v>
      </c>
      <c r="B173" s="1">
        <f>DATE(2010,5,9) + TIME(13,51,2)</f>
        <v>40307.577106481483</v>
      </c>
      <c r="C173">
        <v>80</v>
      </c>
      <c r="D173">
        <v>79.955528259000005</v>
      </c>
      <c r="E173">
        <v>50</v>
      </c>
      <c r="F173">
        <v>14.989924431</v>
      </c>
      <c r="G173">
        <v>1498.6179199000001</v>
      </c>
      <c r="H173">
        <v>1466.5444336</v>
      </c>
      <c r="I173">
        <v>1115.6761475000001</v>
      </c>
      <c r="J173">
        <v>1017.0661621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8.7359410000000004</v>
      </c>
      <c r="B174" s="1">
        <f>DATE(2010,5,9) + TIME(17,39,45)</f>
        <v>40307.735937500001</v>
      </c>
      <c r="C174">
        <v>80</v>
      </c>
      <c r="D174">
        <v>79.955535889000004</v>
      </c>
      <c r="E174">
        <v>50</v>
      </c>
      <c r="F174">
        <v>14.989974022</v>
      </c>
      <c r="G174">
        <v>1498.3254394999999</v>
      </c>
      <c r="H174">
        <v>1466.2558594</v>
      </c>
      <c r="I174">
        <v>1115.6781006000001</v>
      </c>
      <c r="J174">
        <v>1017.0681763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8.8947760000000002</v>
      </c>
      <c r="B175" s="1">
        <f>DATE(2010,5,9) + TIME(21,28,28)</f>
        <v>40307.894768518519</v>
      </c>
      <c r="C175">
        <v>80</v>
      </c>
      <c r="D175">
        <v>79.955551146999994</v>
      </c>
      <c r="E175">
        <v>50</v>
      </c>
      <c r="F175">
        <v>14.990022658999999</v>
      </c>
      <c r="G175">
        <v>1498.0334473</v>
      </c>
      <c r="H175">
        <v>1465.9678954999999</v>
      </c>
      <c r="I175">
        <v>1115.6799315999999</v>
      </c>
      <c r="J175">
        <v>1017.0702515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9.0538799999999995</v>
      </c>
      <c r="B176" s="1">
        <f>DATE(2010,5,10) + TIME(1,17,35)</f>
        <v>40308.053877314815</v>
      </c>
      <c r="C176">
        <v>80</v>
      </c>
      <c r="D176">
        <v>79.955558776999993</v>
      </c>
      <c r="E176">
        <v>50</v>
      </c>
      <c r="F176">
        <v>14.990071297</v>
      </c>
      <c r="G176">
        <v>1497.7464600000001</v>
      </c>
      <c r="H176">
        <v>1465.6849365</v>
      </c>
      <c r="I176">
        <v>1115.6818848</v>
      </c>
      <c r="J176">
        <v>1017.0723267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9.2135189999999998</v>
      </c>
      <c r="B177" s="1">
        <f>DATE(2010,5,10) + TIME(5,7,28)</f>
        <v>40308.213518518518</v>
      </c>
      <c r="C177">
        <v>80</v>
      </c>
      <c r="D177">
        <v>79.955566406000003</v>
      </c>
      <c r="E177">
        <v>50</v>
      </c>
      <c r="F177">
        <v>14.99011898</v>
      </c>
      <c r="G177">
        <v>1497.4639893000001</v>
      </c>
      <c r="H177">
        <v>1465.40625</v>
      </c>
      <c r="I177">
        <v>1115.6838379000001</v>
      </c>
      <c r="J177">
        <v>1017.0744019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9.3739399999999993</v>
      </c>
      <c r="B178" s="1">
        <f>DATE(2010,5,10) + TIME(8,58,28)</f>
        <v>40308.373935185184</v>
      </c>
      <c r="C178">
        <v>80</v>
      </c>
      <c r="D178">
        <v>79.955581664999997</v>
      </c>
      <c r="E178">
        <v>50</v>
      </c>
      <c r="F178">
        <v>14.990166664</v>
      </c>
      <c r="G178">
        <v>1497.1853027</v>
      </c>
      <c r="H178">
        <v>1465.1314697</v>
      </c>
      <c r="I178">
        <v>1115.6857910000001</v>
      </c>
      <c r="J178">
        <v>1017.0764771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9.5353899999999996</v>
      </c>
      <c r="B179" s="1">
        <f>DATE(2010,5,10) + TIME(12,50,57)</f>
        <v>40308.535381944443</v>
      </c>
      <c r="C179">
        <v>80</v>
      </c>
      <c r="D179">
        <v>79.955589294000006</v>
      </c>
      <c r="E179">
        <v>50</v>
      </c>
      <c r="F179">
        <v>14.990213394</v>
      </c>
      <c r="G179">
        <v>1496.9100341999999</v>
      </c>
      <c r="H179">
        <v>1464.8598632999999</v>
      </c>
      <c r="I179">
        <v>1115.6877440999999</v>
      </c>
      <c r="J179">
        <v>1017.0785522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9.6981160000000006</v>
      </c>
      <c r="B180" s="1">
        <f>DATE(2010,5,10) + TIME(16,45,17)</f>
        <v>40308.698113425926</v>
      </c>
      <c r="C180">
        <v>80</v>
      </c>
      <c r="D180">
        <v>79.955604553000001</v>
      </c>
      <c r="E180">
        <v>50</v>
      </c>
      <c r="F180">
        <v>14.990260124000001</v>
      </c>
      <c r="G180">
        <v>1496.6375731999999</v>
      </c>
      <c r="H180">
        <v>1464.5911865</v>
      </c>
      <c r="I180">
        <v>1115.6898193</v>
      </c>
      <c r="J180">
        <v>1017.0806274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9.8621540000000003</v>
      </c>
      <c r="B181" s="1">
        <f>DATE(2010,5,10) + TIME(20,41,30)</f>
        <v>40308.86215277778</v>
      </c>
      <c r="C181">
        <v>80</v>
      </c>
      <c r="D181">
        <v>79.955612183</v>
      </c>
      <c r="E181">
        <v>50</v>
      </c>
      <c r="F181">
        <v>14.990305900999999</v>
      </c>
      <c r="G181">
        <v>1496.3674315999999</v>
      </c>
      <c r="H181">
        <v>1464.3248291</v>
      </c>
      <c r="I181">
        <v>1115.6917725000001</v>
      </c>
      <c r="J181">
        <v>1017.0827637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10.027561</v>
      </c>
      <c r="B182" s="1">
        <f>DATE(2010,5,11) + TIME(0,39,41)</f>
        <v>40309.027557870373</v>
      </c>
      <c r="C182">
        <v>80</v>
      </c>
      <c r="D182">
        <v>79.955619811999995</v>
      </c>
      <c r="E182">
        <v>50</v>
      </c>
      <c r="F182">
        <v>14.990351677</v>
      </c>
      <c r="G182">
        <v>1496.0996094</v>
      </c>
      <c r="H182">
        <v>1464.0606689000001</v>
      </c>
      <c r="I182">
        <v>1115.6937256000001</v>
      </c>
      <c r="J182">
        <v>1017.0848999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10.194584000000001</v>
      </c>
      <c r="B183" s="1">
        <f>DATE(2010,5,11) + TIME(4,40,12)</f>
        <v>40309.19458333333</v>
      </c>
      <c r="C183">
        <v>80</v>
      </c>
      <c r="D183">
        <v>79.955635071000003</v>
      </c>
      <c r="E183">
        <v>50</v>
      </c>
      <c r="F183">
        <v>14.990397453</v>
      </c>
      <c r="G183">
        <v>1495.8338623</v>
      </c>
      <c r="H183">
        <v>1463.7987060999999</v>
      </c>
      <c r="I183">
        <v>1115.6958007999999</v>
      </c>
      <c r="J183">
        <v>1017.0870361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10.363472</v>
      </c>
      <c r="B184" s="1">
        <f>DATE(2010,5,11) + TIME(8,43,24)</f>
        <v>40309.36347222222</v>
      </c>
      <c r="C184">
        <v>80</v>
      </c>
      <c r="D184">
        <v>79.955642699999999</v>
      </c>
      <c r="E184">
        <v>50</v>
      </c>
      <c r="F184">
        <v>14.990442276</v>
      </c>
      <c r="G184">
        <v>1495.5698242000001</v>
      </c>
      <c r="H184">
        <v>1463.5383300999999</v>
      </c>
      <c r="I184">
        <v>1115.697876</v>
      </c>
      <c r="J184">
        <v>1017.0891724000001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10.534489000000001</v>
      </c>
      <c r="B185" s="1">
        <f>DATE(2010,5,11) + TIME(12,49,39)</f>
        <v>40309.534479166665</v>
      </c>
      <c r="C185">
        <v>80</v>
      </c>
      <c r="D185">
        <v>79.955657959000007</v>
      </c>
      <c r="E185">
        <v>50</v>
      </c>
      <c r="F185">
        <v>14.990488052</v>
      </c>
      <c r="G185">
        <v>1495.3071289</v>
      </c>
      <c r="H185">
        <v>1463.2792969</v>
      </c>
      <c r="I185">
        <v>1115.6999512</v>
      </c>
      <c r="J185">
        <v>1017.0913696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10.707953</v>
      </c>
      <c r="B186" s="1">
        <f>DATE(2010,5,11) + TIME(16,59,27)</f>
        <v>40309.707951388889</v>
      </c>
      <c r="C186">
        <v>80</v>
      </c>
      <c r="D186">
        <v>79.955665588000002</v>
      </c>
      <c r="E186">
        <v>50</v>
      </c>
      <c r="F186">
        <v>14.990532875</v>
      </c>
      <c r="G186">
        <v>1495.0454102000001</v>
      </c>
      <c r="H186">
        <v>1463.0211182</v>
      </c>
      <c r="I186">
        <v>1115.7020264</v>
      </c>
      <c r="J186">
        <v>1017.0935669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10.884142000000001</v>
      </c>
      <c r="B187" s="1">
        <f>DATE(2010,5,11) + TIME(21,13,9)</f>
        <v>40309.884131944447</v>
      </c>
      <c r="C187">
        <v>80</v>
      </c>
      <c r="D187">
        <v>79.955673218000001</v>
      </c>
      <c r="E187">
        <v>50</v>
      </c>
      <c r="F187">
        <v>14.990577697999999</v>
      </c>
      <c r="G187">
        <v>1494.7840576000001</v>
      </c>
      <c r="H187">
        <v>1462.7634277</v>
      </c>
      <c r="I187">
        <v>1115.7041016000001</v>
      </c>
      <c r="J187">
        <v>1017.0958252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11.063335</v>
      </c>
      <c r="B188" s="1">
        <f>DATE(2010,5,12) + TIME(1,31,12)</f>
        <v>40310.063333333332</v>
      </c>
      <c r="C188">
        <v>80</v>
      </c>
      <c r="D188">
        <v>79.955688476999995</v>
      </c>
      <c r="E188">
        <v>50</v>
      </c>
      <c r="F188">
        <v>14.990622520000001</v>
      </c>
      <c r="G188">
        <v>1494.5228271000001</v>
      </c>
      <c r="H188">
        <v>1462.5058594</v>
      </c>
      <c r="I188">
        <v>1115.7062988</v>
      </c>
      <c r="J188">
        <v>1017.0980835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11.245863</v>
      </c>
      <c r="B189" s="1">
        <f>DATE(2010,5,12) + TIME(5,54,2)</f>
        <v>40310.245856481481</v>
      </c>
      <c r="C189">
        <v>80</v>
      </c>
      <c r="D189">
        <v>79.955696106000005</v>
      </c>
      <c r="E189">
        <v>50</v>
      </c>
      <c r="F189">
        <v>14.990667343</v>
      </c>
      <c r="G189">
        <v>1494.2613524999999</v>
      </c>
      <c r="H189">
        <v>1462.2480469</v>
      </c>
      <c r="I189">
        <v>1115.7084961</v>
      </c>
      <c r="J189">
        <v>1017.1004028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11.432079</v>
      </c>
      <c r="B190" s="1">
        <f>DATE(2010,5,12) + TIME(10,22,11)</f>
        <v>40310.432071759256</v>
      </c>
      <c r="C190">
        <v>80</v>
      </c>
      <c r="D190">
        <v>79.955711364999999</v>
      </c>
      <c r="E190">
        <v>50</v>
      </c>
      <c r="F190">
        <v>14.990712166</v>
      </c>
      <c r="G190">
        <v>1493.9992675999999</v>
      </c>
      <c r="H190">
        <v>1461.9895019999999</v>
      </c>
      <c r="I190">
        <v>1115.7106934000001</v>
      </c>
      <c r="J190">
        <v>1017.1027222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11.622369000000001</v>
      </c>
      <c r="B191" s="1">
        <f>DATE(2010,5,12) + TIME(14,56,12)</f>
        <v>40310.622361111113</v>
      </c>
      <c r="C191">
        <v>80</v>
      </c>
      <c r="D191">
        <v>79.955726623999993</v>
      </c>
      <c r="E191">
        <v>50</v>
      </c>
      <c r="F191">
        <v>14.990756988999999</v>
      </c>
      <c r="G191">
        <v>1493.7360839999999</v>
      </c>
      <c r="H191">
        <v>1461.7299805</v>
      </c>
      <c r="I191">
        <v>1115.7130127</v>
      </c>
      <c r="J191">
        <v>1017.1051636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11.816773</v>
      </c>
      <c r="B192" s="1">
        <f>DATE(2010,5,12) + TIME(19,36,9)</f>
        <v>40310.816770833335</v>
      </c>
      <c r="C192">
        <v>80</v>
      </c>
      <c r="D192">
        <v>79.955734253000003</v>
      </c>
      <c r="E192">
        <v>50</v>
      </c>
      <c r="F192">
        <v>14.990802765</v>
      </c>
      <c r="G192">
        <v>1493.4714355000001</v>
      </c>
      <c r="H192">
        <v>1461.4691161999999</v>
      </c>
      <c r="I192">
        <v>1115.715332</v>
      </c>
      <c r="J192">
        <v>1017.107605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12.014801</v>
      </c>
      <c r="B193" s="1">
        <f>DATE(2010,5,13) + TIME(0,21,18)</f>
        <v>40311.014791666668</v>
      </c>
      <c r="C193">
        <v>80</v>
      </c>
      <c r="D193">
        <v>79.955749511999997</v>
      </c>
      <c r="E193">
        <v>50</v>
      </c>
      <c r="F193">
        <v>14.990848541</v>
      </c>
      <c r="G193">
        <v>1493.2054443</v>
      </c>
      <c r="H193">
        <v>1461.2067870999999</v>
      </c>
      <c r="I193">
        <v>1115.7176514</v>
      </c>
      <c r="J193">
        <v>1017.1101073999999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12.213387000000001</v>
      </c>
      <c r="B194" s="1">
        <f>DATE(2010,5,13) + TIME(5,7,16)</f>
        <v>40311.213379629633</v>
      </c>
      <c r="C194">
        <v>80</v>
      </c>
      <c r="D194">
        <v>79.955757141000007</v>
      </c>
      <c r="E194">
        <v>50</v>
      </c>
      <c r="F194">
        <v>14.990893364</v>
      </c>
      <c r="G194">
        <v>1492.9388428</v>
      </c>
      <c r="H194">
        <v>1460.9438477000001</v>
      </c>
      <c r="I194">
        <v>1115.7200928</v>
      </c>
      <c r="J194">
        <v>1017.1126099000001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12.41235</v>
      </c>
      <c r="B195" s="1">
        <f>DATE(2010,5,13) + TIME(9,53,47)</f>
        <v>40311.412349537037</v>
      </c>
      <c r="C195">
        <v>80</v>
      </c>
      <c r="D195">
        <v>79.955772400000001</v>
      </c>
      <c r="E195">
        <v>50</v>
      </c>
      <c r="F195">
        <v>14.990938186999999</v>
      </c>
      <c r="G195">
        <v>1492.6756591999999</v>
      </c>
      <c r="H195">
        <v>1460.6842041</v>
      </c>
      <c r="I195">
        <v>1115.7225341999999</v>
      </c>
      <c r="J195">
        <v>1017.1151123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12.612012999999999</v>
      </c>
      <c r="B196" s="1">
        <f>DATE(2010,5,13) + TIME(14,41,17)</f>
        <v>40311.612002314818</v>
      </c>
      <c r="C196">
        <v>80</v>
      </c>
      <c r="D196">
        <v>79.955787658999995</v>
      </c>
      <c r="E196">
        <v>50</v>
      </c>
      <c r="F196">
        <v>14.990983009000001</v>
      </c>
      <c r="G196">
        <v>1492.4160156</v>
      </c>
      <c r="H196">
        <v>1460.4282227000001</v>
      </c>
      <c r="I196">
        <v>1115.7249756000001</v>
      </c>
      <c r="J196">
        <v>1017.1176758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12.812687</v>
      </c>
      <c r="B197" s="1">
        <f>DATE(2010,5,13) + TIME(19,30,16)</f>
        <v>40311.812685185185</v>
      </c>
      <c r="C197">
        <v>80</v>
      </c>
      <c r="D197">
        <v>79.955795288000004</v>
      </c>
      <c r="E197">
        <v>50</v>
      </c>
      <c r="F197">
        <v>14.991026878</v>
      </c>
      <c r="G197">
        <v>1492.159668</v>
      </c>
      <c r="H197">
        <v>1460.175293</v>
      </c>
      <c r="I197">
        <v>1115.7274170000001</v>
      </c>
      <c r="J197">
        <v>1017.1202393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13.014559999999999</v>
      </c>
      <c r="B198" s="1">
        <f>DATE(2010,5,14) + TIME(0,20,57)</f>
        <v>40312.014548611114</v>
      </c>
      <c r="C198">
        <v>80</v>
      </c>
      <c r="D198">
        <v>79.955810546999999</v>
      </c>
      <c r="E198">
        <v>50</v>
      </c>
      <c r="F198">
        <v>14.991070747</v>
      </c>
      <c r="G198">
        <v>1491.9060059000001</v>
      </c>
      <c r="H198">
        <v>1459.9251709</v>
      </c>
      <c r="I198">
        <v>1115.7298584</v>
      </c>
      <c r="J198">
        <v>1017.1227417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13.217457</v>
      </c>
      <c r="B199" s="1">
        <f>DATE(2010,5,14) + TIME(5,13,8)</f>
        <v>40312.217453703706</v>
      </c>
      <c r="C199">
        <v>80</v>
      </c>
      <c r="D199">
        <v>79.955825806000007</v>
      </c>
      <c r="E199">
        <v>50</v>
      </c>
      <c r="F199">
        <v>14.991113663</v>
      </c>
      <c r="G199">
        <v>1491.6546631000001</v>
      </c>
      <c r="H199">
        <v>1459.6772461</v>
      </c>
      <c r="I199">
        <v>1115.7322998</v>
      </c>
      <c r="J199">
        <v>1017.1253662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13.42168</v>
      </c>
      <c r="B200" s="1">
        <f>DATE(2010,5,14) + TIME(10,7,13)</f>
        <v>40312.421678240738</v>
      </c>
      <c r="C200">
        <v>80</v>
      </c>
      <c r="D200">
        <v>79.955833435000002</v>
      </c>
      <c r="E200">
        <v>50</v>
      </c>
      <c r="F200">
        <v>14.991156578</v>
      </c>
      <c r="G200">
        <v>1491.4057617000001</v>
      </c>
      <c r="H200">
        <v>1459.4317627</v>
      </c>
      <c r="I200">
        <v>1115.7347411999999</v>
      </c>
      <c r="J200">
        <v>1017.1279297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13.627530999999999</v>
      </c>
      <c r="B201" s="1">
        <f>DATE(2010,5,14) + TIME(15,3,38)</f>
        <v>40312.627523148149</v>
      </c>
      <c r="C201">
        <v>80</v>
      </c>
      <c r="D201">
        <v>79.955848693999997</v>
      </c>
      <c r="E201">
        <v>50</v>
      </c>
      <c r="F201">
        <v>14.991198539999999</v>
      </c>
      <c r="G201">
        <v>1491.1591797000001</v>
      </c>
      <c r="H201">
        <v>1459.1884766000001</v>
      </c>
      <c r="I201">
        <v>1115.7373047000001</v>
      </c>
      <c r="J201">
        <v>1017.1304932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13.835316000000001</v>
      </c>
      <c r="B202" s="1">
        <f>DATE(2010,5,14) + TIME(20,2,51)</f>
        <v>40312.835312499999</v>
      </c>
      <c r="C202">
        <v>80</v>
      </c>
      <c r="D202">
        <v>79.955863953000005</v>
      </c>
      <c r="E202">
        <v>50</v>
      </c>
      <c r="F202">
        <v>14.991241455000001</v>
      </c>
      <c r="G202">
        <v>1490.9141846</v>
      </c>
      <c r="H202">
        <v>1458.9468993999999</v>
      </c>
      <c r="I202">
        <v>1115.7397461</v>
      </c>
      <c r="J202">
        <v>1017.1331177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14.045353</v>
      </c>
      <c r="B203" s="1">
        <f>DATE(2010,5,15) + TIME(1,5,18)</f>
        <v>40313.045347222222</v>
      </c>
      <c r="C203">
        <v>80</v>
      </c>
      <c r="D203">
        <v>79.955879210999996</v>
      </c>
      <c r="E203">
        <v>50</v>
      </c>
      <c r="F203">
        <v>14.991283417</v>
      </c>
      <c r="G203">
        <v>1490.6706543</v>
      </c>
      <c r="H203">
        <v>1458.7066649999999</v>
      </c>
      <c r="I203">
        <v>1115.7423096</v>
      </c>
      <c r="J203">
        <v>1017.1358032000001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14.25798</v>
      </c>
      <c r="B204" s="1">
        <f>DATE(2010,5,15) + TIME(6,11,29)</f>
        <v>40313.257974537039</v>
      </c>
      <c r="C204">
        <v>80</v>
      </c>
      <c r="D204">
        <v>79.955894470000004</v>
      </c>
      <c r="E204">
        <v>50</v>
      </c>
      <c r="F204">
        <v>14.991324425</v>
      </c>
      <c r="G204">
        <v>1490.4279785000001</v>
      </c>
      <c r="H204">
        <v>1458.4674072</v>
      </c>
      <c r="I204">
        <v>1115.7448730000001</v>
      </c>
      <c r="J204">
        <v>1017.1384888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14.473625999999999</v>
      </c>
      <c r="B205" s="1">
        <f>DATE(2010,5,15) + TIME(11,22,1)</f>
        <v>40313.473622685182</v>
      </c>
      <c r="C205">
        <v>80</v>
      </c>
      <c r="D205">
        <v>79.955902100000003</v>
      </c>
      <c r="E205">
        <v>50</v>
      </c>
      <c r="F205">
        <v>14.991366385999999</v>
      </c>
      <c r="G205">
        <v>1490.1860352000001</v>
      </c>
      <c r="H205">
        <v>1458.2286377</v>
      </c>
      <c r="I205">
        <v>1115.7474365</v>
      </c>
      <c r="J205">
        <v>1017.1411743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14.692570999999999</v>
      </c>
      <c r="B206" s="1">
        <f>DATE(2010,5,15) + TIME(16,37,18)</f>
        <v>40313.692569444444</v>
      </c>
      <c r="C206">
        <v>80</v>
      </c>
      <c r="D206">
        <v>79.955917357999994</v>
      </c>
      <c r="E206">
        <v>50</v>
      </c>
      <c r="F206">
        <v>14.991408348</v>
      </c>
      <c r="G206">
        <v>1489.9442139</v>
      </c>
      <c r="H206">
        <v>1457.9901123</v>
      </c>
      <c r="I206">
        <v>1115.7501221</v>
      </c>
      <c r="J206">
        <v>1017.1439209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14.915203</v>
      </c>
      <c r="B207" s="1">
        <f>DATE(2010,5,15) + TIME(21,57,53)</f>
        <v>40313.915196759262</v>
      </c>
      <c r="C207">
        <v>80</v>
      </c>
      <c r="D207">
        <v>79.955932617000002</v>
      </c>
      <c r="E207">
        <v>50</v>
      </c>
      <c r="F207">
        <v>14.991450309999999</v>
      </c>
      <c r="G207">
        <v>1489.7022704999999</v>
      </c>
      <c r="H207">
        <v>1457.7514647999999</v>
      </c>
      <c r="I207">
        <v>1115.7528076000001</v>
      </c>
      <c r="J207">
        <v>1017.1467285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15.141939000000001</v>
      </c>
      <c r="B208" s="1">
        <f>DATE(2010,5,16) + TIME(3,24,23)</f>
        <v>40314.141932870371</v>
      </c>
      <c r="C208">
        <v>80</v>
      </c>
      <c r="D208">
        <v>79.955947875999996</v>
      </c>
      <c r="E208">
        <v>50</v>
      </c>
      <c r="F208">
        <v>14.991491318</v>
      </c>
      <c r="G208">
        <v>1489.4598389</v>
      </c>
      <c r="H208">
        <v>1457.5123291</v>
      </c>
      <c r="I208">
        <v>1115.7554932</v>
      </c>
      <c r="J208">
        <v>1017.1495361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15.373234</v>
      </c>
      <c r="B209" s="1">
        <f>DATE(2010,5,16) + TIME(8,57,27)</f>
        <v>40314.373229166667</v>
      </c>
      <c r="C209">
        <v>80</v>
      </c>
      <c r="D209">
        <v>79.955963135000005</v>
      </c>
      <c r="E209">
        <v>50</v>
      </c>
      <c r="F209">
        <v>14.991533279</v>
      </c>
      <c r="G209">
        <v>1489.2165527</v>
      </c>
      <c r="H209">
        <v>1457.2723389</v>
      </c>
      <c r="I209">
        <v>1115.7583007999999</v>
      </c>
      <c r="J209">
        <v>1017.1524658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15.609578000000001</v>
      </c>
      <c r="B210" s="1">
        <f>DATE(2010,5,16) + TIME(14,37,47)</f>
        <v>40314.609571759262</v>
      </c>
      <c r="C210">
        <v>80</v>
      </c>
      <c r="D210">
        <v>79.955978393999999</v>
      </c>
      <c r="E210">
        <v>50</v>
      </c>
      <c r="F210">
        <v>14.991576195</v>
      </c>
      <c r="G210">
        <v>1488.9720459</v>
      </c>
      <c r="H210">
        <v>1457.0311279</v>
      </c>
      <c r="I210">
        <v>1115.7612305</v>
      </c>
      <c r="J210">
        <v>1017.1553955000001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15.849726</v>
      </c>
      <c r="B211" s="1">
        <f>DATE(2010,5,16) + TIME(20,23,36)</f>
        <v>40314.849722222221</v>
      </c>
      <c r="C211">
        <v>80</v>
      </c>
      <c r="D211">
        <v>79.955993652000004</v>
      </c>
      <c r="E211">
        <v>50</v>
      </c>
      <c r="F211">
        <v>14.991618155999999</v>
      </c>
      <c r="G211">
        <v>1488.7259521000001</v>
      </c>
      <c r="H211">
        <v>1456.7883300999999</v>
      </c>
      <c r="I211">
        <v>1115.7640381000001</v>
      </c>
      <c r="J211">
        <v>1017.1584473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16.090453</v>
      </c>
      <c r="B212" s="1">
        <f>DATE(2010,5,17) + TIME(2,10,15)</f>
        <v>40315.090451388889</v>
      </c>
      <c r="C212">
        <v>80</v>
      </c>
      <c r="D212">
        <v>79.956008910999998</v>
      </c>
      <c r="E212">
        <v>50</v>
      </c>
      <c r="F212">
        <v>14.991660118</v>
      </c>
      <c r="G212">
        <v>1488.4796143000001</v>
      </c>
      <c r="H212">
        <v>1456.5452881000001</v>
      </c>
      <c r="I212">
        <v>1115.7670897999999</v>
      </c>
      <c r="J212">
        <v>1017.161499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16.331773999999999</v>
      </c>
      <c r="B213" s="1">
        <f>DATE(2010,5,17) + TIME(7,57,45)</f>
        <v>40315.331770833334</v>
      </c>
      <c r="C213">
        <v>80</v>
      </c>
      <c r="D213">
        <v>79.956031799000002</v>
      </c>
      <c r="E213">
        <v>50</v>
      </c>
      <c r="F213">
        <v>14.99170208</v>
      </c>
      <c r="G213">
        <v>1488.2362060999999</v>
      </c>
      <c r="H213">
        <v>1456.3050536999999</v>
      </c>
      <c r="I213">
        <v>1115.7700195</v>
      </c>
      <c r="J213">
        <v>1017.1645508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16.574033</v>
      </c>
      <c r="B214" s="1">
        <f>DATE(2010,5,17) + TIME(13,46,36)</f>
        <v>40315.57402777778</v>
      </c>
      <c r="C214">
        <v>80</v>
      </c>
      <c r="D214">
        <v>79.956047057999996</v>
      </c>
      <c r="E214">
        <v>50</v>
      </c>
      <c r="F214">
        <v>14.991743088</v>
      </c>
      <c r="G214">
        <v>1487.9957274999999</v>
      </c>
      <c r="H214">
        <v>1456.067749</v>
      </c>
      <c r="I214">
        <v>1115.7729492000001</v>
      </c>
      <c r="J214">
        <v>1017.1676025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16.816808000000002</v>
      </c>
      <c r="B215" s="1">
        <f>DATE(2010,5,17) + TIME(19,36,12)</f>
        <v>40315.816805555558</v>
      </c>
      <c r="C215">
        <v>80</v>
      </c>
      <c r="D215">
        <v>79.956062317000004</v>
      </c>
      <c r="E215">
        <v>50</v>
      </c>
      <c r="F215">
        <v>14.991784096</v>
      </c>
      <c r="G215">
        <v>1487.7578125</v>
      </c>
      <c r="H215">
        <v>1455.8330077999999</v>
      </c>
      <c r="I215">
        <v>1115.776001</v>
      </c>
      <c r="J215">
        <v>1017.1707153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17.060459999999999</v>
      </c>
      <c r="B216" s="1">
        <f>DATE(2010,5,18) + TIME(1,27,3)</f>
        <v>40316.06045138889</v>
      </c>
      <c r="C216">
        <v>80</v>
      </c>
      <c r="D216">
        <v>79.956077575999998</v>
      </c>
      <c r="E216">
        <v>50</v>
      </c>
      <c r="F216">
        <v>14.991824149999999</v>
      </c>
      <c r="G216">
        <v>1487.5228271000001</v>
      </c>
      <c r="H216">
        <v>1455.6010742000001</v>
      </c>
      <c r="I216">
        <v>1115.7789307</v>
      </c>
      <c r="J216">
        <v>1017.1737671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17.305350000000001</v>
      </c>
      <c r="B217" s="1">
        <f>DATE(2010,5,18) + TIME(7,19,42)</f>
        <v>40316.305347222224</v>
      </c>
      <c r="C217">
        <v>80</v>
      </c>
      <c r="D217">
        <v>79.956092834000003</v>
      </c>
      <c r="E217">
        <v>50</v>
      </c>
      <c r="F217">
        <v>14.991864204000001</v>
      </c>
      <c r="G217">
        <v>1487.2902832</v>
      </c>
      <c r="H217">
        <v>1455.371582</v>
      </c>
      <c r="I217">
        <v>1115.7819824000001</v>
      </c>
      <c r="J217">
        <v>1017.1768799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17.551841</v>
      </c>
      <c r="B218" s="1">
        <f>DATE(2010,5,18) + TIME(13,14,39)</f>
        <v>40316.551840277774</v>
      </c>
      <c r="C218">
        <v>80</v>
      </c>
      <c r="D218">
        <v>79.956108092999997</v>
      </c>
      <c r="E218">
        <v>50</v>
      </c>
      <c r="F218">
        <v>14.991904259</v>
      </c>
      <c r="G218">
        <v>1487.0598144999999</v>
      </c>
      <c r="H218">
        <v>1455.1441649999999</v>
      </c>
      <c r="I218">
        <v>1115.7849120999999</v>
      </c>
      <c r="J218">
        <v>1017.1799927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17.800301999999999</v>
      </c>
      <c r="B219" s="1">
        <f>DATE(2010,5,18) + TIME(19,12,26)</f>
        <v>40316.800300925926</v>
      </c>
      <c r="C219">
        <v>80</v>
      </c>
      <c r="D219">
        <v>79.956130981000001</v>
      </c>
      <c r="E219">
        <v>50</v>
      </c>
      <c r="F219">
        <v>14.991943359</v>
      </c>
      <c r="G219">
        <v>1486.8311768000001</v>
      </c>
      <c r="H219">
        <v>1454.918457</v>
      </c>
      <c r="I219">
        <v>1115.7879639</v>
      </c>
      <c r="J219">
        <v>1017.1831665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18.051110000000001</v>
      </c>
      <c r="B220" s="1">
        <f>DATE(2010,5,19) + TIME(1,13,35)</f>
        <v>40317.051099537035</v>
      </c>
      <c r="C220">
        <v>80</v>
      </c>
      <c r="D220">
        <v>79.956146239999995</v>
      </c>
      <c r="E220">
        <v>50</v>
      </c>
      <c r="F220">
        <v>14.991982459999999</v>
      </c>
      <c r="G220">
        <v>1486.6037598</v>
      </c>
      <c r="H220">
        <v>1454.6939697</v>
      </c>
      <c r="I220">
        <v>1115.7911377</v>
      </c>
      <c r="J220">
        <v>1017.1863403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18.304653999999999</v>
      </c>
      <c r="B221" s="1">
        <f>DATE(2010,5,19) + TIME(7,18,42)</f>
        <v>40317.304652777777</v>
      </c>
      <c r="C221">
        <v>80</v>
      </c>
      <c r="D221">
        <v>79.956161499000004</v>
      </c>
      <c r="E221">
        <v>50</v>
      </c>
      <c r="F221">
        <v>14.992021561</v>
      </c>
      <c r="G221">
        <v>1486.3773193</v>
      </c>
      <c r="H221">
        <v>1454.4705810999999</v>
      </c>
      <c r="I221">
        <v>1115.7941894999999</v>
      </c>
      <c r="J221">
        <v>1017.1895142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18.561411</v>
      </c>
      <c r="B222" s="1">
        <f>DATE(2010,5,19) + TIME(13,28,25)</f>
        <v>40317.561400462961</v>
      </c>
      <c r="C222">
        <v>80</v>
      </c>
      <c r="D222">
        <v>79.956184386999993</v>
      </c>
      <c r="E222">
        <v>50</v>
      </c>
      <c r="F222">
        <v>14.992060661</v>
      </c>
      <c r="G222">
        <v>1486.1516113</v>
      </c>
      <c r="H222">
        <v>1454.2478027</v>
      </c>
      <c r="I222">
        <v>1115.7973632999999</v>
      </c>
      <c r="J222">
        <v>1017.1928101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18.821787</v>
      </c>
      <c r="B223" s="1">
        <f>DATE(2010,5,19) + TIME(19,43,22)</f>
        <v>40317.821782407409</v>
      </c>
      <c r="C223">
        <v>80</v>
      </c>
      <c r="D223">
        <v>79.956199646000002</v>
      </c>
      <c r="E223">
        <v>50</v>
      </c>
      <c r="F223">
        <v>14.992099762</v>
      </c>
      <c r="G223">
        <v>1485.9262695</v>
      </c>
      <c r="H223">
        <v>1454.0252685999999</v>
      </c>
      <c r="I223">
        <v>1115.8005370999999</v>
      </c>
      <c r="J223">
        <v>1017.196106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19.086189999999998</v>
      </c>
      <c r="B224" s="1">
        <f>DATE(2010,5,20) + TIME(2,4,6)</f>
        <v>40318.086180555554</v>
      </c>
      <c r="C224">
        <v>80</v>
      </c>
      <c r="D224">
        <v>79.956214904999996</v>
      </c>
      <c r="E224">
        <v>50</v>
      </c>
      <c r="F224">
        <v>14.992137909</v>
      </c>
      <c r="G224">
        <v>1485.7006836</v>
      </c>
      <c r="H224">
        <v>1453.8026123</v>
      </c>
      <c r="I224">
        <v>1115.8038329999999</v>
      </c>
      <c r="J224">
        <v>1017.1994019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19.3551</v>
      </c>
      <c r="B225" s="1">
        <f>DATE(2010,5,20) + TIME(8,31,20)</f>
        <v>40318.355092592596</v>
      </c>
      <c r="C225">
        <v>80</v>
      </c>
      <c r="D225">
        <v>79.956237793</v>
      </c>
      <c r="E225">
        <v>50</v>
      </c>
      <c r="F225">
        <v>14.992177010000001</v>
      </c>
      <c r="G225">
        <v>1485.4748535000001</v>
      </c>
      <c r="H225">
        <v>1453.5797118999999</v>
      </c>
      <c r="I225">
        <v>1115.8071289</v>
      </c>
      <c r="J225">
        <v>1017.2028198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19.629024000000001</v>
      </c>
      <c r="B226" s="1">
        <f>DATE(2010,5,20) + TIME(15,5,47)</f>
        <v>40318.629016203704</v>
      </c>
      <c r="C226">
        <v>80</v>
      </c>
      <c r="D226">
        <v>79.956253051999994</v>
      </c>
      <c r="E226">
        <v>50</v>
      </c>
      <c r="F226">
        <v>14.992216109999999</v>
      </c>
      <c r="G226">
        <v>1485.2482910000001</v>
      </c>
      <c r="H226">
        <v>1453.355957</v>
      </c>
      <c r="I226">
        <v>1115.8104248</v>
      </c>
      <c r="J226">
        <v>1017.2062988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19.908542000000001</v>
      </c>
      <c r="B227" s="1">
        <f>DATE(2010,5,20) + TIME(21,48,17)</f>
        <v>40318.908530092594</v>
      </c>
      <c r="C227">
        <v>80</v>
      </c>
      <c r="D227">
        <v>79.956275939999998</v>
      </c>
      <c r="E227">
        <v>50</v>
      </c>
      <c r="F227">
        <v>14.992255211</v>
      </c>
      <c r="G227">
        <v>1485.0207519999999</v>
      </c>
      <c r="H227">
        <v>1453.1312256000001</v>
      </c>
      <c r="I227">
        <v>1115.8138428</v>
      </c>
      <c r="J227">
        <v>1017.2098389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20.193726000000002</v>
      </c>
      <c r="B228" s="1">
        <f>DATE(2010,5,21) + TIME(4,38,57)</f>
        <v>40319.193715277775</v>
      </c>
      <c r="C228">
        <v>80</v>
      </c>
      <c r="D228">
        <v>79.956298828000001</v>
      </c>
      <c r="E228">
        <v>50</v>
      </c>
      <c r="F228">
        <v>14.992295264999999</v>
      </c>
      <c r="G228">
        <v>1484.791626</v>
      </c>
      <c r="H228">
        <v>1452.9051514</v>
      </c>
      <c r="I228">
        <v>1115.8173827999999</v>
      </c>
      <c r="J228">
        <v>1017.2134399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20.480111999999998</v>
      </c>
      <c r="B229" s="1">
        <f>DATE(2010,5,21) + TIME(11,31,21)</f>
        <v>40319.480104166665</v>
      </c>
      <c r="C229">
        <v>80</v>
      </c>
      <c r="D229">
        <v>79.956314086999996</v>
      </c>
      <c r="E229">
        <v>50</v>
      </c>
      <c r="F229">
        <v>14.992334366</v>
      </c>
      <c r="G229">
        <v>1484.5611572</v>
      </c>
      <c r="H229">
        <v>1452.6774902</v>
      </c>
      <c r="I229">
        <v>1115.8209228999999</v>
      </c>
      <c r="J229">
        <v>1017.2171021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20.766652000000001</v>
      </c>
      <c r="B230" s="1">
        <f>DATE(2010,5,21) + TIME(18,23,58)</f>
        <v>40319.766643518517</v>
      </c>
      <c r="C230">
        <v>80</v>
      </c>
      <c r="D230">
        <v>79.956336974999999</v>
      </c>
      <c r="E230">
        <v>50</v>
      </c>
      <c r="F230">
        <v>14.992373466</v>
      </c>
      <c r="G230">
        <v>1484.3328856999999</v>
      </c>
      <c r="H230">
        <v>1452.4520264</v>
      </c>
      <c r="I230">
        <v>1115.8244629000001</v>
      </c>
      <c r="J230">
        <v>1017.2207642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21.053364999999999</v>
      </c>
      <c r="B231" s="1">
        <f>DATE(2010,5,22) + TIME(1,16,50)</f>
        <v>40320.053356481483</v>
      </c>
      <c r="C231">
        <v>80</v>
      </c>
      <c r="D231">
        <v>79.956352233999993</v>
      </c>
      <c r="E231">
        <v>50</v>
      </c>
      <c r="F231">
        <v>14.992411613</v>
      </c>
      <c r="G231">
        <v>1484.1075439000001</v>
      </c>
      <c r="H231">
        <v>1452.2294922000001</v>
      </c>
      <c r="I231">
        <v>1115.828125</v>
      </c>
      <c r="J231">
        <v>1017.2244263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21.340693000000002</v>
      </c>
      <c r="B232" s="1">
        <f>DATE(2010,5,22) + TIME(8,10,35)</f>
        <v>40320.340682870374</v>
      </c>
      <c r="C232">
        <v>80</v>
      </c>
      <c r="D232">
        <v>79.956375121999997</v>
      </c>
      <c r="E232">
        <v>50</v>
      </c>
      <c r="F232">
        <v>14.99244976</v>
      </c>
      <c r="G232">
        <v>1483.8851318</v>
      </c>
      <c r="H232">
        <v>1452.0098877</v>
      </c>
      <c r="I232">
        <v>1115.8316649999999</v>
      </c>
      <c r="J232">
        <v>1017.2281494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21.629072000000001</v>
      </c>
      <c r="B233" s="1">
        <f>DATE(2010,5,22) + TIME(15,5,51)</f>
        <v>40320.629062499997</v>
      </c>
      <c r="C233">
        <v>80</v>
      </c>
      <c r="D233">
        <v>79.956398010000001</v>
      </c>
      <c r="E233">
        <v>50</v>
      </c>
      <c r="F233">
        <v>14.992487906999999</v>
      </c>
      <c r="G233">
        <v>1483.6651611</v>
      </c>
      <c r="H233">
        <v>1451.7926024999999</v>
      </c>
      <c r="I233">
        <v>1115.8353271000001</v>
      </c>
      <c r="J233">
        <v>1017.2318726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21.918927</v>
      </c>
      <c r="B234" s="1">
        <f>DATE(2010,5,22) + TIME(22,3,15)</f>
        <v>40320.918923611112</v>
      </c>
      <c r="C234">
        <v>80</v>
      </c>
      <c r="D234">
        <v>79.956413268999995</v>
      </c>
      <c r="E234">
        <v>50</v>
      </c>
      <c r="F234">
        <v>14.992525101</v>
      </c>
      <c r="G234">
        <v>1483.4473877</v>
      </c>
      <c r="H234">
        <v>1451.5775146000001</v>
      </c>
      <c r="I234">
        <v>1115.8389893000001</v>
      </c>
      <c r="J234">
        <v>1017.2355957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22.21069</v>
      </c>
      <c r="B235" s="1">
        <f>DATE(2010,5,23) + TIME(5,3,23)</f>
        <v>40321.210682870369</v>
      </c>
      <c r="C235">
        <v>80</v>
      </c>
      <c r="D235">
        <v>79.956436156999999</v>
      </c>
      <c r="E235">
        <v>50</v>
      </c>
      <c r="F235">
        <v>14.992562294000001</v>
      </c>
      <c r="G235">
        <v>1483.2313231999999</v>
      </c>
      <c r="H235">
        <v>1451.3641356999999</v>
      </c>
      <c r="I235">
        <v>1115.8426514</v>
      </c>
      <c r="J235">
        <v>1017.2393188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22.504802999999999</v>
      </c>
      <c r="B236" s="1">
        <f>DATE(2010,5,23) + TIME(12,6,54)</f>
        <v>40321.504791666666</v>
      </c>
      <c r="C236">
        <v>80</v>
      </c>
      <c r="D236">
        <v>79.956459045000003</v>
      </c>
      <c r="E236">
        <v>50</v>
      </c>
      <c r="F236">
        <v>14.992599487</v>
      </c>
      <c r="G236">
        <v>1483.0167236</v>
      </c>
      <c r="H236">
        <v>1451.1520995999999</v>
      </c>
      <c r="I236">
        <v>1115.8463135</v>
      </c>
      <c r="J236">
        <v>1017.243103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22.801717</v>
      </c>
      <c r="B237" s="1">
        <f>DATE(2010,5,23) + TIME(19,14,28)</f>
        <v>40321.801712962966</v>
      </c>
      <c r="C237">
        <v>80</v>
      </c>
      <c r="D237">
        <v>79.956481933999996</v>
      </c>
      <c r="E237">
        <v>50</v>
      </c>
      <c r="F237">
        <v>14.992636681</v>
      </c>
      <c r="G237">
        <v>1482.8031006000001</v>
      </c>
      <c r="H237">
        <v>1450.9411620999999</v>
      </c>
      <c r="I237">
        <v>1115.8499756000001</v>
      </c>
      <c r="J237">
        <v>1017.2469482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23.101908999999999</v>
      </c>
      <c r="B238" s="1">
        <f>DATE(2010,5,24) + TIME(2,26,44)</f>
        <v>40322.101898148147</v>
      </c>
      <c r="C238">
        <v>80</v>
      </c>
      <c r="D238">
        <v>79.956504821999999</v>
      </c>
      <c r="E238">
        <v>50</v>
      </c>
      <c r="F238">
        <v>14.99267292</v>
      </c>
      <c r="G238">
        <v>1482.590332</v>
      </c>
      <c r="H238">
        <v>1450.7308350000001</v>
      </c>
      <c r="I238">
        <v>1115.8537598</v>
      </c>
      <c r="J238">
        <v>1017.2507935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23.405985999999999</v>
      </c>
      <c r="B239" s="1">
        <f>DATE(2010,5,24) + TIME(9,44,37)</f>
        <v>40322.4059837963</v>
      </c>
      <c r="C239">
        <v>80</v>
      </c>
      <c r="D239">
        <v>79.956520080999994</v>
      </c>
      <c r="E239">
        <v>50</v>
      </c>
      <c r="F239">
        <v>14.992710113999999</v>
      </c>
      <c r="G239">
        <v>1482.3779297000001</v>
      </c>
      <c r="H239">
        <v>1450.5209961</v>
      </c>
      <c r="I239">
        <v>1115.8576660000001</v>
      </c>
      <c r="J239">
        <v>1017.2547607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23.714343</v>
      </c>
      <c r="B240" s="1">
        <f>DATE(2010,5,24) + TIME(17,8,39)</f>
        <v>40322.71434027778</v>
      </c>
      <c r="C240">
        <v>80</v>
      </c>
      <c r="D240">
        <v>79.956542968999997</v>
      </c>
      <c r="E240">
        <v>50</v>
      </c>
      <c r="F240">
        <v>14.992746352999999</v>
      </c>
      <c r="G240">
        <v>1482.1655272999999</v>
      </c>
      <c r="H240">
        <v>1450.3111572</v>
      </c>
      <c r="I240">
        <v>1115.8615723</v>
      </c>
      <c r="J240">
        <v>1017.258728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24.027526999999999</v>
      </c>
      <c r="B241" s="1">
        <f>DATE(2010,5,25) + TIME(0,39,38)</f>
        <v>40323.02752314815</v>
      </c>
      <c r="C241">
        <v>80</v>
      </c>
      <c r="D241">
        <v>79.956565857000001</v>
      </c>
      <c r="E241">
        <v>50</v>
      </c>
      <c r="F241">
        <v>14.992782592999999</v>
      </c>
      <c r="G241">
        <v>1481.9530029</v>
      </c>
      <c r="H241">
        <v>1450.1010742000001</v>
      </c>
      <c r="I241">
        <v>1115.8654785000001</v>
      </c>
      <c r="J241">
        <v>1017.2627563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24.346115000000001</v>
      </c>
      <c r="B242" s="1">
        <f>DATE(2010,5,25) + TIME(8,18,24)</f>
        <v>40323.34611111111</v>
      </c>
      <c r="C242">
        <v>80</v>
      </c>
      <c r="D242">
        <v>79.956588745000005</v>
      </c>
      <c r="E242">
        <v>50</v>
      </c>
      <c r="F242">
        <v>14.992819786</v>
      </c>
      <c r="G242">
        <v>1481.7398682</v>
      </c>
      <c r="H242">
        <v>1449.8905029</v>
      </c>
      <c r="I242">
        <v>1115.8695068</v>
      </c>
      <c r="J242">
        <v>1017.2668457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24.670624</v>
      </c>
      <c r="B243" s="1">
        <f>DATE(2010,5,25) + TIME(16,5,41)</f>
        <v>40323.670613425929</v>
      </c>
      <c r="C243">
        <v>80</v>
      </c>
      <c r="D243">
        <v>79.956611632999994</v>
      </c>
      <c r="E243">
        <v>50</v>
      </c>
      <c r="F243">
        <v>14.992856979000001</v>
      </c>
      <c r="G243">
        <v>1481.5258789</v>
      </c>
      <c r="H243">
        <v>1449.6790771000001</v>
      </c>
      <c r="I243">
        <v>1115.8735352000001</v>
      </c>
      <c r="J243">
        <v>1017.2710571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24.836141000000001</v>
      </c>
      <c r="B244" s="1">
        <f>DATE(2010,5,25) + TIME(20,4,2)</f>
        <v>40323.836134259262</v>
      </c>
      <c r="C244">
        <v>80</v>
      </c>
      <c r="D244">
        <v>79.956619262999993</v>
      </c>
      <c r="E244">
        <v>50</v>
      </c>
      <c r="F244">
        <v>14.992880821</v>
      </c>
      <c r="G244">
        <v>1481.3117675999999</v>
      </c>
      <c r="H244">
        <v>1449.4674072</v>
      </c>
      <c r="I244">
        <v>1115.8774414</v>
      </c>
      <c r="J244">
        <v>1017.2749634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25.001657000000002</v>
      </c>
      <c r="B245" s="1">
        <f>DATE(2010,5,26) + TIME(0,2,23)</f>
        <v>40324.001655092594</v>
      </c>
      <c r="C245">
        <v>80</v>
      </c>
      <c r="D245">
        <v>79.956626892000003</v>
      </c>
      <c r="E245">
        <v>50</v>
      </c>
      <c r="F245">
        <v>14.992903709</v>
      </c>
      <c r="G245">
        <v>1481.1992187999999</v>
      </c>
      <c r="H245">
        <v>1449.3560791</v>
      </c>
      <c r="I245">
        <v>1115.8796387</v>
      </c>
      <c r="J245">
        <v>1017.2771606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25.167173999999999</v>
      </c>
      <c r="B246" s="1">
        <f>DATE(2010,5,26) + TIME(4,0,43)</f>
        <v>40324.167164351849</v>
      </c>
      <c r="C246">
        <v>80</v>
      </c>
      <c r="D246">
        <v>79.956642150999997</v>
      </c>
      <c r="E246">
        <v>50</v>
      </c>
      <c r="F246">
        <v>14.992924690000001</v>
      </c>
      <c r="G246">
        <v>1481.0905762</v>
      </c>
      <c r="H246">
        <v>1449.2487793</v>
      </c>
      <c r="I246">
        <v>1115.8815918</v>
      </c>
      <c r="J246">
        <v>1017.2792969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25.332689999999999</v>
      </c>
      <c r="B247" s="1">
        <f>DATE(2010,5,26) + TIME(7,59,4)</f>
        <v>40324.332685185182</v>
      </c>
      <c r="C247">
        <v>80</v>
      </c>
      <c r="D247">
        <v>79.956657410000005</v>
      </c>
      <c r="E247">
        <v>50</v>
      </c>
      <c r="F247">
        <v>14.992944717</v>
      </c>
      <c r="G247">
        <v>1480.9831543</v>
      </c>
      <c r="H247">
        <v>1449.1425781</v>
      </c>
      <c r="I247">
        <v>1115.8837891000001</v>
      </c>
      <c r="J247">
        <v>1017.2814331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25.498207000000001</v>
      </c>
      <c r="B248" s="1">
        <f>DATE(2010,5,26) + TIME(11,57,25)</f>
        <v>40324.498206018521</v>
      </c>
      <c r="C248">
        <v>80</v>
      </c>
      <c r="D248">
        <v>79.956672667999996</v>
      </c>
      <c r="E248">
        <v>50</v>
      </c>
      <c r="F248">
        <v>14.992964745</v>
      </c>
      <c r="G248">
        <v>1480.8764647999999</v>
      </c>
      <c r="H248">
        <v>1449.0371094</v>
      </c>
      <c r="I248">
        <v>1115.8858643000001</v>
      </c>
      <c r="J248">
        <v>1017.2836304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25.663723000000001</v>
      </c>
      <c r="B249" s="1">
        <f>DATE(2010,5,26) + TIME(15,55,45)</f>
        <v>40324.663715277777</v>
      </c>
      <c r="C249">
        <v>80</v>
      </c>
      <c r="D249">
        <v>79.956680297999995</v>
      </c>
      <c r="E249">
        <v>50</v>
      </c>
      <c r="F249">
        <v>14.992983818000001</v>
      </c>
      <c r="G249">
        <v>1480.7705077999999</v>
      </c>
      <c r="H249">
        <v>1448.9323730000001</v>
      </c>
      <c r="I249">
        <v>1115.8880615</v>
      </c>
      <c r="J249">
        <v>1017.2858275999999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25.829239000000001</v>
      </c>
      <c r="B250" s="1">
        <f>DATE(2010,5,26) + TIME(19,54,6)</f>
        <v>40324.829236111109</v>
      </c>
      <c r="C250">
        <v>80</v>
      </c>
      <c r="D250">
        <v>79.956695557000003</v>
      </c>
      <c r="E250">
        <v>50</v>
      </c>
      <c r="F250">
        <v>14.993001938000001</v>
      </c>
      <c r="G250">
        <v>1480.6651611</v>
      </c>
      <c r="H250">
        <v>1448.8282471</v>
      </c>
      <c r="I250">
        <v>1115.8901367000001</v>
      </c>
      <c r="J250">
        <v>1017.2880249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25.994755999999999</v>
      </c>
      <c r="B251" s="1">
        <f>DATE(2010,5,26) + TIME(23,52,26)</f>
        <v>40324.994745370372</v>
      </c>
      <c r="C251">
        <v>80</v>
      </c>
      <c r="D251">
        <v>79.956710814999994</v>
      </c>
      <c r="E251">
        <v>50</v>
      </c>
      <c r="F251">
        <v>14.993021011</v>
      </c>
      <c r="G251">
        <v>1480.5605469</v>
      </c>
      <c r="H251">
        <v>1448.7247314000001</v>
      </c>
      <c r="I251">
        <v>1115.8923339999999</v>
      </c>
      <c r="J251">
        <v>1017.2902222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26.160271999999999</v>
      </c>
      <c r="B252" s="1">
        <f>DATE(2010,5,27) + TIME(3,50,47)</f>
        <v>40325.160266203704</v>
      </c>
      <c r="C252">
        <v>80</v>
      </c>
      <c r="D252">
        <v>79.956718445000007</v>
      </c>
      <c r="E252">
        <v>50</v>
      </c>
      <c r="F252">
        <v>14.993039131</v>
      </c>
      <c r="G252">
        <v>1480.456543</v>
      </c>
      <c r="H252">
        <v>1448.6219481999999</v>
      </c>
      <c r="I252">
        <v>1115.8945312000001</v>
      </c>
      <c r="J252">
        <v>1017.2924194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26.491305000000001</v>
      </c>
      <c r="B253" s="1">
        <f>DATE(2010,5,27) + TIME(11,47,28)</f>
        <v>40325.491296296299</v>
      </c>
      <c r="C253">
        <v>80</v>
      </c>
      <c r="D253">
        <v>79.956748962000006</v>
      </c>
      <c r="E253">
        <v>50</v>
      </c>
      <c r="F253">
        <v>14.993065833999999</v>
      </c>
      <c r="G253">
        <v>1480.3540039</v>
      </c>
      <c r="H253">
        <v>1448.5206298999999</v>
      </c>
      <c r="I253">
        <v>1115.8969727000001</v>
      </c>
      <c r="J253">
        <v>1017.2949829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26.822595</v>
      </c>
      <c r="B254" s="1">
        <f>DATE(2010,5,27) + TIME(19,44,32)</f>
        <v>40325.822592592594</v>
      </c>
      <c r="C254">
        <v>80</v>
      </c>
      <c r="D254">
        <v>79.956771850999999</v>
      </c>
      <c r="E254">
        <v>50</v>
      </c>
      <c r="F254">
        <v>14.993096352</v>
      </c>
      <c r="G254">
        <v>1480.1516113</v>
      </c>
      <c r="H254">
        <v>1448.3205565999999</v>
      </c>
      <c r="I254">
        <v>1115.9013672000001</v>
      </c>
      <c r="J254">
        <v>1017.2993774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27.156058999999999</v>
      </c>
      <c r="B255" s="1">
        <f>DATE(2010,5,28) + TIME(3,44,43)</f>
        <v>40326.156053240738</v>
      </c>
      <c r="C255">
        <v>80</v>
      </c>
      <c r="D255">
        <v>79.956794739000003</v>
      </c>
      <c r="E255">
        <v>50</v>
      </c>
      <c r="F255">
        <v>14.99312973</v>
      </c>
      <c r="G255">
        <v>1479.9495850000001</v>
      </c>
      <c r="H255">
        <v>1448.1207274999999</v>
      </c>
      <c r="I255">
        <v>1115.9056396000001</v>
      </c>
      <c r="J255">
        <v>1017.3038330000001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27.492184000000002</v>
      </c>
      <c r="B256" s="1">
        <f>DATE(2010,5,28) + TIME(11,48,44)</f>
        <v>40326.492175925923</v>
      </c>
      <c r="C256">
        <v>80</v>
      </c>
      <c r="D256">
        <v>79.956817627000007</v>
      </c>
      <c r="E256">
        <v>50</v>
      </c>
      <c r="F256">
        <v>14.993163108999999</v>
      </c>
      <c r="G256">
        <v>1479.7485352000001</v>
      </c>
      <c r="H256">
        <v>1447.9219971</v>
      </c>
      <c r="I256">
        <v>1115.9100341999999</v>
      </c>
      <c r="J256">
        <v>1017.3082886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27.831475999999999</v>
      </c>
      <c r="B257" s="1">
        <f>DATE(2010,5,28) + TIME(19,57,19)</f>
        <v>40326.831469907411</v>
      </c>
      <c r="C257">
        <v>80</v>
      </c>
      <c r="D257">
        <v>79.956840514999996</v>
      </c>
      <c r="E257">
        <v>50</v>
      </c>
      <c r="F257">
        <v>14.993196487000001</v>
      </c>
      <c r="G257">
        <v>1479.5483397999999</v>
      </c>
      <c r="H257">
        <v>1447.723999</v>
      </c>
      <c r="I257">
        <v>1115.9144286999999</v>
      </c>
      <c r="J257">
        <v>1017.3127441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28.174465999999999</v>
      </c>
      <c r="B258" s="1">
        <f>DATE(2010,5,29) + TIME(4,11,13)</f>
        <v>40327.174456018518</v>
      </c>
      <c r="C258">
        <v>80</v>
      </c>
      <c r="D258">
        <v>79.956871032999999</v>
      </c>
      <c r="E258">
        <v>50</v>
      </c>
      <c r="F258">
        <v>14.993230820000001</v>
      </c>
      <c r="G258">
        <v>1479.3487548999999</v>
      </c>
      <c r="H258">
        <v>1447.5266113</v>
      </c>
      <c r="I258">
        <v>1115.9188231999999</v>
      </c>
      <c r="J258">
        <v>1017.3173217999999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28.521844999999999</v>
      </c>
      <c r="B259" s="1">
        <f>DATE(2010,5,29) + TIME(12,31,27)</f>
        <v>40327.521840277775</v>
      </c>
      <c r="C259">
        <v>80</v>
      </c>
      <c r="D259">
        <v>79.956893921000002</v>
      </c>
      <c r="E259">
        <v>50</v>
      </c>
      <c r="F259">
        <v>14.993265151999999</v>
      </c>
      <c r="G259">
        <v>1479.1494141000001</v>
      </c>
      <c r="H259">
        <v>1447.3294678</v>
      </c>
      <c r="I259">
        <v>1115.9233397999999</v>
      </c>
      <c r="J259">
        <v>1017.3218994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28.874054000000001</v>
      </c>
      <c r="B260" s="1">
        <f>DATE(2010,5,29) + TIME(20,58,38)</f>
        <v>40327.874050925922</v>
      </c>
      <c r="C260">
        <v>80</v>
      </c>
      <c r="D260">
        <v>79.956916809000006</v>
      </c>
      <c r="E260">
        <v>50</v>
      </c>
      <c r="F260">
        <v>14.993299484</v>
      </c>
      <c r="G260">
        <v>1478.9499512</v>
      </c>
      <c r="H260">
        <v>1447.1322021000001</v>
      </c>
      <c r="I260">
        <v>1115.9279785000001</v>
      </c>
      <c r="J260">
        <v>1017.3265991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29.23171</v>
      </c>
      <c r="B261" s="1">
        <f>DATE(2010,5,30) + TIME(5,33,39)</f>
        <v>40328.23170138889</v>
      </c>
      <c r="C261">
        <v>80</v>
      </c>
      <c r="D261">
        <v>79.956947326999995</v>
      </c>
      <c r="E261">
        <v>50</v>
      </c>
      <c r="F261">
        <v>14.993333817</v>
      </c>
      <c r="G261">
        <v>1478.7502440999999</v>
      </c>
      <c r="H261">
        <v>1446.9345702999999</v>
      </c>
      <c r="I261">
        <v>1115.9326172000001</v>
      </c>
      <c r="J261">
        <v>1017.3312988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29.595465999999998</v>
      </c>
      <c r="B262" s="1">
        <f>DATE(2010,5,30) + TIME(14,17,28)</f>
        <v>40328.595462962963</v>
      </c>
      <c r="C262">
        <v>80</v>
      </c>
      <c r="D262">
        <v>79.956970214999998</v>
      </c>
      <c r="E262">
        <v>50</v>
      </c>
      <c r="F262">
        <v>14.993369102000001</v>
      </c>
      <c r="G262">
        <v>1478.5498047000001</v>
      </c>
      <c r="H262">
        <v>1446.7363281</v>
      </c>
      <c r="I262">
        <v>1115.9373779</v>
      </c>
      <c r="J262">
        <v>1017.3361816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29.966011999999999</v>
      </c>
      <c r="B263" s="1">
        <f>DATE(2010,5,30) + TIME(23,11,3)</f>
        <v>40328.966006944444</v>
      </c>
      <c r="C263">
        <v>80</v>
      </c>
      <c r="D263">
        <v>79.957000731999997</v>
      </c>
      <c r="E263">
        <v>50</v>
      </c>
      <c r="F263">
        <v>14.993403434999999</v>
      </c>
      <c r="G263">
        <v>1478.3485106999999</v>
      </c>
      <c r="H263">
        <v>1446.5372314000001</v>
      </c>
      <c r="I263">
        <v>1115.9422606999999</v>
      </c>
      <c r="J263">
        <v>1017.3410645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30.344114999999999</v>
      </c>
      <c r="B264" s="1">
        <f>DATE(2010,5,31) + TIME(8,15,31)</f>
        <v>40329.344108796293</v>
      </c>
      <c r="C264">
        <v>80</v>
      </c>
      <c r="D264">
        <v>79.95703125</v>
      </c>
      <c r="E264">
        <v>50</v>
      </c>
      <c r="F264">
        <v>14.993438721</v>
      </c>
      <c r="G264">
        <v>1478.145874</v>
      </c>
      <c r="H264">
        <v>1446.3367920000001</v>
      </c>
      <c r="I264">
        <v>1115.9471435999999</v>
      </c>
      <c r="J264">
        <v>1017.3461304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30.533543000000002</v>
      </c>
      <c r="B265" s="1">
        <f>DATE(2010,5,31) + TIME(12,48,18)</f>
        <v>40329.533541666664</v>
      </c>
      <c r="C265">
        <v>80</v>
      </c>
      <c r="D265">
        <v>79.95703125</v>
      </c>
      <c r="E265">
        <v>50</v>
      </c>
      <c r="F265">
        <v>14.993462563</v>
      </c>
      <c r="G265">
        <v>1477.9428711</v>
      </c>
      <c r="H265">
        <v>1446.1358643000001</v>
      </c>
      <c r="I265">
        <v>1115.9519043</v>
      </c>
      <c r="J265">
        <v>1017.3508301000001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30.72297</v>
      </c>
      <c r="B266" s="1">
        <f>DATE(2010,5,31) + TIME(17,21,4)</f>
        <v>40329.722962962966</v>
      </c>
      <c r="C266">
        <v>80</v>
      </c>
      <c r="D266">
        <v>79.957046508999994</v>
      </c>
      <c r="E266">
        <v>50</v>
      </c>
      <c r="F266">
        <v>14.993483543</v>
      </c>
      <c r="G266">
        <v>1477.8376464999999</v>
      </c>
      <c r="H266">
        <v>1446.0317382999999</v>
      </c>
      <c r="I266">
        <v>1115.9544678</v>
      </c>
      <c r="J266">
        <v>1017.3535156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31</v>
      </c>
      <c r="B267" s="1">
        <f>DATE(2010,6,1) + TIME(0,0,0)</f>
        <v>40330</v>
      </c>
      <c r="C267">
        <v>80</v>
      </c>
      <c r="D267">
        <v>79.957077025999993</v>
      </c>
      <c r="E267">
        <v>50</v>
      </c>
      <c r="F267">
        <v>14.993508339</v>
      </c>
      <c r="G267">
        <v>1477.7365723</v>
      </c>
      <c r="H267">
        <v>1445.9317627</v>
      </c>
      <c r="I267">
        <v>1115.9570312000001</v>
      </c>
      <c r="J267">
        <v>1017.3562012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31.378855000000001</v>
      </c>
      <c r="B268" s="1">
        <f>DATE(2010,6,1) + TIME(9,5,33)</f>
        <v>40330.378854166665</v>
      </c>
      <c r="C268">
        <v>80</v>
      </c>
      <c r="D268">
        <v>79.957107543999996</v>
      </c>
      <c r="E268">
        <v>50</v>
      </c>
      <c r="F268">
        <v>14.993537903</v>
      </c>
      <c r="G268">
        <v>1477.5916748</v>
      </c>
      <c r="H268">
        <v>1445.7883300999999</v>
      </c>
      <c r="I268">
        <v>1115.9609375</v>
      </c>
      <c r="J268">
        <v>1017.3601685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31.757719000000002</v>
      </c>
      <c r="B269" s="1">
        <f>DATE(2010,6,1) + TIME(18,11,6)</f>
        <v>40330.757708333331</v>
      </c>
      <c r="C269">
        <v>80</v>
      </c>
      <c r="D269">
        <v>79.957130432</v>
      </c>
      <c r="E269">
        <v>50</v>
      </c>
      <c r="F269">
        <v>14.993569374</v>
      </c>
      <c r="G269">
        <v>1477.3948975000001</v>
      </c>
      <c r="H269">
        <v>1445.5936279</v>
      </c>
      <c r="I269">
        <v>1115.9660644999999</v>
      </c>
      <c r="J269">
        <v>1017.3653564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32.137963999999997</v>
      </c>
      <c r="B270" s="1">
        <f>DATE(2010,6,2) + TIME(3,18,40)</f>
        <v>40331.137962962966</v>
      </c>
      <c r="C270">
        <v>80</v>
      </c>
      <c r="D270">
        <v>79.957160950000002</v>
      </c>
      <c r="E270">
        <v>50</v>
      </c>
      <c r="F270">
        <v>14.993602752999999</v>
      </c>
      <c r="G270">
        <v>1477.1994629000001</v>
      </c>
      <c r="H270">
        <v>1445.4001464999999</v>
      </c>
      <c r="I270">
        <v>1115.9711914</v>
      </c>
      <c r="J270">
        <v>1017.3705444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32.520170999999998</v>
      </c>
      <c r="B271" s="1">
        <f>DATE(2010,6,2) + TIME(12,29,2)</f>
        <v>40331.520162037035</v>
      </c>
      <c r="C271">
        <v>80</v>
      </c>
      <c r="D271">
        <v>79.957191467000001</v>
      </c>
      <c r="E271">
        <v>50</v>
      </c>
      <c r="F271">
        <v>14.993635178</v>
      </c>
      <c r="G271">
        <v>1477.0054932</v>
      </c>
      <c r="H271">
        <v>1445.2081298999999</v>
      </c>
      <c r="I271">
        <v>1115.9763184000001</v>
      </c>
      <c r="J271">
        <v>1017.3757935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32.904924999999999</v>
      </c>
      <c r="B272" s="1">
        <f>DATE(2010,6,2) + TIME(21,43,5)</f>
        <v>40331.904918981483</v>
      </c>
      <c r="C272">
        <v>80</v>
      </c>
      <c r="D272">
        <v>79.957214355000005</v>
      </c>
      <c r="E272">
        <v>50</v>
      </c>
      <c r="F272">
        <v>14.993668555999999</v>
      </c>
      <c r="G272">
        <v>1476.8127440999999</v>
      </c>
      <c r="H272">
        <v>1445.0174560999999</v>
      </c>
      <c r="I272">
        <v>1115.9815673999999</v>
      </c>
      <c r="J272">
        <v>1017.3810425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33.292817999999997</v>
      </c>
      <c r="B273" s="1">
        <f>DATE(2010,6,3) + TIME(7,1,39)</f>
        <v>40332.292812500003</v>
      </c>
      <c r="C273">
        <v>80</v>
      </c>
      <c r="D273">
        <v>79.957244872999993</v>
      </c>
      <c r="E273">
        <v>50</v>
      </c>
      <c r="F273">
        <v>14.993701935000001</v>
      </c>
      <c r="G273">
        <v>1476.6209716999999</v>
      </c>
      <c r="H273">
        <v>1444.8276367000001</v>
      </c>
      <c r="I273">
        <v>1115.9866943</v>
      </c>
      <c r="J273">
        <v>1017.3863525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33.684468000000003</v>
      </c>
      <c r="B274" s="1">
        <f>DATE(2010,6,3) + TIME(16,25,37)</f>
        <v>40332.68445601852</v>
      </c>
      <c r="C274">
        <v>80</v>
      </c>
      <c r="D274">
        <v>79.957275390999996</v>
      </c>
      <c r="E274">
        <v>50</v>
      </c>
      <c r="F274">
        <v>14.993734359999999</v>
      </c>
      <c r="G274">
        <v>1476.4299315999999</v>
      </c>
      <c r="H274">
        <v>1444.6385498</v>
      </c>
      <c r="I274">
        <v>1115.9920654</v>
      </c>
      <c r="J274">
        <v>1017.3917236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34.080638</v>
      </c>
      <c r="B275" s="1">
        <f>DATE(2010,6,4) + TIME(1,56,7)</f>
        <v>40333.080636574072</v>
      </c>
      <c r="C275">
        <v>80</v>
      </c>
      <c r="D275">
        <v>79.957305907999995</v>
      </c>
      <c r="E275">
        <v>50</v>
      </c>
      <c r="F275">
        <v>14.993767738000001</v>
      </c>
      <c r="G275">
        <v>1476.2393798999999</v>
      </c>
      <c r="H275">
        <v>1444.4498291</v>
      </c>
      <c r="I275">
        <v>1115.9974365</v>
      </c>
      <c r="J275">
        <v>1017.3971558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34.481926999999999</v>
      </c>
      <c r="B276" s="1">
        <f>DATE(2010,6,4) + TIME(11,33,58)</f>
        <v>40333.481921296298</v>
      </c>
      <c r="C276">
        <v>80</v>
      </c>
      <c r="D276">
        <v>79.957328795999999</v>
      </c>
      <c r="E276">
        <v>50</v>
      </c>
      <c r="F276">
        <v>14.993801117</v>
      </c>
      <c r="G276">
        <v>1476.0487060999999</v>
      </c>
      <c r="H276">
        <v>1444.2611084</v>
      </c>
      <c r="I276">
        <v>1116.0028076000001</v>
      </c>
      <c r="J276">
        <v>1017.4026489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34.888992999999999</v>
      </c>
      <c r="B277" s="1">
        <f>DATE(2010,6,4) + TIME(21,20,8)</f>
        <v>40333.888981481483</v>
      </c>
      <c r="C277">
        <v>80</v>
      </c>
      <c r="D277">
        <v>79.957359314000001</v>
      </c>
      <c r="E277">
        <v>50</v>
      </c>
      <c r="F277">
        <v>14.993833542000001</v>
      </c>
      <c r="G277">
        <v>1475.8579102000001</v>
      </c>
      <c r="H277">
        <v>1444.0721435999999</v>
      </c>
      <c r="I277">
        <v>1116.0083007999999</v>
      </c>
      <c r="J277">
        <v>1017.4082642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35.302581000000004</v>
      </c>
      <c r="B278" s="1">
        <f>DATE(2010,6,5) + TIME(7,15,43)</f>
        <v>40334.302581018521</v>
      </c>
      <c r="C278">
        <v>80</v>
      </c>
      <c r="D278">
        <v>79.957389832000004</v>
      </c>
      <c r="E278">
        <v>50</v>
      </c>
      <c r="F278">
        <v>14.99386692</v>
      </c>
      <c r="G278">
        <v>1475.6665039</v>
      </c>
      <c r="H278">
        <v>1443.8826904</v>
      </c>
      <c r="I278">
        <v>1116.0139160000001</v>
      </c>
      <c r="J278">
        <v>1017.4140015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35.723481</v>
      </c>
      <c r="B279" s="1">
        <f>DATE(2010,6,5) + TIME(17,21,48)</f>
        <v>40334.72347222222</v>
      </c>
      <c r="C279">
        <v>80</v>
      </c>
      <c r="D279">
        <v>79.957420349000003</v>
      </c>
      <c r="E279">
        <v>50</v>
      </c>
      <c r="F279">
        <v>14.993900299</v>
      </c>
      <c r="G279">
        <v>1475.4743652</v>
      </c>
      <c r="H279">
        <v>1443.6923827999999</v>
      </c>
      <c r="I279">
        <v>1116.0196533000001</v>
      </c>
      <c r="J279">
        <v>1017.4197998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35.93609</v>
      </c>
      <c r="B280" s="1">
        <f>DATE(2010,6,5) + TIME(22,27,58)</f>
        <v>40334.93608796296</v>
      </c>
      <c r="C280">
        <v>80</v>
      </c>
      <c r="D280">
        <v>79.957427979000002</v>
      </c>
      <c r="E280">
        <v>50</v>
      </c>
      <c r="F280">
        <v>14.993923187</v>
      </c>
      <c r="G280">
        <v>1475.2822266000001</v>
      </c>
      <c r="H280">
        <v>1443.5020752</v>
      </c>
      <c r="I280">
        <v>1116.0251464999999</v>
      </c>
      <c r="J280">
        <v>1017.425293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36.148699999999998</v>
      </c>
      <c r="B281" s="1">
        <f>DATE(2010,6,6) + TIME(3,34,7)</f>
        <v>40335.148692129631</v>
      </c>
      <c r="C281">
        <v>80</v>
      </c>
      <c r="D281">
        <v>79.957450867000006</v>
      </c>
      <c r="E281">
        <v>50</v>
      </c>
      <c r="F281">
        <v>14.993944168000001</v>
      </c>
      <c r="G281">
        <v>1475.1818848</v>
      </c>
      <c r="H281">
        <v>1443.4025879000001</v>
      </c>
      <c r="I281">
        <v>1116.0281981999999</v>
      </c>
      <c r="J281">
        <v>1017.4284058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36.361308999999999</v>
      </c>
      <c r="B282" s="1">
        <f>DATE(2010,6,6) + TIME(8,40,17)</f>
        <v>40335.361307870371</v>
      </c>
      <c r="C282">
        <v>80</v>
      </c>
      <c r="D282">
        <v>79.957466124999996</v>
      </c>
      <c r="E282">
        <v>50</v>
      </c>
      <c r="F282">
        <v>14.993963242</v>
      </c>
      <c r="G282">
        <v>1475.0852050999999</v>
      </c>
      <c r="H282">
        <v>1443.3067627</v>
      </c>
      <c r="I282">
        <v>1116.0311279</v>
      </c>
      <c r="J282">
        <v>1017.4313354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36.573918999999997</v>
      </c>
      <c r="B283" s="1">
        <f>DATE(2010,6,6) + TIME(13,46,26)</f>
        <v>40335.573912037034</v>
      </c>
      <c r="C283">
        <v>80</v>
      </c>
      <c r="D283">
        <v>79.957481384000005</v>
      </c>
      <c r="E283">
        <v>50</v>
      </c>
      <c r="F283">
        <v>14.993981360999999</v>
      </c>
      <c r="G283">
        <v>1474.9893798999999</v>
      </c>
      <c r="H283">
        <v>1443.2119141000001</v>
      </c>
      <c r="I283">
        <v>1116.0340576000001</v>
      </c>
      <c r="J283">
        <v>1017.4343262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36.786527999999997</v>
      </c>
      <c r="B284" s="1">
        <f>DATE(2010,6,6) + TIME(18,52,36)</f>
        <v>40335.786527777775</v>
      </c>
      <c r="C284">
        <v>80</v>
      </c>
      <c r="D284">
        <v>79.957496642999999</v>
      </c>
      <c r="E284">
        <v>50</v>
      </c>
      <c r="F284">
        <v>14.993998528000001</v>
      </c>
      <c r="G284">
        <v>1474.894043</v>
      </c>
      <c r="H284">
        <v>1443.1175536999999</v>
      </c>
      <c r="I284">
        <v>1116.0369873</v>
      </c>
      <c r="J284">
        <v>1017.4373779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36.999138000000002</v>
      </c>
      <c r="B285" s="1">
        <f>DATE(2010,6,6) + TIME(23,58,45)</f>
        <v>40335.999131944445</v>
      </c>
      <c r="C285">
        <v>80</v>
      </c>
      <c r="D285">
        <v>79.957519531000003</v>
      </c>
      <c r="E285">
        <v>50</v>
      </c>
      <c r="F285">
        <v>14.994015694</v>
      </c>
      <c r="G285">
        <v>1474.7994385</v>
      </c>
      <c r="H285">
        <v>1443.0238036999999</v>
      </c>
      <c r="I285">
        <v>1116.0400391000001</v>
      </c>
      <c r="J285">
        <v>1017.4404297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37.211747000000003</v>
      </c>
      <c r="B286" s="1">
        <f>DATE(2010,6,7) + TIME(5,4,54)</f>
        <v>40336.211736111109</v>
      </c>
      <c r="C286">
        <v>80</v>
      </c>
      <c r="D286">
        <v>79.957534789999997</v>
      </c>
      <c r="E286">
        <v>50</v>
      </c>
      <c r="F286">
        <v>14.994032860000001</v>
      </c>
      <c r="G286">
        <v>1474.7052002</v>
      </c>
      <c r="H286">
        <v>1442.9304199000001</v>
      </c>
      <c r="I286">
        <v>1116.0429687999999</v>
      </c>
      <c r="J286">
        <v>1017.4434204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37.424357000000001</v>
      </c>
      <c r="B287" s="1">
        <f>DATE(2010,6,7) + TIME(10,11,4)</f>
        <v>40336.424351851849</v>
      </c>
      <c r="C287">
        <v>80</v>
      </c>
      <c r="D287">
        <v>79.957550049000005</v>
      </c>
      <c r="E287">
        <v>50</v>
      </c>
      <c r="F287">
        <v>14.994049071999999</v>
      </c>
      <c r="G287">
        <v>1474.6116943</v>
      </c>
      <c r="H287">
        <v>1442.8377685999999</v>
      </c>
      <c r="I287">
        <v>1116.0460204999999</v>
      </c>
      <c r="J287">
        <v>1017.4464722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37.849575999999999</v>
      </c>
      <c r="B288" s="1">
        <f>DATE(2010,6,7) + TIME(20,23,23)</f>
        <v>40336.84957175926</v>
      </c>
      <c r="C288">
        <v>80</v>
      </c>
      <c r="D288">
        <v>79.957588196000003</v>
      </c>
      <c r="E288">
        <v>50</v>
      </c>
      <c r="F288">
        <v>14.994071959999999</v>
      </c>
      <c r="G288">
        <v>1474.5191649999999</v>
      </c>
      <c r="H288">
        <v>1442.7460937999999</v>
      </c>
      <c r="I288">
        <v>1116.0493164</v>
      </c>
      <c r="J288">
        <v>1017.4498900999999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38.275156000000003</v>
      </c>
      <c r="B289" s="1">
        <f>DATE(2010,6,8) + TIME(6,36,13)</f>
        <v>40337.275150462963</v>
      </c>
      <c r="C289">
        <v>80</v>
      </c>
      <c r="D289">
        <v>79.957611084000007</v>
      </c>
      <c r="E289">
        <v>50</v>
      </c>
      <c r="F289">
        <v>14.994100571000001</v>
      </c>
      <c r="G289">
        <v>1474.3366699000001</v>
      </c>
      <c r="H289">
        <v>1442.5653076000001</v>
      </c>
      <c r="I289">
        <v>1116.0552978999999</v>
      </c>
      <c r="J289">
        <v>1017.4559326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38.703586000000001</v>
      </c>
      <c r="B290" s="1">
        <f>DATE(2010,6,8) + TIME(16,53,9)</f>
        <v>40337.703576388885</v>
      </c>
      <c r="C290">
        <v>80</v>
      </c>
      <c r="D290">
        <v>79.957641601999995</v>
      </c>
      <c r="E290">
        <v>50</v>
      </c>
      <c r="F290">
        <v>14.994130135000001</v>
      </c>
      <c r="G290">
        <v>1474.1542969</v>
      </c>
      <c r="H290">
        <v>1442.3846435999999</v>
      </c>
      <c r="I290">
        <v>1116.0614014</v>
      </c>
      <c r="J290">
        <v>1017.4620361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39.135486999999998</v>
      </c>
      <c r="B291" s="1">
        <f>DATE(2010,6,9) + TIME(3,15,6)</f>
        <v>40338.13548611111</v>
      </c>
      <c r="C291">
        <v>80</v>
      </c>
      <c r="D291">
        <v>79.957672118999994</v>
      </c>
      <c r="E291">
        <v>50</v>
      </c>
      <c r="F291">
        <v>14.994160652</v>
      </c>
      <c r="G291">
        <v>1473.9726562000001</v>
      </c>
      <c r="H291">
        <v>1442.2045897999999</v>
      </c>
      <c r="I291">
        <v>1116.0675048999999</v>
      </c>
      <c r="J291">
        <v>1017.4682007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39.571523999999997</v>
      </c>
      <c r="B292" s="1">
        <f>DATE(2010,6,9) + TIME(13,42,59)</f>
        <v>40338.571516203701</v>
      </c>
      <c r="C292">
        <v>80</v>
      </c>
      <c r="D292">
        <v>79.957710266000007</v>
      </c>
      <c r="E292">
        <v>50</v>
      </c>
      <c r="F292">
        <v>14.994192122999999</v>
      </c>
      <c r="G292">
        <v>1473.7915039</v>
      </c>
      <c r="H292">
        <v>1442.0251464999999</v>
      </c>
      <c r="I292">
        <v>1116.0736084</v>
      </c>
      <c r="J292">
        <v>1017.4744263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40.012504</v>
      </c>
      <c r="B293" s="1">
        <f>DATE(2010,6,10) + TIME(0,18,0)</f>
        <v>40339.012499999997</v>
      </c>
      <c r="C293">
        <v>80</v>
      </c>
      <c r="D293">
        <v>79.957740783999995</v>
      </c>
      <c r="E293">
        <v>50</v>
      </c>
      <c r="F293">
        <v>14.994223594999999</v>
      </c>
      <c r="G293">
        <v>1473.6107178</v>
      </c>
      <c r="H293">
        <v>1441.8459473</v>
      </c>
      <c r="I293">
        <v>1116.0798339999999</v>
      </c>
      <c r="J293">
        <v>1017.4807129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40.459127000000002</v>
      </c>
      <c r="B294" s="1">
        <f>DATE(2010,6,10) + TIME(11,1,8)</f>
        <v>40339.459120370368</v>
      </c>
      <c r="C294">
        <v>80</v>
      </c>
      <c r="D294">
        <v>79.957771300999994</v>
      </c>
      <c r="E294">
        <v>50</v>
      </c>
      <c r="F294">
        <v>14.994255065999999</v>
      </c>
      <c r="G294">
        <v>1473.4298096</v>
      </c>
      <c r="H294">
        <v>1441.666626</v>
      </c>
      <c r="I294">
        <v>1116.0861815999999</v>
      </c>
      <c r="J294">
        <v>1017.4871216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40.912081000000001</v>
      </c>
      <c r="B295" s="1">
        <f>DATE(2010,6,10) + TIME(21,53,23)</f>
        <v>40339.91207175926</v>
      </c>
      <c r="C295">
        <v>80</v>
      </c>
      <c r="D295">
        <v>79.957809448000006</v>
      </c>
      <c r="E295">
        <v>50</v>
      </c>
      <c r="F295">
        <v>14.994286537000001</v>
      </c>
      <c r="G295">
        <v>1473.2485352000001</v>
      </c>
      <c r="H295">
        <v>1441.4870605000001</v>
      </c>
      <c r="I295">
        <v>1116.0925293</v>
      </c>
      <c r="J295">
        <v>1017.4936523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41.372177999999998</v>
      </c>
      <c r="B296" s="1">
        <f>DATE(2010,6,11) + TIME(8,55,56)</f>
        <v>40340.372175925928</v>
      </c>
      <c r="C296">
        <v>80</v>
      </c>
      <c r="D296">
        <v>79.957839965999995</v>
      </c>
      <c r="E296">
        <v>50</v>
      </c>
      <c r="F296">
        <v>14.994318008</v>
      </c>
      <c r="G296">
        <v>1473.0667725000001</v>
      </c>
      <c r="H296">
        <v>1441.3068848</v>
      </c>
      <c r="I296">
        <v>1116.0991211</v>
      </c>
      <c r="J296">
        <v>1017.5002441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41.840288999999999</v>
      </c>
      <c r="B297" s="1">
        <f>DATE(2010,6,11) + TIME(20,10,0)</f>
        <v>40340.840277777781</v>
      </c>
      <c r="C297">
        <v>80</v>
      </c>
      <c r="D297">
        <v>79.957870482999994</v>
      </c>
      <c r="E297">
        <v>50</v>
      </c>
      <c r="F297">
        <v>14.994350432999999</v>
      </c>
      <c r="G297">
        <v>1472.8842772999999</v>
      </c>
      <c r="H297">
        <v>1441.1259766000001</v>
      </c>
      <c r="I297">
        <v>1116.1057129000001</v>
      </c>
      <c r="J297">
        <v>1017.5069580000001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42.077705000000002</v>
      </c>
      <c r="B298" s="1">
        <f>DATE(2010,6,12) + TIME(1,51,53)</f>
        <v>40341.077696759261</v>
      </c>
      <c r="C298">
        <v>80</v>
      </c>
      <c r="D298">
        <v>79.957885742000002</v>
      </c>
      <c r="E298">
        <v>50</v>
      </c>
      <c r="F298">
        <v>14.994372368000001</v>
      </c>
      <c r="G298">
        <v>1472.7016602000001</v>
      </c>
      <c r="H298">
        <v>1440.9449463000001</v>
      </c>
      <c r="I298">
        <v>1116.1121826000001</v>
      </c>
      <c r="J298">
        <v>1017.5134277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42.315120999999998</v>
      </c>
      <c r="B299" s="1">
        <f>DATE(2010,6,12) + TIME(7,33,46)</f>
        <v>40341.315115740741</v>
      </c>
      <c r="C299">
        <v>80</v>
      </c>
      <c r="D299">
        <v>79.957901000999996</v>
      </c>
      <c r="E299">
        <v>50</v>
      </c>
      <c r="F299">
        <v>14.994392395</v>
      </c>
      <c r="G299">
        <v>1472.6058350000001</v>
      </c>
      <c r="H299">
        <v>1440.8499756000001</v>
      </c>
      <c r="I299">
        <v>1116.1157227000001</v>
      </c>
      <c r="J299">
        <v>1017.5170288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42.552536000000003</v>
      </c>
      <c r="B300" s="1">
        <f>DATE(2010,6,12) + TIME(13,15,39)</f>
        <v>40341.552534722221</v>
      </c>
      <c r="C300">
        <v>80</v>
      </c>
      <c r="D300">
        <v>79.957923889</v>
      </c>
      <c r="E300">
        <v>50</v>
      </c>
      <c r="F300">
        <v>14.994410515</v>
      </c>
      <c r="G300">
        <v>1472.5135498</v>
      </c>
      <c r="H300">
        <v>1440.7584228999999</v>
      </c>
      <c r="I300">
        <v>1116.1191406</v>
      </c>
      <c r="J300">
        <v>1017.5205078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42.789952</v>
      </c>
      <c r="B301" s="1">
        <f>DATE(2010,6,12) + TIME(18,57,31)</f>
        <v>40341.789942129632</v>
      </c>
      <c r="C301">
        <v>80</v>
      </c>
      <c r="D301">
        <v>79.957939147999994</v>
      </c>
      <c r="E301">
        <v>50</v>
      </c>
      <c r="F301">
        <v>14.994427680999999</v>
      </c>
      <c r="G301">
        <v>1472.4219971</v>
      </c>
      <c r="H301">
        <v>1440.6676024999999</v>
      </c>
      <c r="I301">
        <v>1116.1225586</v>
      </c>
      <c r="J301">
        <v>1017.5239868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43.027368000000003</v>
      </c>
      <c r="B302" s="1">
        <f>DATE(2010,6,13) + TIME(0,39,24)</f>
        <v>40342.027361111112</v>
      </c>
      <c r="C302">
        <v>80</v>
      </c>
      <c r="D302">
        <v>79.957962035999998</v>
      </c>
      <c r="E302">
        <v>50</v>
      </c>
      <c r="F302">
        <v>14.994444847</v>
      </c>
      <c r="G302">
        <v>1472.3310547000001</v>
      </c>
      <c r="H302">
        <v>1440.5773925999999</v>
      </c>
      <c r="I302">
        <v>1116.1259766000001</v>
      </c>
      <c r="J302">
        <v>1017.5275269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43.264783000000001</v>
      </c>
      <c r="B303" s="1">
        <f>DATE(2010,6,13) + TIME(6,21,17)</f>
        <v>40342.264780092592</v>
      </c>
      <c r="C303">
        <v>80</v>
      </c>
      <c r="D303">
        <v>79.957977295000006</v>
      </c>
      <c r="E303">
        <v>50</v>
      </c>
      <c r="F303">
        <v>14.994461060000001</v>
      </c>
      <c r="G303">
        <v>1472.2404785000001</v>
      </c>
      <c r="H303">
        <v>1440.4875488</v>
      </c>
      <c r="I303">
        <v>1116.1295166</v>
      </c>
      <c r="J303">
        <v>1017.5310669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43.502198999999997</v>
      </c>
      <c r="B304" s="1">
        <f>DATE(2010,6,13) + TIME(12,3,10)</f>
        <v>40342.502199074072</v>
      </c>
      <c r="C304">
        <v>80</v>
      </c>
      <c r="D304">
        <v>79.957992554</v>
      </c>
      <c r="E304">
        <v>50</v>
      </c>
      <c r="F304">
        <v>14.994477271999999</v>
      </c>
      <c r="G304">
        <v>1472.1505127</v>
      </c>
      <c r="H304">
        <v>1440.3983154</v>
      </c>
      <c r="I304">
        <v>1116.1330565999999</v>
      </c>
      <c r="J304">
        <v>1017.5345459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43.739615000000001</v>
      </c>
      <c r="B305" s="1">
        <f>DATE(2010,6,13) + TIME(17,45,2)</f>
        <v>40342.739606481482</v>
      </c>
      <c r="C305">
        <v>80</v>
      </c>
      <c r="D305">
        <v>79.958015442000004</v>
      </c>
      <c r="E305">
        <v>50</v>
      </c>
      <c r="F305">
        <v>14.994492531000001</v>
      </c>
      <c r="G305">
        <v>1472.0609131000001</v>
      </c>
      <c r="H305">
        <v>1440.3095702999999</v>
      </c>
      <c r="I305">
        <v>1116.1364745999999</v>
      </c>
      <c r="J305">
        <v>1017.538147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43.977029999999999</v>
      </c>
      <c r="B306" s="1">
        <f>DATE(2010,6,13) + TIME(23,26,55)</f>
        <v>40342.977025462962</v>
      </c>
      <c r="C306">
        <v>80</v>
      </c>
      <c r="D306">
        <v>79.958030700999998</v>
      </c>
      <c r="E306">
        <v>50</v>
      </c>
      <c r="F306">
        <v>14.99450779</v>
      </c>
      <c r="G306">
        <v>1471.9719238</v>
      </c>
      <c r="H306">
        <v>1440.2211914</v>
      </c>
      <c r="I306">
        <v>1116.1400146000001</v>
      </c>
      <c r="J306">
        <v>1017.541687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44.451861999999998</v>
      </c>
      <c r="B307" s="1">
        <f>DATE(2010,6,14) + TIME(10,50,40)</f>
        <v>40343.451851851853</v>
      </c>
      <c r="C307">
        <v>80</v>
      </c>
      <c r="D307">
        <v>79.958068847999996</v>
      </c>
      <c r="E307">
        <v>50</v>
      </c>
      <c r="F307">
        <v>14.994529724</v>
      </c>
      <c r="G307">
        <v>1471.8837891000001</v>
      </c>
      <c r="H307">
        <v>1440.1339111</v>
      </c>
      <c r="I307">
        <v>1116.1439209</v>
      </c>
      <c r="J307">
        <v>1017.5455933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44.927391999999998</v>
      </c>
      <c r="B308" s="1">
        <f>DATE(2010,6,14) + TIME(22,15,26)</f>
        <v>40343.927384259259</v>
      </c>
      <c r="C308">
        <v>80</v>
      </c>
      <c r="D308">
        <v>79.958099364999995</v>
      </c>
      <c r="E308">
        <v>50</v>
      </c>
      <c r="F308">
        <v>14.994556426999999</v>
      </c>
      <c r="G308">
        <v>1471.7102050999999</v>
      </c>
      <c r="H308">
        <v>1439.9616699000001</v>
      </c>
      <c r="I308">
        <v>1116.1508789</v>
      </c>
      <c r="J308">
        <v>1017.5526733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45.406537</v>
      </c>
      <c r="B309" s="1">
        <f>DATE(2010,6,15) + TIME(9,45,24)</f>
        <v>40344.406527777777</v>
      </c>
      <c r="C309">
        <v>80</v>
      </c>
      <c r="D309">
        <v>79.958137511999993</v>
      </c>
      <c r="E309">
        <v>50</v>
      </c>
      <c r="F309">
        <v>14.994585990999999</v>
      </c>
      <c r="G309">
        <v>1471.5363769999999</v>
      </c>
      <c r="H309">
        <v>1439.7893065999999</v>
      </c>
      <c r="I309">
        <v>1116.1579589999999</v>
      </c>
      <c r="J309">
        <v>1017.5598145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45.890013000000003</v>
      </c>
      <c r="B310" s="1">
        <f>DATE(2010,6,15) + TIME(21,21,37)</f>
        <v>40344.890011574076</v>
      </c>
      <c r="C310">
        <v>80</v>
      </c>
      <c r="D310">
        <v>79.958168029999996</v>
      </c>
      <c r="E310">
        <v>50</v>
      </c>
      <c r="F310">
        <v>14.994615554999999</v>
      </c>
      <c r="G310">
        <v>1471.3629149999999</v>
      </c>
      <c r="H310">
        <v>1439.6173096</v>
      </c>
      <c r="I310">
        <v>1116.1651611</v>
      </c>
      <c r="J310">
        <v>1017.5670166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46.378655999999999</v>
      </c>
      <c r="B311" s="1">
        <f>DATE(2010,6,16) + TIME(9,5,15)</f>
        <v>40345.378645833334</v>
      </c>
      <c r="C311">
        <v>80</v>
      </c>
      <c r="D311">
        <v>79.958206176999994</v>
      </c>
      <c r="E311">
        <v>50</v>
      </c>
      <c r="F311">
        <v>14.994645118999999</v>
      </c>
      <c r="G311">
        <v>1471.1898193</v>
      </c>
      <c r="H311">
        <v>1439.4455565999999</v>
      </c>
      <c r="I311">
        <v>1116.1723632999999</v>
      </c>
      <c r="J311">
        <v>1017.5743408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46.873356999999999</v>
      </c>
      <c r="B312" s="1">
        <f>DATE(2010,6,16) + TIME(20,57,38)</f>
        <v>40345.873356481483</v>
      </c>
      <c r="C312">
        <v>80</v>
      </c>
      <c r="D312">
        <v>79.958244324000006</v>
      </c>
      <c r="E312">
        <v>50</v>
      </c>
      <c r="F312">
        <v>14.994675636</v>
      </c>
      <c r="G312">
        <v>1471.0167236</v>
      </c>
      <c r="H312">
        <v>1439.2738036999999</v>
      </c>
      <c r="I312">
        <v>1116.1796875</v>
      </c>
      <c r="J312">
        <v>1017.5817261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47.374820999999997</v>
      </c>
      <c r="B313" s="1">
        <f>DATE(2010,6,17) + TIME(8,59,44)</f>
        <v>40346.374814814815</v>
      </c>
      <c r="C313">
        <v>80</v>
      </c>
      <c r="D313">
        <v>79.958282471000004</v>
      </c>
      <c r="E313">
        <v>50</v>
      </c>
      <c r="F313">
        <v>14.9947052</v>
      </c>
      <c r="G313">
        <v>1470.8432617000001</v>
      </c>
      <c r="H313">
        <v>1439.1016846</v>
      </c>
      <c r="I313">
        <v>1116.1871338000001</v>
      </c>
      <c r="J313">
        <v>1017.5892334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47.883941</v>
      </c>
      <c r="B314" s="1">
        <f>DATE(2010,6,17) + TIME(21,12,52)</f>
        <v>40346.883935185186</v>
      </c>
      <c r="C314">
        <v>80</v>
      </c>
      <c r="D314">
        <v>79.958312988000003</v>
      </c>
      <c r="E314">
        <v>50</v>
      </c>
      <c r="F314">
        <v>14.994735717999999</v>
      </c>
      <c r="G314">
        <v>1470.6693115</v>
      </c>
      <c r="H314">
        <v>1438.9291992000001</v>
      </c>
      <c r="I314">
        <v>1116.1947021000001</v>
      </c>
      <c r="J314">
        <v>1017.5969238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48.401674999999997</v>
      </c>
      <c r="B315" s="1">
        <f>DATE(2010,6,18) + TIME(9,38,24)</f>
        <v>40347.401666666665</v>
      </c>
      <c r="C315">
        <v>80</v>
      </c>
      <c r="D315">
        <v>79.958351135000001</v>
      </c>
      <c r="E315">
        <v>50</v>
      </c>
      <c r="F315">
        <v>14.994766235</v>
      </c>
      <c r="G315">
        <v>1470.4945068</v>
      </c>
      <c r="H315">
        <v>1438.7557373</v>
      </c>
      <c r="I315">
        <v>1116.2023925999999</v>
      </c>
      <c r="J315">
        <v>1017.6047363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48.664853999999998</v>
      </c>
      <c r="B316" s="1">
        <f>DATE(2010,6,18) + TIME(15,57,23)</f>
        <v>40347.664849537039</v>
      </c>
      <c r="C316">
        <v>80</v>
      </c>
      <c r="D316">
        <v>79.958366393999995</v>
      </c>
      <c r="E316">
        <v>50</v>
      </c>
      <c r="F316">
        <v>14.994789124</v>
      </c>
      <c r="G316">
        <v>1470.3198242000001</v>
      </c>
      <c r="H316">
        <v>1438.5823975000001</v>
      </c>
      <c r="I316">
        <v>1116.2098389</v>
      </c>
      <c r="J316">
        <v>1017.6122437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48.928010999999998</v>
      </c>
      <c r="B317" s="1">
        <f>DATE(2010,6,18) + TIME(22,16,20)</f>
        <v>40347.92800925926</v>
      </c>
      <c r="C317">
        <v>80</v>
      </c>
      <c r="D317">
        <v>79.958389281999999</v>
      </c>
      <c r="E317">
        <v>50</v>
      </c>
      <c r="F317">
        <v>14.994808196999999</v>
      </c>
      <c r="G317">
        <v>1470.2279053</v>
      </c>
      <c r="H317">
        <v>1438.4910889</v>
      </c>
      <c r="I317">
        <v>1116.2139893000001</v>
      </c>
      <c r="J317">
        <v>1017.616394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49.191082000000002</v>
      </c>
      <c r="B318" s="1">
        <f>DATE(2010,6,19) + TIME(4,35,9)</f>
        <v>40348.191076388888</v>
      </c>
      <c r="C318">
        <v>80</v>
      </c>
      <c r="D318">
        <v>79.958412170000003</v>
      </c>
      <c r="E318">
        <v>50</v>
      </c>
      <c r="F318">
        <v>14.994825363</v>
      </c>
      <c r="G318">
        <v>1470.1392822</v>
      </c>
      <c r="H318">
        <v>1438.4031981999999</v>
      </c>
      <c r="I318">
        <v>1116.2180175999999</v>
      </c>
      <c r="J318">
        <v>1017.6204224000001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49.454152999999998</v>
      </c>
      <c r="B319" s="1">
        <f>DATE(2010,6,19) + TIME(10,53,58)</f>
        <v>40348.454143518517</v>
      </c>
      <c r="C319">
        <v>80</v>
      </c>
      <c r="D319">
        <v>79.958427428999997</v>
      </c>
      <c r="E319">
        <v>50</v>
      </c>
      <c r="F319">
        <v>14.994842529</v>
      </c>
      <c r="G319">
        <v>1470.0513916</v>
      </c>
      <c r="H319">
        <v>1438.315918</v>
      </c>
      <c r="I319">
        <v>1116.2220459</v>
      </c>
      <c r="J319">
        <v>1017.6245117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49.717224000000002</v>
      </c>
      <c r="B320" s="1">
        <f>DATE(2010,6,19) + TIME(17,12,48)</f>
        <v>40348.717222222222</v>
      </c>
      <c r="C320">
        <v>80</v>
      </c>
      <c r="D320">
        <v>79.958450317</v>
      </c>
      <c r="E320">
        <v>50</v>
      </c>
      <c r="F320">
        <v>14.994857787999999</v>
      </c>
      <c r="G320">
        <v>1469.9639893000001</v>
      </c>
      <c r="H320">
        <v>1438.2292480000001</v>
      </c>
      <c r="I320">
        <v>1116.2260742000001</v>
      </c>
      <c r="J320">
        <v>1017.6286011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49.980296000000003</v>
      </c>
      <c r="B321" s="1">
        <f>DATE(2010,6,19) + TIME(23,31,37)</f>
        <v>40348.98028935185</v>
      </c>
      <c r="C321">
        <v>80</v>
      </c>
      <c r="D321">
        <v>79.958465575999995</v>
      </c>
      <c r="E321">
        <v>50</v>
      </c>
      <c r="F321">
        <v>14.994874000999999</v>
      </c>
      <c r="G321">
        <v>1469.8770752</v>
      </c>
      <c r="H321">
        <v>1438.1429443</v>
      </c>
      <c r="I321">
        <v>1116.2301024999999</v>
      </c>
      <c r="J321">
        <v>1017.6326904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50.243366999999999</v>
      </c>
      <c r="B322" s="1">
        <f>DATE(2010,6,20) + TIME(5,50,26)</f>
        <v>40349.243356481478</v>
      </c>
      <c r="C322">
        <v>80</v>
      </c>
      <c r="D322">
        <v>79.958488463999998</v>
      </c>
      <c r="E322">
        <v>50</v>
      </c>
      <c r="F322">
        <v>14.994889259000001</v>
      </c>
      <c r="G322">
        <v>1469.7906493999999</v>
      </c>
      <c r="H322">
        <v>1438.0571289</v>
      </c>
      <c r="I322">
        <v>1116.2341309000001</v>
      </c>
      <c r="J322">
        <v>1017.6367798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50.506438000000003</v>
      </c>
      <c r="B323" s="1">
        <f>DATE(2010,6,20) + TIME(12,9,16)</f>
        <v>40349.506435185183</v>
      </c>
      <c r="C323">
        <v>80</v>
      </c>
      <c r="D323">
        <v>79.958503723000007</v>
      </c>
      <c r="E323">
        <v>50</v>
      </c>
      <c r="F323">
        <v>14.994903563999999</v>
      </c>
      <c r="G323">
        <v>1469.7045897999999</v>
      </c>
      <c r="H323">
        <v>1437.9716797000001</v>
      </c>
      <c r="I323">
        <v>1116.2382812000001</v>
      </c>
      <c r="J323">
        <v>1017.6409302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50.769508999999999</v>
      </c>
      <c r="B324" s="1">
        <f>DATE(2010,6,20) + TIME(18,28,5)</f>
        <v>40349.769502314812</v>
      </c>
      <c r="C324">
        <v>80</v>
      </c>
      <c r="D324">
        <v>79.958526610999996</v>
      </c>
      <c r="E324">
        <v>50</v>
      </c>
      <c r="F324">
        <v>14.994918823000001</v>
      </c>
      <c r="G324">
        <v>1469.6190185999999</v>
      </c>
      <c r="H324">
        <v>1437.8867187999999</v>
      </c>
      <c r="I324">
        <v>1116.2423096</v>
      </c>
      <c r="J324">
        <v>1017.6450195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51.295650999999999</v>
      </c>
      <c r="B325" s="1">
        <f>DATE(2010,6,21) + TIME(7,5,44)</f>
        <v>40350.295648148145</v>
      </c>
      <c r="C325">
        <v>80</v>
      </c>
      <c r="D325">
        <v>79.958572387999993</v>
      </c>
      <c r="E325">
        <v>50</v>
      </c>
      <c r="F325">
        <v>14.994939803999999</v>
      </c>
      <c r="G325">
        <v>1469.5343018000001</v>
      </c>
      <c r="H325">
        <v>1437.8026123</v>
      </c>
      <c r="I325">
        <v>1116.2468262</v>
      </c>
      <c r="J325">
        <v>1017.6495361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51.822277999999997</v>
      </c>
      <c r="B326" s="1">
        <f>DATE(2010,6,21) + TIME(19,44,4)</f>
        <v>40350.822268518517</v>
      </c>
      <c r="C326">
        <v>80</v>
      </c>
      <c r="D326">
        <v>79.958602905000006</v>
      </c>
      <c r="E326">
        <v>50</v>
      </c>
      <c r="F326">
        <v>14.994965553</v>
      </c>
      <c r="G326">
        <v>1469.3673096</v>
      </c>
      <c r="H326">
        <v>1437.6368408000001</v>
      </c>
      <c r="I326">
        <v>1116.2550048999999</v>
      </c>
      <c r="J326">
        <v>1017.6577759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52.352964999999998</v>
      </c>
      <c r="B327" s="1">
        <f>DATE(2010,6,22) + TIME(8,28,16)</f>
        <v>40351.352962962963</v>
      </c>
      <c r="C327">
        <v>80</v>
      </c>
      <c r="D327">
        <v>79.958641052000004</v>
      </c>
      <c r="E327">
        <v>50</v>
      </c>
      <c r="F327">
        <v>14.994993210000001</v>
      </c>
      <c r="G327">
        <v>1469.2000731999999</v>
      </c>
      <c r="H327">
        <v>1437.4709473</v>
      </c>
      <c r="I327">
        <v>1116.2631836</v>
      </c>
      <c r="J327">
        <v>1017.6660767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52.888505000000002</v>
      </c>
      <c r="B328" s="1">
        <f>DATE(2010,6,22) + TIME(21,19,26)</f>
        <v>40351.888495370367</v>
      </c>
      <c r="C328">
        <v>80</v>
      </c>
      <c r="D328">
        <v>79.958679199000002</v>
      </c>
      <c r="E328">
        <v>50</v>
      </c>
      <c r="F328">
        <v>14.99502182</v>
      </c>
      <c r="G328">
        <v>1469.0333252</v>
      </c>
      <c r="H328">
        <v>1437.3052978999999</v>
      </c>
      <c r="I328">
        <v>1116.2714844</v>
      </c>
      <c r="J328">
        <v>1017.6744385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53.429865999999997</v>
      </c>
      <c r="B329" s="1">
        <f>DATE(2010,6,23) + TIME(10,19,0)</f>
        <v>40352.429861111108</v>
      </c>
      <c r="C329">
        <v>80</v>
      </c>
      <c r="D329">
        <v>79.958717346</v>
      </c>
      <c r="E329">
        <v>50</v>
      </c>
      <c r="F329">
        <v>14.995051384</v>
      </c>
      <c r="G329">
        <v>1468.8666992000001</v>
      </c>
      <c r="H329">
        <v>1437.1397704999999</v>
      </c>
      <c r="I329">
        <v>1116.2799072</v>
      </c>
      <c r="J329">
        <v>1017.6829834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53.977970999999997</v>
      </c>
      <c r="B330" s="1">
        <f>DATE(2010,6,23) + TIME(23,28,16)</f>
        <v>40352.977962962963</v>
      </c>
      <c r="C330">
        <v>80</v>
      </c>
      <c r="D330">
        <v>79.958755492999998</v>
      </c>
      <c r="E330">
        <v>50</v>
      </c>
      <c r="F330">
        <v>14.995079993999999</v>
      </c>
      <c r="G330">
        <v>1468.6998291</v>
      </c>
      <c r="H330">
        <v>1436.9742432</v>
      </c>
      <c r="I330">
        <v>1116.2884521000001</v>
      </c>
      <c r="J330">
        <v>1017.6915894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54.533644000000002</v>
      </c>
      <c r="B331" s="1">
        <f>DATE(2010,6,24) + TIME(12,48,26)</f>
        <v>40353.533634259256</v>
      </c>
      <c r="C331">
        <v>80</v>
      </c>
      <c r="D331">
        <v>79.958801269999995</v>
      </c>
      <c r="E331">
        <v>50</v>
      </c>
      <c r="F331">
        <v>14.995109557999999</v>
      </c>
      <c r="G331">
        <v>1468.5327147999999</v>
      </c>
      <c r="H331">
        <v>1436.8082274999999</v>
      </c>
      <c r="I331">
        <v>1116.2971190999999</v>
      </c>
      <c r="J331">
        <v>1017.7003174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55.097887999999998</v>
      </c>
      <c r="B332" s="1">
        <f>DATE(2010,6,25) + TIME(2,20,57)</f>
        <v>40354.097881944443</v>
      </c>
      <c r="C332">
        <v>80</v>
      </c>
      <c r="D332">
        <v>79.958839416999993</v>
      </c>
      <c r="E332">
        <v>50</v>
      </c>
      <c r="F332">
        <v>14.995139121999999</v>
      </c>
      <c r="G332">
        <v>1468.3649902</v>
      </c>
      <c r="H332">
        <v>1436.6416016000001</v>
      </c>
      <c r="I332">
        <v>1116.3060303</v>
      </c>
      <c r="J332">
        <v>1017.7092896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55.671774999999997</v>
      </c>
      <c r="B333" s="1">
        <f>DATE(2010,6,25) + TIME(16,7,21)</f>
        <v>40354.671770833331</v>
      </c>
      <c r="C333">
        <v>80</v>
      </c>
      <c r="D333">
        <v>79.958877563000001</v>
      </c>
      <c r="E333">
        <v>50</v>
      </c>
      <c r="F333">
        <v>14.995168686</v>
      </c>
      <c r="G333">
        <v>1468.1964111</v>
      </c>
      <c r="H333">
        <v>1436.4741211</v>
      </c>
      <c r="I333">
        <v>1116.3150635</v>
      </c>
      <c r="J333">
        <v>1017.7183838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55.959791000000003</v>
      </c>
      <c r="B334" s="1">
        <f>DATE(2010,6,25) + TIME(23,2,5)</f>
        <v>40354.959780092591</v>
      </c>
      <c r="C334">
        <v>80</v>
      </c>
      <c r="D334">
        <v>79.958892821999996</v>
      </c>
      <c r="E334">
        <v>50</v>
      </c>
      <c r="F334">
        <v>14.995190620000001</v>
      </c>
      <c r="G334">
        <v>1468.0277100000001</v>
      </c>
      <c r="H334">
        <v>1436.3066406</v>
      </c>
      <c r="I334">
        <v>1116.3238524999999</v>
      </c>
      <c r="J334">
        <v>1017.7271729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56.247805999999997</v>
      </c>
      <c r="B335" s="1">
        <f>DATE(2010,6,26) + TIME(5,56,50)</f>
        <v>40355.247800925928</v>
      </c>
      <c r="C335">
        <v>80</v>
      </c>
      <c r="D335">
        <v>79.958915709999999</v>
      </c>
      <c r="E335">
        <v>50</v>
      </c>
      <c r="F335">
        <v>14.995208740000001</v>
      </c>
      <c r="G335">
        <v>1467.9400635</v>
      </c>
      <c r="H335">
        <v>1436.2194824000001</v>
      </c>
      <c r="I335">
        <v>1116.3286132999999</v>
      </c>
      <c r="J335">
        <v>1017.7319946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56.535822000000003</v>
      </c>
      <c r="B336" s="1">
        <f>DATE(2010,6,26) + TIME(12,51,35)</f>
        <v>40355.535821759258</v>
      </c>
      <c r="C336">
        <v>80</v>
      </c>
      <c r="D336">
        <v>79.958938599000007</v>
      </c>
      <c r="E336">
        <v>50</v>
      </c>
      <c r="F336">
        <v>14.995225906</v>
      </c>
      <c r="G336">
        <v>1467.8554687999999</v>
      </c>
      <c r="H336">
        <v>1436.1354980000001</v>
      </c>
      <c r="I336">
        <v>1116.3331298999999</v>
      </c>
      <c r="J336">
        <v>1017.7366333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56.823838000000002</v>
      </c>
      <c r="B337" s="1">
        <f>DATE(2010,6,26) + TIME(19,46,19)</f>
        <v>40355.823831018519</v>
      </c>
      <c r="C337">
        <v>80</v>
      </c>
      <c r="D337">
        <v>79.958961486999996</v>
      </c>
      <c r="E337">
        <v>50</v>
      </c>
      <c r="F337">
        <v>14.995241164999999</v>
      </c>
      <c r="G337">
        <v>1467.7716064000001</v>
      </c>
      <c r="H337">
        <v>1436.0522461</v>
      </c>
      <c r="I337">
        <v>1116.3378906</v>
      </c>
      <c r="J337">
        <v>1017.7413330000001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57.111853000000004</v>
      </c>
      <c r="B338" s="1">
        <f>DATE(2010,6,27) + TIME(2,41,4)</f>
        <v>40356.111851851849</v>
      </c>
      <c r="C338">
        <v>80</v>
      </c>
      <c r="D338">
        <v>79.958984375</v>
      </c>
      <c r="E338">
        <v>50</v>
      </c>
      <c r="F338">
        <v>14.995256424000001</v>
      </c>
      <c r="G338">
        <v>1467.6882324000001</v>
      </c>
      <c r="H338">
        <v>1435.9693603999999</v>
      </c>
      <c r="I338">
        <v>1116.3425293</v>
      </c>
      <c r="J338">
        <v>1017.7460938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57.399869000000002</v>
      </c>
      <c r="B339" s="1">
        <f>DATE(2010,6,27) + TIME(9,35,48)</f>
        <v>40356.399861111109</v>
      </c>
      <c r="C339">
        <v>80</v>
      </c>
      <c r="D339">
        <v>79.958999633999994</v>
      </c>
      <c r="E339">
        <v>50</v>
      </c>
      <c r="F339">
        <v>14.995271683</v>
      </c>
      <c r="G339">
        <v>1467.6052245999999</v>
      </c>
      <c r="H339">
        <v>1435.8868408000001</v>
      </c>
      <c r="I339">
        <v>1116.347168</v>
      </c>
      <c r="J339">
        <v>1017.7507935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57.687883999999997</v>
      </c>
      <c r="B340" s="1">
        <f>DATE(2010,6,27) + TIME(16,30,33)</f>
        <v>40356.687881944446</v>
      </c>
      <c r="C340">
        <v>80</v>
      </c>
      <c r="D340">
        <v>79.959022521999998</v>
      </c>
      <c r="E340">
        <v>50</v>
      </c>
      <c r="F340">
        <v>14.995285987999999</v>
      </c>
      <c r="G340">
        <v>1467.5225829999999</v>
      </c>
      <c r="H340">
        <v>1435.8048096</v>
      </c>
      <c r="I340">
        <v>1116.3519286999999</v>
      </c>
      <c r="J340">
        <v>1017.7555542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58.263916000000002</v>
      </c>
      <c r="B341" s="1">
        <f>DATE(2010,6,28) + TIME(6,20,2)</f>
        <v>40357.263912037037</v>
      </c>
      <c r="C341">
        <v>80</v>
      </c>
      <c r="D341">
        <v>79.959068298000005</v>
      </c>
      <c r="E341">
        <v>50</v>
      </c>
      <c r="F341">
        <v>14.995306015000001</v>
      </c>
      <c r="G341">
        <v>1467.4406738</v>
      </c>
      <c r="H341">
        <v>1435.7235106999999</v>
      </c>
      <c r="I341">
        <v>1116.3570557</v>
      </c>
      <c r="J341">
        <v>1017.7606812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58.840449999999997</v>
      </c>
      <c r="B342" s="1">
        <f>DATE(2010,6,28) + TIME(20,10,14)</f>
        <v>40357.840439814812</v>
      </c>
      <c r="C342">
        <v>80</v>
      </c>
      <c r="D342">
        <v>79.959106445000003</v>
      </c>
      <c r="E342">
        <v>50</v>
      </c>
      <c r="F342">
        <v>14.995330811000001</v>
      </c>
      <c r="G342">
        <v>1467.2794189000001</v>
      </c>
      <c r="H342">
        <v>1435.5632324000001</v>
      </c>
      <c r="I342">
        <v>1116.3664550999999</v>
      </c>
      <c r="J342">
        <v>1017.7701416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59.421142000000003</v>
      </c>
      <c r="B343" s="1">
        <f>DATE(2010,6,29) + TIME(10,6,26)</f>
        <v>40358.421134259261</v>
      </c>
      <c r="C343">
        <v>80</v>
      </c>
      <c r="D343">
        <v>79.959144592000001</v>
      </c>
      <c r="E343">
        <v>50</v>
      </c>
      <c r="F343">
        <v>14.995357513</v>
      </c>
      <c r="G343">
        <v>1467.1179199000001</v>
      </c>
      <c r="H343">
        <v>1435.402832</v>
      </c>
      <c r="I343">
        <v>1116.3758545000001</v>
      </c>
      <c r="J343">
        <v>1017.7797241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60.006894000000003</v>
      </c>
      <c r="B344" s="1">
        <f>DATE(2010,6,30) + TIME(0,9,55)</f>
        <v>40359.006886574076</v>
      </c>
      <c r="C344">
        <v>80</v>
      </c>
      <c r="D344">
        <v>79.959190368999998</v>
      </c>
      <c r="E344">
        <v>50</v>
      </c>
      <c r="F344">
        <v>14.995386123999999</v>
      </c>
      <c r="G344">
        <v>1466.9567870999999</v>
      </c>
      <c r="H344">
        <v>1435.2426757999999</v>
      </c>
      <c r="I344">
        <v>1116.3854980000001</v>
      </c>
      <c r="J344">
        <v>1017.7893677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60.598745000000001</v>
      </c>
      <c r="B345" s="1">
        <f>DATE(2010,6,30) + TIME(14,22,11)</f>
        <v>40359.598738425928</v>
      </c>
      <c r="C345">
        <v>80</v>
      </c>
      <c r="D345">
        <v>79.959228515999996</v>
      </c>
      <c r="E345">
        <v>50</v>
      </c>
      <c r="F345">
        <v>14.99541378</v>
      </c>
      <c r="G345">
        <v>1466.7958983999999</v>
      </c>
      <c r="H345">
        <v>1435.0827637</v>
      </c>
      <c r="I345">
        <v>1116.3952637</v>
      </c>
      <c r="J345">
        <v>1017.7991333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61</v>
      </c>
      <c r="B346" s="1">
        <f>DATE(2010,7,1) + TIME(0,0,0)</f>
        <v>40360</v>
      </c>
      <c r="C346">
        <v>80</v>
      </c>
      <c r="D346">
        <v>79.959259032999995</v>
      </c>
      <c r="E346">
        <v>50</v>
      </c>
      <c r="F346">
        <v>14.995437622000001</v>
      </c>
      <c r="G346">
        <v>1466.6351318</v>
      </c>
      <c r="H346">
        <v>1434.9230957</v>
      </c>
      <c r="I346">
        <v>1116.4047852000001</v>
      </c>
      <c r="J346">
        <v>1017.8087769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61.599032999999999</v>
      </c>
      <c r="B347" s="1">
        <f>DATE(2010,7,1) + TIME(14,22,36)</f>
        <v>40360.599027777775</v>
      </c>
      <c r="C347">
        <v>80</v>
      </c>
      <c r="D347">
        <v>79.959304810000006</v>
      </c>
      <c r="E347">
        <v>50</v>
      </c>
      <c r="F347">
        <v>14.995462418000001</v>
      </c>
      <c r="G347">
        <v>1466.5253906</v>
      </c>
      <c r="H347">
        <v>1434.8138428</v>
      </c>
      <c r="I347">
        <v>1116.4118652</v>
      </c>
      <c r="J347">
        <v>1017.8158569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62.212257000000001</v>
      </c>
      <c r="B348" s="1">
        <f>DATE(2010,7,2) + TIME(5,5,38)</f>
        <v>40361.212245370371</v>
      </c>
      <c r="C348">
        <v>80</v>
      </c>
      <c r="D348">
        <v>79.959342957000004</v>
      </c>
      <c r="E348">
        <v>50</v>
      </c>
      <c r="F348">
        <v>14.995490073999999</v>
      </c>
      <c r="G348">
        <v>1466.3658447</v>
      </c>
      <c r="H348">
        <v>1434.6553954999999</v>
      </c>
      <c r="I348">
        <v>1116.421875</v>
      </c>
      <c r="J348">
        <v>1017.8259888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62.835348000000003</v>
      </c>
      <c r="B349" s="1">
        <f>DATE(2010,7,2) + TIME(20,2,54)</f>
        <v>40361.835347222222</v>
      </c>
      <c r="C349">
        <v>80</v>
      </c>
      <c r="D349">
        <v>79.959388732999997</v>
      </c>
      <c r="E349">
        <v>50</v>
      </c>
      <c r="F349">
        <v>14.995517731</v>
      </c>
      <c r="G349">
        <v>1466.2033690999999</v>
      </c>
      <c r="H349">
        <v>1434.4937743999999</v>
      </c>
      <c r="I349">
        <v>1116.4321289</v>
      </c>
      <c r="J349">
        <v>1017.8364258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63.149160999999999</v>
      </c>
      <c r="B350" s="1">
        <f>DATE(2010,7,3) + TIME(3,34,47)</f>
        <v>40362.149155092593</v>
      </c>
      <c r="C350">
        <v>80</v>
      </c>
      <c r="D350">
        <v>79.959403992000006</v>
      </c>
      <c r="E350">
        <v>50</v>
      </c>
      <c r="F350">
        <v>14.995538712</v>
      </c>
      <c r="G350">
        <v>1466.0408935999999</v>
      </c>
      <c r="H350">
        <v>1434.3322754000001</v>
      </c>
      <c r="I350">
        <v>1116.4422606999999</v>
      </c>
      <c r="J350">
        <v>1017.8465576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63.462974000000003</v>
      </c>
      <c r="B351" s="1">
        <f>DATE(2010,7,3) + TIME(11,6,40)</f>
        <v>40362.462962962964</v>
      </c>
      <c r="C351">
        <v>80</v>
      </c>
      <c r="D351">
        <v>79.959426879999995</v>
      </c>
      <c r="E351">
        <v>50</v>
      </c>
      <c r="F351">
        <v>14.995556831</v>
      </c>
      <c r="G351">
        <v>1465.9560547000001</v>
      </c>
      <c r="H351">
        <v>1434.2479248</v>
      </c>
      <c r="I351">
        <v>1116.4477539</v>
      </c>
      <c r="J351">
        <v>1017.8520508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63.776786999999999</v>
      </c>
      <c r="B352" s="1">
        <f>DATE(2010,7,3) + TIME(18,38,34)</f>
        <v>40362.776782407411</v>
      </c>
      <c r="C352">
        <v>80</v>
      </c>
      <c r="D352">
        <v>79.959457396999994</v>
      </c>
      <c r="E352">
        <v>50</v>
      </c>
      <c r="F352">
        <v>14.995573044</v>
      </c>
      <c r="G352">
        <v>1465.8742675999999</v>
      </c>
      <c r="H352">
        <v>1434.166626</v>
      </c>
      <c r="I352">
        <v>1116.453125</v>
      </c>
      <c r="J352">
        <v>1017.8574219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64.090598999999997</v>
      </c>
      <c r="B353" s="1">
        <f>DATE(2010,7,4) + TIME(2,10,27)</f>
        <v>40363.090590277781</v>
      </c>
      <c r="C353">
        <v>80</v>
      </c>
      <c r="D353">
        <v>79.959472656000003</v>
      </c>
      <c r="E353">
        <v>50</v>
      </c>
      <c r="F353">
        <v>14.995588303</v>
      </c>
      <c r="G353">
        <v>1465.7930908000001</v>
      </c>
      <c r="H353">
        <v>1434.0859375</v>
      </c>
      <c r="I353">
        <v>1116.4584961</v>
      </c>
      <c r="J353">
        <v>1017.862854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64.404411999999994</v>
      </c>
      <c r="B354" s="1">
        <f>DATE(2010,7,4) + TIME(9,42,21)</f>
        <v>40363.404409722221</v>
      </c>
      <c r="C354">
        <v>80</v>
      </c>
      <c r="D354">
        <v>79.959495544000006</v>
      </c>
      <c r="E354">
        <v>50</v>
      </c>
      <c r="F354">
        <v>14.995602608</v>
      </c>
      <c r="G354">
        <v>1465.7122803</v>
      </c>
      <c r="H354">
        <v>1434.0056152</v>
      </c>
      <c r="I354">
        <v>1116.4638672000001</v>
      </c>
      <c r="J354">
        <v>1017.8682861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64.718225000000004</v>
      </c>
      <c r="B355" s="1">
        <f>DATE(2010,7,4) + TIME(17,14,14)</f>
        <v>40363.718217592592</v>
      </c>
      <c r="C355">
        <v>80</v>
      </c>
      <c r="D355">
        <v>79.959518433</v>
      </c>
      <c r="E355">
        <v>50</v>
      </c>
      <c r="F355">
        <v>14.995617867</v>
      </c>
      <c r="G355">
        <v>1465.6319579999999</v>
      </c>
      <c r="H355">
        <v>1433.9257812000001</v>
      </c>
      <c r="I355">
        <v>1116.4692382999999</v>
      </c>
      <c r="J355">
        <v>1017.8737183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65.032038</v>
      </c>
      <c r="B356" s="1">
        <f>DATE(2010,7,5) + TIME(0,46,8)</f>
        <v>40364.032037037039</v>
      </c>
      <c r="C356">
        <v>80</v>
      </c>
      <c r="D356">
        <v>79.959541321000003</v>
      </c>
      <c r="E356">
        <v>50</v>
      </c>
      <c r="F356">
        <v>14.995631218</v>
      </c>
      <c r="G356">
        <v>1465.5520019999999</v>
      </c>
      <c r="H356">
        <v>1433.8461914</v>
      </c>
      <c r="I356">
        <v>1116.4747314000001</v>
      </c>
      <c r="J356">
        <v>1017.8792114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65.345849999999999</v>
      </c>
      <c r="B357" s="1">
        <f>DATE(2010,7,5) + TIME(8,18,1)</f>
        <v>40364.34584490741</v>
      </c>
      <c r="C357">
        <v>80</v>
      </c>
      <c r="D357">
        <v>79.959564209000007</v>
      </c>
      <c r="E357">
        <v>50</v>
      </c>
      <c r="F357">
        <v>14.995645523</v>
      </c>
      <c r="G357">
        <v>1465.4724120999999</v>
      </c>
      <c r="H357">
        <v>1433.7670897999999</v>
      </c>
      <c r="I357">
        <v>1116.4801024999999</v>
      </c>
      <c r="J357">
        <v>1017.8846436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65.973476000000005</v>
      </c>
      <c r="B358" s="1">
        <f>DATE(2010,7,5) + TIME(23,21,48)</f>
        <v>40364.97347222222</v>
      </c>
      <c r="C358">
        <v>80</v>
      </c>
      <c r="D358">
        <v>79.959609985</v>
      </c>
      <c r="E358">
        <v>50</v>
      </c>
      <c r="F358">
        <v>14.995664596999999</v>
      </c>
      <c r="G358">
        <v>1465.3934326000001</v>
      </c>
      <c r="H358">
        <v>1433.6885986</v>
      </c>
      <c r="I358">
        <v>1116.4859618999999</v>
      </c>
      <c r="J358">
        <v>1017.890564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66.601307000000006</v>
      </c>
      <c r="B359" s="1">
        <f>DATE(2010,7,6) + TIME(14,25,52)</f>
        <v>40365.6012962963</v>
      </c>
      <c r="C359">
        <v>80</v>
      </c>
      <c r="D359">
        <v>79.959655761999997</v>
      </c>
      <c r="E359">
        <v>50</v>
      </c>
      <c r="F359">
        <v>14.995688438</v>
      </c>
      <c r="G359">
        <v>1465.2379149999999</v>
      </c>
      <c r="H359">
        <v>1433.5339355000001</v>
      </c>
      <c r="I359">
        <v>1116.4968262</v>
      </c>
      <c r="J359">
        <v>1017.9014893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67.234067999999994</v>
      </c>
      <c r="B360" s="1">
        <f>DATE(2010,7,7) + TIME(5,37,3)</f>
        <v>40366.2340625</v>
      </c>
      <c r="C360">
        <v>80</v>
      </c>
      <c r="D360">
        <v>79.959701538000004</v>
      </c>
      <c r="E360">
        <v>50</v>
      </c>
      <c r="F360">
        <v>14.995715141</v>
      </c>
      <c r="G360">
        <v>1465.0822754000001</v>
      </c>
      <c r="H360">
        <v>1433.3791504000001</v>
      </c>
      <c r="I360">
        <v>1116.5078125</v>
      </c>
      <c r="J360">
        <v>1017.9124756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67.872748000000001</v>
      </c>
      <c r="B361" s="1">
        <f>DATE(2010,7,7) + TIME(20,56,45)</f>
        <v>40366.872743055559</v>
      </c>
      <c r="C361">
        <v>80</v>
      </c>
      <c r="D361">
        <v>79.959739685000002</v>
      </c>
      <c r="E361">
        <v>50</v>
      </c>
      <c r="F361">
        <v>14.995741843999999</v>
      </c>
      <c r="G361">
        <v>1464.9267577999999</v>
      </c>
      <c r="H361">
        <v>1433.2244873</v>
      </c>
      <c r="I361">
        <v>1116.5189209</v>
      </c>
      <c r="J361">
        <v>1017.923645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68.518557000000001</v>
      </c>
      <c r="B362" s="1">
        <f>DATE(2010,7,8) + TIME(12,26,43)</f>
        <v>40367.518553240741</v>
      </c>
      <c r="C362">
        <v>80</v>
      </c>
      <c r="D362">
        <v>79.959785460999996</v>
      </c>
      <c r="E362">
        <v>50</v>
      </c>
      <c r="F362">
        <v>14.995768547000001</v>
      </c>
      <c r="G362">
        <v>1464.7713623</v>
      </c>
      <c r="H362">
        <v>1433.0699463000001</v>
      </c>
      <c r="I362">
        <v>1116.5301514</v>
      </c>
      <c r="J362">
        <v>1017.9349976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69.172559000000007</v>
      </c>
      <c r="B363" s="1">
        <f>DATE(2010,7,9) + TIME(4,8,29)</f>
        <v>40368.17255787037</v>
      </c>
      <c r="C363">
        <v>80</v>
      </c>
      <c r="D363">
        <v>79.959831238000007</v>
      </c>
      <c r="E363">
        <v>50</v>
      </c>
      <c r="F363">
        <v>14.995796203999999</v>
      </c>
      <c r="G363">
        <v>1464.6156006000001</v>
      </c>
      <c r="H363">
        <v>1432.9150391000001</v>
      </c>
      <c r="I363">
        <v>1116.541626</v>
      </c>
      <c r="J363">
        <v>1017.9465332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69.835808999999998</v>
      </c>
      <c r="B364" s="1">
        <f>DATE(2010,7,9) + TIME(20,3,33)</f>
        <v>40368.835798611108</v>
      </c>
      <c r="C364">
        <v>80</v>
      </c>
      <c r="D364">
        <v>79.959877014</v>
      </c>
      <c r="E364">
        <v>50</v>
      </c>
      <c r="F364">
        <v>14.99582386</v>
      </c>
      <c r="G364">
        <v>1464.4593506000001</v>
      </c>
      <c r="H364">
        <v>1432.7596435999999</v>
      </c>
      <c r="I364">
        <v>1116.5532227000001</v>
      </c>
      <c r="J364">
        <v>1017.958252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70.509541999999996</v>
      </c>
      <c r="B365" s="1">
        <f>DATE(2010,7,10) + TIME(12,13,44)</f>
        <v>40369.50953703704</v>
      </c>
      <c r="C365">
        <v>80</v>
      </c>
      <c r="D365">
        <v>79.959922790999997</v>
      </c>
      <c r="E365">
        <v>50</v>
      </c>
      <c r="F365">
        <v>14.995851517</v>
      </c>
      <c r="G365">
        <v>1464.3024902</v>
      </c>
      <c r="H365">
        <v>1432.6035156</v>
      </c>
      <c r="I365">
        <v>1116.5650635</v>
      </c>
      <c r="J365">
        <v>1017.9702148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70.850459000000001</v>
      </c>
      <c r="B366" s="1">
        <f>DATE(2010,7,10) + TIME(20,24,39)</f>
        <v>40369.850451388891</v>
      </c>
      <c r="C366">
        <v>80</v>
      </c>
      <c r="D366">
        <v>79.959945679</v>
      </c>
      <c r="E366">
        <v>50</v>
      </c>
      <c r="F366">
        <v>14.995872498000001</v>
      </c>
      <c r="G366">
        <v>1464.1456298999999</v>
      </c>
      <c r="H366">
        <v>1432.4476318</v>
      </c>
      <c r="I366">
        <v>1116.5767822</v>
      </c>
      <c r="J366">
        <v>1017.9818726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71.191316999999998</v>
      </c>
      <c r="B367" s="1">
        <f>DATE(2010,7,11) + TIME(4,35,29)</f>
        <v>40370.191307870373</v>
      </c>
      <c r="C367">
        <v>80</v>
      </c>
      <c r="D367">
        <v>79.959968567000004</v>
      </c>
      <c r="E367">
        <v>50</v>
      </c>
      <c r="F367">
        <v>14.995889664</v>
      </c>
      <c r="G367">
        <v>1464.0634766000001</v>
      </c>
      <c r="H367">
        <v>1432.3657227000001</v>
      </c>
      <c r="I367">
        <v>1116.5831298999999</v>
      </c>
      <c r="J367">
        <v>1017.9882812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71.532174999999995</v>
      </c>
      <c r="B368" s="1">
        <f>DATE(2010,7,11) + TIME(12,46,19)</f>
        <v>40370.532164351855</v>
      </c>
      <c r="C368">
        <v>80</v>
      </c>
      <c r="D368">
        <v>79.959991454999994</v>
      </c>
      <c r="E368">
        <v>50</v>
      </c>
      <c r="F368">
        <v>14.995904921999999</v>
      </c>
      <c r="G368">
        <v>1463.9841309000001</v>
      </c>
      <c r="H368">
        <v>1432.2868652</v>
      </c>
      <c r="I368">
        <v>1116.5892334</v>
      </c>
      <c r="J368">
        <v>1017.9945068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71.873033000000007</v>
      </c>
      <c r="B369" s="1">
        <f>DATE(2010,7,11) + TIME(20,57,10)</f>
        <v>40370.873032407406</v>
      </c>
      <c r="C369">
        <v>80</v>
      </c>
      <c r="D369">
        <v>79.960014342999997</v>
      </c>
      <c r="E369">
        <v>50</v>
      </c>
      <c r="F369">
        <v>14.995920181000001</v>
      </c>
      <c r="G369">
        <v>1463.9053954999999</v>
      </c>
      <c r="H369">
        <v>1432.2084961</v>
      </c>
      <c r="I369">
        <v>1116.5954589999999</v>
      </c>
      <c r="J369">
        <v>1018.0007323999999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72.213891000000004</v>
      </c>
      <c r="B370" s="1">
        <f>DATE(2010,7,12) + TIME(5,8,0)</f>
        <v>40371.213888888888</v>
      </c>
      <c r="C370">
        <v>80</v>
      </c>
      <c r="D370">
        <v>79.960044861</v>
      </c>
      <c r="E370">
        <v>50</v>
      </c>
      <c r="F370">
        <v>14.995934485999999</v>
      </c>
      <c r="G370">
        <v>1463.8270264</v>
      </c>
      <c r="H370">
        <v>1432.1306152</v>
      </c>
      <c r="I370">
        <v>1116.6016846</v>
      </c>
      <c r="J370">
        <v>1018.007019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72.554749000000001</v>
      </c>
      <c r="B371" s="1">
        <f>DATE(2010,7,12) + TIME(13,18,50)</f>
        <v>40371.554745370369</v>
      </c>
      <c r="C371">
        <v>80</v>
      </c>
      <c r="D371">
        <v>79.960067749000004</v>
      </c>
      <c r="E371">
        <v>50</v>
      </c>
      <c r="F371">
        <v>14.995947837999999</v>
      </c>
      <c r="G371">
        <v>1463.7490233999999</v>
      </c>
      <c r="H371">
        <v>1432.0529785000001</v>
      </c>
      <c r="I371">
        <v>1116.6079102000001</v>
      </c>
      <c r="J371">
        <v>1018.0133057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72.895606999999998</v>
      </c>
      <c r="B372" s="1">
        <f>DATE(2010,7,12) + TIME(21,29,40)</f>
        <v>40371.895601851851</v>
      </c>
      <c r="C372">
        <v>80</v>
      </c>
      <c r="D372">
        <v>79.960090636999993</v>
      </c>
      <c r="E372">
        <v>50</v>
      </c>
      <c r="F372">
        <v>14.995962143</v>
      </c>
      <c r="G372">
        <v>1463.6715088000001</v>
      </c>
      <c r="H372">
        <v>1431.9757079999999</v>
      </c>
      <c r="I372">
        <v>1116.6142577999999</v>
      </c>
      <c r="J372">
        <v>1018.0195923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73.236464999999995</v>
      </c>
      <c r="B373" s="1">
        <f>DATE(2010,7,13) + TIME(5,40,30)</f>
        <v>40372.236458333333</v>
      </c>
      <c r="C373">
        <v>80</v>
      </c>
      <c r="D373">
        <v>79.960113524999997</v>
      </c>
      <c r="E373">
        <v>50</v>
      </c>
      <c r="F373">
        <v>14.995975494</v>
      </c>
      <c r="G373">
        <v>1463.5942382999999</v>
      </c>
      <c r="H373">
        <v>1431.8989257999999</v>
      </c>
      <c r="I373">
        <v>1116.6204834</v>
      </c>
      <c r="J373">
        <v>1018.0259399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73.577323000000007</v>
      </c>
      <c r="B374" s="1">
        <f>DATE(2010,7,13) + TIME(13,51,20)</f>
        <v>40372.577314814815</v>
      </c>
      <c r="C374">
        <v>80</v>
      </c>
      <c r="D374">
        <v>79.960136414000004</v>
      </c>
      <c r="E374">
        <v>50</v>
      </c>
      <c r="F374">
        <v>14.995988845999999</v>
      </c>
      <c r="G374">
        <v>1463.5173339999999</v>
      </c>
      <c r="H374">
        <v>1431.8223877</v>
      </c>
      <c r="I374">
        <v>1116.6268310999999</v>
      </c>
      <c r="J374">
        <v>1018.0322876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74.259039000000001</v>
      </c>
      <c r="B375" s="1">
        <f>DATE(2010,7,14) + TIME(6,13,0)</f>
        <v>40373.259027777778</v>
      </c>
      <c r="C375">
        <v>80</v>
      </c>
      <c r="D375">
        <v>79.960182189999998</v>
      </c>
      <c r="E375">
        <v>50</v>
      </c>
      <c r="F375">
        <v>14.996006965999999</v>
      </c>
      <c r="G375">
        <v>1463.440918</v>
      </c>
      <c r="H375">
        <v>1431.7463379000001</v>
      </c>
      <c r="I375">
        <v>1116.6335449000001</v>
      </c>
      <c r="J375">
        <v>1018.0390625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74.940860000000001</v>
      </c>
      <c r="B376" s="1">
        <f>DATE(2010,7,14) + TIME(22,34,50)</f>
        <v>40373.94085648148</v>
      </c>
      <c r="C376">
        <v>80</v>
      </c>
      <c r="D376">
        <v>79.960227966000005</v>
      </c>
      <c r="E376">
        <v>50</v>
      </c>
      <c r="F376">
        <v>14.996029854</v>
      </c>
      <c r="G376">
        <v>1463.2906493999999</v>
      </c>
      <c r="H376">
        <v>1431.5968018000001</v>
      </c>
      <c r="I376">
        <v>1116.6461182</v>
      </c>
      <c r="J376">
        <v>1018.0516967999999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75.628579000000002</v>
      </c>
      <c r="B377" s="1">
        <f>DATE(2010,7,15) + TIME(15,5,9)</f>
        <v>40374.628576388888</v>
      </c>
      <c r="C377">
        <v>80</v>
      </c>
      <c r="D377">
        <v>79.960273743000002</v>
      </c>
      <c r="E377">
        <v>50</v>
      </c>
      <c r="F377">
        <v>14.996055603</v>
      </c>
      <c r="G377">
        <v>1463.1401367000001</v>
      </c>
      <c r="H377">
        <v>1431.4471435999999</v>
      </c>
      <c r="I377">
        <v>1116.6589355000001</v>
      </c>
      <c r="J377">
        <v>1018.0645142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76.323280999999994</v>
      </c>
      <c r="B378" s="1">
        <f>DATE(2010,7,16) + TIME(7,45,31)</f>
        <v>40375.323275462964</v>
      </c>
      <c r="C378">
        <v>80</v>
      </c>
      <c r="D378">
        <v>79.960319518999995</v>
      </c>
      <c r="E378">
        <v>50</v>
      </c>
      <c r="F378">
        <v>14.996081351999999</v>
      </c>
      <c r="G378">
        <v>1462.9897461</v>
      </c>
      <c r="H378">
        <v>1431.2973632999999</v>
      </c>
      <c r="I378">
        <v>1116.671875</v>
      </c>
      <c r="J378">
        <v>1018.0775146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77.026420000000002</v>
      </c>
      <c r="B379" s="1">
        <f>DATE(2010,7,17) + TIME(0,38,2)</f>
        <v>40376.026412037034</v>
      </c>
      <c r="C379">
        <v>80</v>
      </c>
      <c r="D379">
        <v>79.960372925000001</v>
      </c>
      <c r="E379">
        <v>50</v>
      </c>
      <c r="F379">
        <v>14.996108055000001</v>
      </c>
      <c r="G379">
        <v>1462.8392334</v>
      </c>
      <c r="H379">
        <v>1431.1475829999999</v>
      </c>
      <c r="I379">
        <v>1116.6849365</v>
      </c>
      <c r="J379">
        <v>1018.0906982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77.738981999999993</v>
      </c>
      <c r="B380" s="1">
        <f>DATE(2010,7,17) + TIME(17,44,8)</f>
        <v>40376.738981481481</v>
      </c>
      <c r="C380">
        <v>80</v>
      </c>
      <c r="D380">
        <v>79.960418700999995</v>
      </c>
      <c r="E380">
        <v>50</v>
      </c>
      <c r="F380">
        <v>14.996134758</v>
      </c>
      <c r="G380">
        <v>1462.6882324000001</v>
      </c>
      <c r="H380">
        <v>1430.9973144999999</v>
      </c>
      <c r="I380">
        <v>1116.6983643000001</v>
      </c>
      <c r="J380">
        <v>1018.104187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78.462249999999997</v>
      </c>
      <c r="B381" s="1">
        <f>DATE(2010,7,18) + TIME(11,5,38)</f>
        <v>40377.462245370371</v>
      </c>
      <c r="C381">
        <v>80</v>
      </c>
      <c r="D381">
        <v>79.960464478000006</v>
      </c>
      <c r="E381">
        <v>50</v>
      </c>
      <c r="F381">
        <v>14.996161461</v>
      </c>
      <c r="G381">
        <v>1462.5366211</v>
      </c>
      <c r="H381">
        <v>1430.8464355000001</v>
      </c>
      <c r="I381">
        <v>1116.7120361</v>
      </c>
      <c r="J381">
        <v>1018.1178589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79.196186999999995</v>
      </c>
      <c r="B382" s="1">
        <f>DATE(2010,7,19) + TIME(4,42,30)</f>
        <v>40378.196180555555</v>
      </c>
      <c r="C382">
        <v>80</v>
      </c>
      <c r="D382">
        <v>79.960517882999994</v>
      </c>
      <c r="E382">
        <v>50</v>
      </c>
      <c r="F382">
        <v>14.996188163999999</v>
      </c>
      <c r="G382">
        <v>1462.3841553</v>
      </c>
      <c r="H382">
        <v>1430.6945800999999</v>
      </c>
      <c r="I382">
        <v>1116.7259521000001</v>
      </c>
      <c r="J382">
        <v>1018.131897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79.563236000000003</v>
      </c>
      <c r="B383" s="1">
        <f>DATE(2010,7,19) + TIME(13,31,3)</f>
        <v>40378.56322916667</v>
      </c>
      <c r="C383">
        <v>80</v>
      </c>
      <c r="D383">
        <v>79.960533142000003</v>
      </c>
      <c r="E383">
        <v>50</v>
      </c>
      <c r="F383">
        <v>14.996209145</v>
      </c>
      <c r="G383">
        <v>1462.2320557</v>
      </c>
      <c r="H383">
        <v>1430.5430908000001</v>
      </c>
      <c r="I383">
        <v>1116.739624</v>
      </c>
      <c r="J383">
        <v>1018.1456299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79.930285999999995</v>
      </c>
      <c r="B384" s="1">
        <f>DATE(2010,7,19) + TIME(22,19,36)</f>
        <v>40378.930277777778</v>
      </c>
      <c r="C384">
        <v>80</v>
      </c>
      <c r="D384">
        <v>79.960563660000005</v>
      </c>
      <c r="E384">
        <v>50</v>
      </c>
      <c r="F384">
        <v>14.996225357</v>
      </c>
      <c r="G384">
        <v>1462.1530762</v>
      </c>
      <c r="H384">
        <v>1430.4644774999999</v>
      </c>
      <c r="I384">
        <v>1116.7469481999999</v>
      </c>
      <c r="J384">
        <v>1018.1530150999999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80.297335000000004</v>
      </c>
      <c r="B385" s="1">
        <f>DATE(2010,7,20) + TIME(7,8,9)</f>
        <v>40379.297326388885</v>
      </c>
      <c r="C385">
        <v>80</v>
      </c>
      <c r="D385">
        <v>79.960586547999995</v>
      </c>
      <c r="E385">
        <v>50</v>
      </c>
      <c r="F385">
        <v>14.996240616</v>
      </c>
      <c r="G385">
        <v>1462.0769043</v>
      </c>
      <c r="H385">
        <v>1430.3886719</v>
      </c>
      <c r="I385">
        <v>1116.7541504000001</v>
      </c>
      <c r="J385">
        <v>1018.1602173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80.664383999999998</v>
      </c>
      <c r="B386" s="1">
        <f>DATE(2010,7,20) + TIME(15,56,42)</f>
        <v>40379.664375</v>
      </c>
      <c r="C386">
        <v>80</v>
      </c>
      <c r="D386">
        <v>79.960617064999994</v>
      </c>
      <c r="E386">
        <v>50</v>
      </c>
      <c r="F386">
        <v>14.996254921</v>
      </c>
      <c r="G386">
        <v>1462.0013428</v>
      </c>
      <c r="H386">
        <v>1430.3134766000001</v>
      </c>
      <c r="I386">
        <v>1116.7613524999999</v>
      </c>
      <c r="J386">
        <v>1018.1674805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81.031434000000004</v>
      </c>
      <c r="B387" s="1">
        <f>DATE(2010,7,21) + TIME(0,45,15)</f>
        <v>40380.031423611108</v>
      </c>
      <c r="C387">
        <v>80</v>
      </c>
      <c r="D387">
        <v>79.960639954000001</v>
      </c>
      <c r="E387">
        <v>50</v>
      </c>
      <c r="F387">
        <v>14.996268272</v>
      </c>
      <c r="G387">
        <v>1461.9260254000001</v>
      </c>
      <c r="H387">
        <v>1430.2385254000001</v>
      </c>
      <c r="I387">
        <v>1116.7685547000001</v>
      </c>
      <c r="J387">
        <v>1018.1747437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81.398482999999999</v>
      </c>
      <c r="B388" s="1">
        <f>DATE(2010,7,21) + TIME(9,33,48)</f>
        <v>40380.398472222223</v>
      </c>
      <c r="C388">
        <v>80</v>
      </c>
      <c r="D388">
        <v>79.960662842000005</v>
      </c>
      <c r="E388">
        <v>50</v>
      </c>
      <c r="F388">
        <v>14.996281624</v>
      </c>
      <c r="G388">
        <v>1461.8511963000001</v>
      </c>
      <c r="H388">
        <v>1430.1639404</v>
      </c>
      <c r="I388">
        <v>1116.7758789</v>
      </c>
      <c r="J388">
        <v>1018.1820068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82.132581999999999</v>
      </c>
      <c r="B389" s="1">
        <f>DATE(2010,7,22) + TIME(3,10,55)</f>
        <v>40381.132581018515</v>
      </c>
      <c r="C389">
        <v>80</v>
      </c>
      <c r="D389">
        <v>79.960716247999997</v>
      </c>
      <c r="E389">
        <v>50</v>
      </c>
      <c r="F389">
        <v>14.996298790000001</v>
      </c>
      <c r="G389">
        <v>1461.7767334</v>
      </c>
      <c r="H389">
        <v>1430.0898437999999</v>
      </c>
      <c r="I389">
        <v>1116.7835693</v>
      </c>
      <c r="J389">
        <v>1018.1898193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82.867710000000002</v>
      </c>
      <c r="B390" s="1">
        <f>DATE(2010,7,22) + TIME(20,49,30)</f>
        <v>40381.867708333331</v>
      </c>
      <c r="C390">
        <v>80</v>
      </c>
      <c r="D390">
        <v>79.960762024000005</v>
      </c>
      <c r="E390">
        <v>50</v>
      </c>
      <c r="F390">
        <v>14.996321677999999</v>
      </c>
      <c r="G390">
        <v>1461.630249</v>
      </c>
      <c r="H390">
        <v>1429.9439697</v>
      </c>
      <c r="I390">
        <v>1116.7980957</v>
      </c>
      <c r="J390">
        <v>1018.2043457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83.608388000000005</v>
      </c>
      <c r="B391" s="1">
        <f>DATE(2010,7,23) + TIME(14,36,4)</f>
        <v>40382.60837962963</v>
      </c>
      <c r="C391">
        <v>80</v>
      </c>
      <c r="D391">
        <v>79.960815429999997</v>
      </c>
      <c r="E391">
        <v>50</v>
      </c>
      <c r="F391">
        <v>14.996347427</v>
      </c>
      <c r="G391">
        <v>1461.4835204999999</v>
      </c>
      <c r="H391">
        <v>1429.7978516000001</v>
      </c>
      <c r="I391">
        <v>1116.8127440999999</v>
      </c>
      <c r="J391">
        <v>1018.2191772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84.355840999999998</v>
      </c>
      <c r="B392" s="1">
        <f>DATE(2010,7,24) + TIME(8,32,24)</f>
        <v>40383.355833333335</v>
      </c>
      <c r="C392">
        <v>80</v>
      </c>
      <c r="D392">
        <v>79.960861206000004</v>
      </c>
      <c r="E392">
        <v>50</v>
      </c>
      <c r="F392">
        <v>14.996372223</v>
      </c>
      <c r="G392">
        <v>1461.3369141000001</v>
      </c>
      <c r="H392">
        <v>1429.6518555</v>
      </c>
      <c r="I392">
        <v>1116.8277588000001</v>
      </c>
      <c r="J392">
        <v>1018.2341309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85.111469</v>
      </c>
      <c r="B393" s="1">
        <f>DATE(2010,7,25) + TIME(2,40,30)</f>
        <v>40384.111458333333</v>
      </c>
      <c r="C393">
        <v>80</v>
      </c>
      <c r="D393">
        <v>79.960914611999996</v>
      </c>
      <c r="E393">
        <v>50</v>
      </c>
      <c r="F393">
        <v>14.996397972</v>
      </c>
      <c r="G393">
        <v>1461.1903076000001</v>
      </c>
      <c r="H393">
        <v>1429.5058594</v>
      </c>
      <c r="I393">
        <v>1116.8428954999999</v>
      </c>
      <c r="J393">
        <v>1018.2493286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85.876653000000005</v>
      </c>
      <c r="B394" s="1">
        <f>DATE(2010,7,25) + TIME(21,2,22)</f>
        <v>40384.876643518517</v>
      </c>
      <c r="C394">
        <v>80</v>
      </c>
      <c r="D394">
        <v>79.960960388000004</v>
      </c>
      <c r="E394">
        <v>50</v>
      </c>
      <c r="F394">
        <v>14.996424675</v>
      </c>
      <c r="G394">
        <v>1461.0433350000001</v>
      </c>
      <c r="H394">
        <v>1429.3594971</v>
      </c>
      <c r="I394">
        <v>1116.8582764</v>
      </c>
      <c r="J394">
        <v>1018.2648315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86.651730000000001</v>
      </c>
      <c r="B395" s="1">
        <f>DATE(2010,7,26) + TIME(15,38,29)</f>
        <v>40385.651724537034</v>
      </c>
      <c r="C395">
        <v>80</v>
      </c>
      <c r="D395">
        <v>79.961013793999996</v>
      </c>
      <c r="E395">
        <v>50</v>
      </c>
      <c r="F395">
        <v>14.996450424000001</v>
      </c>
      <c r="G395">
        <v>1460.895874</v>
      </c>
      <c r="H395">
        <v>1429.2126464999999</v>
      </c>
      <c r="I395">
        <v>1116.8740233999999</v>
      </c>
      <c r="J395">
        <v>1018.2806396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87.434308999999999</v>
      </c>
      <c r="B396" s="1">
        <f>DATE(2010,7,27) + TIME(10,25,24)</f>
        <v>40386.434305555558</v>
      </c>
      <c r="C396">
        <v>80</v>
      </c>
      <c r="D396">
        <v>79.961067200000002</v>
      </c>
      <c r="E396">
        <v>50</v>
      </c>
      <c r="F396">
        <v>14.996476173</v>
      </c>
      <c r="G396">
        <v>1460.7479248</v>
      </c>
      <c r="H396">
        <v>1429.0653076000001</v>
      </c>
      <c r="I396">
        <v>1116.8900146000001</v>
      </c>
      <c r="J396">
        <v>1018.2967529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87.828203999999999</v>
      </c>
      <c r="B397" s="1">
        <f>DATE(2010,7,27) + TIME(19,52,36)</f>
        <v>40386.828194444446</v>
      </c>
      <c r="C397">
        <v>80</v>
      </c>
      <c r="D397">
        <v>79.961082458000007</v>
      </c>
      <c r="E397">
        <v>50</v>
      </c>
      <c r="F397">
        <v>14.996497154</v>
      </c>
      <c r="G397">
        <v>1460.6009521000001</v>
      </c>
      <c r="H397">
        <v>1428.9188231999999</v>
      </c>
      <c r="I397">
        <v>1116.9057617000001</v>
      </c>
      <c r="J397">
        <v>1018.312561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88.222098000000003</v>
      </c>
      <c r="B398" s="1">
        <f>DATE(2010,7,28) + TIME(5,19,49)</f>
        <v>40387.222094907411</v>
      </c>
      <c r="C398">
        <v>80</v>
      </c>
      <c r="D398">
        <v>79.961112975999995</v>
      </c>
      <c r="E398">
        <v>50</v>
      </c>
      <c r="F398">
        <v>14.996513367</v>
      </c>
      <c r="G398">
        <v>1460.5241699000001</v>
      </c>
      <c r="H398">
        <v>1428.8424072</v>
      </c>
      <c r="I398">
        <v>1116.9143065999999</v>
      </c>
      <c r="J398">
        <v>1018.321106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88.615993000000003</v>
      </c>
      <c r="B399" s="1">
        <f>DATE(2010,7,28) + TIME(14,47,1)</f>
        <v>40387.615983796299</v>
      </c>
      <c r="C399">
        <v>80</v>
      </c>
      <c r="D399">
        <v>79.961143493999998</v>
      </c>
      <c r="E399">
        <v>50</v>
      </c>
      <c r="F399">
        <v>14.996527671999999</v>
      </c>
      <c r="G399">
        <v>1460.4501952999999</v>
      </c>
      <c r="H399">
        <v>1428.7686768000001</v>
      </c>
      <c r="I399">
        <v>1116.9226074000001</v>
      </c>
      <c r="J399">
        <v>1018.3294067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89.009888000000004</v>
      </c>
      <c r="B400" s="1">
        <f>DATE(2010,7,29) + TIME(0,14,14)</f>
        <v>40388.009884259256</v>
      </c>
      <c r="C400">
        <v>80</v>
      </c>
      <c r="D400">
        <v>79.961166382000002</v>
      </c>
      <c r="E400">
        <v>50</v>
      </c>
      <c r="F400">
        <v>14.996541977</v>
      </c>
      <c r="G400">
        <v>1460.3767089999999</v>
      </c>
      <c r="H400">
        <v>1428.6954346</v>
      </c>
      <c r="I400">
        <v>1116.9309082</v>
      </c>
      <c r="J400">
        <v>1018.3377686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89.403783000000004</v>
      </c>
      <c r="B401" s="1">
        <f>DATE(2010,7,29) + TIME(9,41,26)</f>
        <v>40388.403773148151</v>
      </c>
      <c r="C401">
        <v>80</v>
      </c>
      <c r="D401">
        <v>79.961189270000006</v>
      </c>
      <c r="E401">
        <v>50</v>
      </c>
      <c r="F401">
        <v>14.996555327999999</v>
      </c>
      <c r="G401">
        <v>1460.3034668</v>
      </c>
      <c r="H401">
        <v>1428.6225586</v>
      </c>
      <c r="I401">
        <v>1116.9393310999999</v>
      </c>
      <c r="J401">
        <v>1018.3461914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89.797678000000005</v>
      </c>
      <c r="B402" s="1">
        <f>DATE(2010,7,29) + TIME(19,8,39)</f>
        <v>40388.797673611109</v>
      </c>
      <c r="C402">
        <v>80</v>
      </c>
      <c r="D402">
        <v>79.961219787999994</v>
      </c>
      <c r="E402">
        <v>50</v>
      </c>
      <c r="F402">
        <v>14.996567726</v>
      </c>
      <c r="G402">
        <v>1460.2305908000001</v>
      </c>
      <c r="H402">
        <v>1428.5499268000001</v>
      </c>
      <c r="I402">
        <v>1116.9477539</v>
      </c>
      <c r="J402">
        <v>1018.3546753000001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90.191573000000005</v>
      </c>
      <c r="B403" s="1">
        <f>DATE(2010,7,30) + TIME(4,35,51)</f>
        <v>40389.191562499997</v>
      </c>
      <c r="C403">
        <v>80</v>
      </c>
      <c r="D403">
        <v>79.961242675999998</v>
      </c>
      <c r="E403">
        <v>50</v>
      </c>
      <c r="F403">
        <v>14.996581078</v>
      </c>
      <c r="G403">
        <v>1460.1580810999999</v>
      </c>
      <c r="H403">
        <v>1428.4776611</v>
      </c>
      <c r="I403">
        <v>1116.9561768000001</v>
      </c>
      <c r="J403">
        <v>1018.3630981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90.585468000000006</v>
      </c>
      <c r="B404" s="1">
        <f>DATE(2010,7,30) + TIME(14,3,4)</f>
        <v>40389.585462962961</v>
      </c>
      <c r="C404">
        <v>80</v>
      </c>
      <c r="D404">
        <v>79.961265564000001</v>
      </c>
      <c r="E404">
        <v>50</v>
      </c>
      <c r="F404">
        <v>14.996593474999999</v>
      </c>
      <c r="G404">
        <v>1460.0858154</v>
      </c>
      <c r="H404">
        <v>1428.4057617000001</v>
      </c>
      <c r="I404">
        <v>1116.9645995999999</v>
      </c>
      <c r="J404">
        <v>1018.3716431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91.373258000000007</v>
      </c>
      <c r="B405" s="1">
        <f>DATE(2010,7,31) + TIME(8,57,29)</f>
        <v>40390.373252314814</v>
      </c>
      <c r="C405">
        <v>80</v>
      </c>
      <c r="D405">
        <v>79.961326599000003</v>
      </c>
      <c r="E405">
        <v>50</v>
      </c>
      <c r="F405">
        <v>14.996610641</v>
      </c>
      <c r="G405">
        <v>1460.0140381000001</v>
      </c>
      <c r="H405">
        <v>1428.3342285000001</v>
      </c>
      <c r="I405">
        <v>1116.9735106999999</v>
      </c>
      <c r="J405">
        <v>1018.3806152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92</v>
      </c>
      <c r="B406" s="1">
        <f>DATE(2010,8,1) + TIME(0,0,0)</f>
        <v>40391</v>
      </c>
      <c r="C406">
        <v>80</v>
      </c>
      <c r="D406">
        <v>79.961357117000006</v>
      </c>
      <c r="E406">
        <v>50</v>
      </c>
      <c r="F406">
        <v>14.996630669</v>
      </c>
      <c r="G406">
        <v>1459.8728027</v>
      </c>
      <c r="H406">
        <v>1428.1936035000001</v>
      </c>
      <c r="I406">
        <v>1116.9902344</v>
      </c>
      <c r="J406">
        <v>1018.3973389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92.788977000000003</v>
      </c>
      <c r="B407" s="1">
        <f>DATE(2010,8,1) + TIME(18,56,7)</f>
        <v>40391.788969907408</v>
      </c>
      <c r="C407">
        <v>80</v>
      </c>
      <c r="D407">
        <v>79.961410521999994</v>
      </c>
      <c r="E407">
        <v>50</v>
      </c>
      <c r="F407">
        <v>14.996652602999999</v>
      </c>
      <c r="G407">
        <v>1459.7595214999999</v>
      </c>
      <c r="H407">
        <v>1428.0806885</v>
      </c>
      <c r="I407">
        <v>1117.0041504000001</v>
      </c>
      <c r="J407">
        <v>1018.4113159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93.591368000000003</v>
      </c>
      <c r="B408" s="1">
        <f>DATE(2010,8,2) + TIME(14,11,34)</f>
        <v>40392.591365740744</v>
      </c>
      <c r="C408">
        <v>80</v>
      </c>
      <c r="D408">
        <v>79.961463928000001</v>
      </c>
      <c r="E408">
        <v>50</v>
      </c>
      <c r="F408">
        <v>14.996676445</v>
      </c>
      <c r="G408">
        <v>1459.6192627</v>
      </c>
      <c r="H408">
        <v>1427.940918</v>
      </c>
      <c r="I408">
        <v>1117.0213623</v>
      </c>
      <c r="J408">
        <v>1018.4286499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94.403068000000005</v>
      </c>
      <c r="B409" s="1">
        <f>DATE(2010,8,3) + TIME(9,40,25)</f>
        <v>40393.403067129628</v>
      </c>
      <c r="C409">
        <v>80</v>
      </c>
      <c r="D409">
        <v>79.961517334000007</v>
      </c>
      <c r="E409">
        <v>50</v>
      </c>
      <c r="F409">
        <v>14.996701241</v>
      </c>
      <c r="G409">
        <v>1459.4775391000001</v>
      </c>
      <c r="H409">
        <v>1427.7996826000001</v>
      </c>
      <c r="I409">
        <v>1117.0390625</v>
      </c>
      <c r="J409">
        <v>1018.4464111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95.221541999999999</v>
      </c>
      <c r="B410" s="1">
        <f>DATE(2010,8,4) + TIME(5,19,1)</f>
        <v>40394.221539351849</v>
      </c>
      <c r="C410">
        <v>80</v>
      </c>
      <c r="D410">
        <v>79.961570739999999</v>
      </c>
      <c r="E410">
        <v>50</v>
      </c>
      <c r="F410">
        <v>14.996726990000001</v>
      </c>
      <c r="G410">
        <v>1459.3353271000001</v>
      </c>
      <c r="H410">
        <v>1427.6579589999999</v>
      </c>
      <c r="I410">
        <v>1117.0571289</v>
      </c>
      <c r="J410">
        <v>1018.4644775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96.045280000000005</v>
      </c>
      <c r="B411" s="1">
        <f>DATE(2010,8,5) + TIME(1,5,12)</f>
        <v>40395.045277777775</v>
      </c>
      <c r="C411">
        <v>80</v>
      </c>
      <c r="D411">
        <v>79.961624146000005</v>
      </c>
      <c r="E411">
        <v>50</v>
      </c>
      <c r="F411">
        <v>14.996751785000001</v>
      </c>
      <c r="G411">
        <v>1459.1931152</v>
      </c>
      <c r="H411">
        <v>1427.5162353999999</v>
      </c>
      <c r="I411">
        <v>1117.0754394999999</v>
      </c>
      <c r="J411">
        <v>1018.4828491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96.875775000000004</v>
      </c>
      <c r="B412" s="1">
        <f>DATE(2010,8,5) + TIME(21,1,6)</f>
        <v>40395.875763888886</v>
      </c>
      <c r="C412">
        <v>80</v>
      </c>
      <c r="D412">
        <v>79.961677550999994</v>
      </c>
      <c r="E412">
        <v>50</v>
      </c>
      <c r="F412">
        <v>14.996776581000001</v>
      </c>
      <c r="G412">
        <v>1459.0511475000001</v>
      </c>
      <c r="H412">
        <v>1427.3748779</v>
      </c>
      <c r="I412">
        <v>1117.0939940999999</v>
      </c>
      <c r="J412">
        <v>1018.5015259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97.714516000000003</v>
      </c>
      <c r="B413" s="1">
        <f>DATE(2010,8,6) + TIME(17,8,54)</f>
        <v>40396.714513888888</v>
      </c>
      <c r="C413">
        <v>80</v>
      </c>
      <c r="D413">
        <v>79.961730957</v>
      </c>
      <c r="E413">
        <v>50</v>
      </c>
      <c r="F413">
        <v>14.99680233</v>
      </c>
      <c r="G413">
        <v>1458.9094238</v>
      </c>
      <c r="H413">
        <v>1427.2335204999999</v>
      </c>
      <c r="I413">
        <v>1117.1129149999999</v>
      </c>
      <c r="J413">
        <v>1018.5205078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98.558769999999996</v>
      </c>
      <c r="B414" s="1">
        <f>DATE(2010,8,7) + TIME(13,24,37)</f>
        <v>40397.558761574073</v>
      </c>
      <c r="C414">
        <v>80</v>
      </c>
      <c r="D414">
        <v>79.961784363000007</v>
      </c>
      <c r="E414">
        <v>50</v>
      </c>
      <c r="F414">
        <v>14.996827125999999</v>
      </c>
      <c r="G414">
        <v>1458.7674560999999</v>
      </c>
      <c r="H414">
        <v>1427.0920410000001</v>
      </c>
      <c r="I414">
        <v>1117.1322021000001</v>
      </c>
      <c r="J414">
        <v>1018.5397948999999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98.98151</v>
      </c>
      <c r="B415" s="1">
        <f>DATE(2010,8,7) + TIME(23,33,22)</f>
        <v>40397.981504629628</v>
      </c>
      <c r="C415">
        <v>80</v>
      </c>
      <c r="D415">
        <v>79.961799622000001</v>
      </c>
      <c r="E415">
        <v>50</v>
      </c>
      <c r="F415">
        <v>14.996847152999999</v>
      </c>
      <c r="G415">
        <v>1458.6268310999999</v>
      </c>
      <c r="H415">
        <v>1426.9519043</v>
      </c>
      <c r="I415">
        <v>1117.1512451000001</v>
      </c>
      <c r="J415">
        <v>1018.5588379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99.404251000000002</v>
      </c>
      <c r="B416" s="1">
        <f>DATE(2010,8,8) + TIME(9,42,7)</f>
        <v>40398.404247685183</v>
      </c>
      <c r="C416">
        <v>80</v>
      </c>
      <c r="D416">
        <v>79.961830139</v>
      </c>
      <c r="E416">
        <v>50</v>
      </c>
      <c r="F416">
        <v>14.996863364999999</v>
      </c>
      <c r="G416">
        <v>1458.5537108999999</v>
      </c>
      <c r="H416">
        <v>1426.8790283000001</v>
      </c>
      <c r="I416">
        <v>1117.1613769999999</v>
      </c>
      <c r="J416">
        <v>1018.5690308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99.826991000000007</v>
      </c>
      <c r="B417" s="1">
        <f>DATE(2010,8,8) + TIME(19,50,52)</f>
        <v>40398.826990740738</v>
      </c>
      <c r="C417">
        <v>80</v>
      </c>
      <c r="D417">
        <v>79.961860657000003</v>
      </c>
      <c r="E417">
        <v>50</v>
      </c>
      <c r="F417">
        <v>14.99687767</v>
      </c>
      <c r="G417">
        <v>1458.4832764</v>
      </c>
      <c r="H417">
        <v>1426.8088379000001</v>
      </c>
      <c r="I417">
        <v>1117.1712646000001</v>
      </c>
      <c r="J417">
        <v>1018.5789185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100.249731</v>
      </c>
      <c r="B418" s="1">
        <f>DATE(2010,8,9) + TIME(5,59,36)</f>
        <v>40399.249722222223</v>
      </c>
      <c r="C418">
        <v>80</v>
      </c>
      <c r="D418">
        <v>79.961883545000006</v>
      </c>
      <c r="E418">
        <v>50</v>
      </c>
      <c r="F418">
        <v>14.996891022</v>
      </c>
      <c r="G418">
        <v>1458.4133300999999</v>
      </c>
      <c r="H418">
        <v>1426.7390137</v>
      </c>
      <c r="I418">
        <v>1117.1811522999999</v>
      </c>
      <c r="J418">
        <v>1018.5889282000001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100.672472</v>
      </c>
      <c r="B419" s="1">
        <f>DATE(2010,8,9) + TIME(16,8,21)</f>
        <v>40399.672465277778</v>
      </c>
      <c r="C419">
        <v>80</v>
      </c>
      <c r="D419">
        <v>79.961914062000005</v>
      </c>
      <c r="E419">
        <v>50</v>
      </c>
      <c r="F419">
        <v>14.996903419000001</v>
      </c>
      <c r="G419">
        <v>1458.3436279</v>
      </c>
      <c r="H419">
        <v>1426.6695557</v>
      </c>
      <c r="I419">
        <v>1117.1911620999999</v>
      </c>
      <c r="J419">
        <v>1018.598938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101.095212</v>
      </c>
      <c r="B420" s="1">
        <f>DATE(2010,8,10) + TIME(2,17,6)</f>
        <v>40400.095208333332</v>
      </c>
      <c r="C420">
        <v>80</v>
      </c>
      <c r="D420">
        <v>79.961936950999998</v>
      </c>
      <c r="E420">
        <v>50</v>
      </c>
      <c r="F420">
        <v>14.996915817</v>
      </c>
      <c r="G420">
        <v>1458.2741699000001</v>
      </c>
      <c r="H420">
        <v>1426.6003418</v>
      </c>
      <c r="I420">
        <v>1117.2011719</v>
      </c>
      <c r="J420">
        <v>1018.6090088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101.51795199999999</v>
      </c>
      <c r="B421" s="1">
        <f>DATE(2010,8,10) + TIME(12,25,51)</f>
        <v>40400.517951388887</v>
      </c>
      <c r="C421">
        <v>80</v>
      </c>
      <c r="D421">
        <v>79.961967467999997</v>
      </c>
      <c r="E421">
        <v>50</v>
      </c>
      <c r="F421">
        <v>14.996928215000001</v>
      </c>
      <c r="G421">
        <v>1458.2050781</v>
      </c>
      <c r="H421">
        <v>1426.5314940999999</v>
      </c>
      <c r="I421">
        <v>1117.2113036999999</v>
      </c>
      <c r="J421">
        <v>1018.6191406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101.940693</v>
      </c>
      <c r="B422" s="1">
        <f>DATE(2010,8,10) + TIME(22,34,35)</f>
        <v>40400.940682870372</v>
      </c>
      <c r="C422">
        <v>80</v>
      </c>
      <c r="D422">
        <v>79.961990356000001</v>
      </c>
      <c r="E422">
        <v>50</v>
      </c>
      <c r="F422">
        <v>14.996940613</v>
      </c>
      <c r="G422">
        <v>1458.1362305</v>
      </c>
      <c r="H422">
        <v>1426.4628906</v>
      </c>
      <c r="I422">
        <v>1117.2214355000001</v>
      </c>
      <c r="J422">
        <v>1018.6292725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102.363433</v>
      </c>
      <c r="B423" s="1">
        <f>DATE(2010,8,11) + TIME(8,43,20)</f>
        <v>40401.363425925927</v>
      </c>
      <c r="C423">
        <v>80</v>
      </c>
      <c r="D423">
        <v>79.962020874000004</v>
      </c>
      <c r="E423">
        <v>50</v>
      </c>
      <c r="F423">
        <v>14.996953011</v>
      </c>
      <c r="G423">
        <v>1458.067749</v>
      </c>
      <c r="H423">
        <v>1426.3945312000001</v>
      </c>
      <c r="I423">
        <v>1117.2315673999999</v>
      </c>
      <c r="J423">
        <v>1018.6394653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102.786174</v>
      </c>
      <c r="B424" s="1">
        <f>DATE(2010,8,11) + TIME(18,52,5)</f>
        <v>40401.786168981482</v>
      </c>
      <c r="C424">
        <v>80</v>
      </c>
      <c r="D424">
        <v>79.962043761999993</v>
      </c>
      <c r="E424">
        <v>50</v>
      </c>
      <c r="F424">
        <v>14.996965407999999</v>
      </c>
      <c r="G424">
        <v>1457.9995117000001</v>
      </c>
      <c r="H424">
        <v>1426.3265381000001</v>
      </c>
      <c r="I424">
        <v>1117.2416992000001</v>
      </c>
      <c r="J424">
        <v>1018.6497192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103.20891399999999</v>
      </c>
      <c r="B425" s="1">
        <f>DATE(2010,8,12) + TIME(5,0,50)</f>
        <v>40402.208912037036</v>
      </c>
      <c r="C425">
        <v>80</v>
      </c>
      <c r="D425">
        <v>79.962074279999996</v>
      </c>
      <c r="E425">
        <v>50</v>
      </c>
      <c r="F425">
        <v>14.996976852</v>
      </c>
      <c r="G425">
        <v>1457.9315185999999</v>
      </c>
      <c r="H425">
        <v>1426.2587891000001</v>
      </c>
      <c r="I425">
        <v>1117.2519531</v>
      </c>
      <c r="J425">
        <v>1018.6599731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103.631654</v>
      </c>
      <c r="B426" s="1">
        <f>DATE(2010,8,12) + TIME(15,9,34)</f>
        <v>40402.631643518522</v>
      </c>
      <c r="C426">
        <v>80</v>
      </c>
      <c r="D426">
        <v>79.962097168</v>
      </c>
      <c r="E426">
        <v>50</v>
      </c>
      <c r="F426">
        <v>14.99698925</v>
      </c>
      <c r="G426">
        <v>1457.8637695</v>
      </c>
      <c r="H426">
        <v>1426.1912841999999</v>
      </c>
      <c r="I426">
        <v>1117.2623291</v>
      </c>
      <c r="J426">
        <v>1018.6702881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104.054395</v>
      </c>
      <c r="B427" s="1">
        <f>DATE(2010,8,13) + TIME(1,18,19)</f>
        <v>40403.054386574076</v>
      </c>
      <c r="C427">
        <v>80</v>
      </c>
      <c r="D427">
        <v>79.962127686000002</v>
      </c>
      <c r="E427">
        <v>50</v>
      </c>
      <c r="F427">
        <v>14.997001647999999</v>
      </c>
      <c r="G427">
        <v>1457.7963867000001</v>
      </c>
      <c r="H427">
        <v>1426.1241454999999</v>
      </c>
      <c r="I427">
        <v>1117.2725829999999</v>
      </c>
      <c r="J427">
        <v>1018.6806640999999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104.477135</v>
      </c>
      <c r="B428" s="1">
        <f>DATE(2010,8,13) + TIME(11,27,4)</f>
        <v>40403.477129629631</v>
      </c>
      <c r="C428">
        <v>80</v>
      </c>
      <c r="D428">
        <v>79.962150574000006</v>
      </c>
      <c r="E428">
        <v>50</v>
      </c>
      <c r="F428">
        <v>14.997013092</v>
      </c>
      <c r="G428">
        <v>1457.7292480000001</v>
      </c>
      <c r="H428">
        <v>1426.0571289</v>
      </c>
      <c r="I428">
        <v>1117.2829589999999</v>
      </c>
      <c r="J428">
        <v>1018.6911011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105.322616</v>
      </c>
      <c r="B429" s="1">
        <f>DATE(2010,8,14) + TIME(7,44,34)</f>
        <v>40404.322615740741</v>
      </c>
      <c r="C429">
        <v>80</v>
      </c>
      <c r="D429">
        <v>79.962203978999995</v>
      </c>
      <c r="E429">
        <v>50</v>
      </c>
      <c r="F429">
        <v>14.997028351000001</v>
      </c>
      <c r="G429">
        <v>1457.6624756000001</v>
      </c>
      <c r="H429">
        <v>1425.9906006000001</v>
      </c>
      <c r="I429">
        <v>1117.2938231999999</v>
      </c>
      <c r="J429">
        <v>1018.7019043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106.171237</v>
      </c>
      <c r="B430" s="1">
        <f>DATE(2010,8,15) + TIME(4,6,34)</f>
        <v>40405.171226851853</v>
      </c>
      <c r="C430">
        <v>80</v>
      </c>
      <c r="D430">
        <v>79.962257385000001</v>
      </c>
      <c r="E430">
        <v>50</v>
      </c>
      <c r="F430">
        <v>14.997049332</v>
      </c>
      <c r="G430">
        <v>1457.5310059000001</v>
      </c>
      <c r="H430">
        <v>1425.8594971</v>
      </c>
      <c r="I430">
        <v>1117.3145752</v>
      </c>
      <c r="J430">
        <v>1018.7227173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107.03154000000001</v>
      </c>
      <c r="B431" s="1">
        <f>DATE(2010,8,16) + TIME(0,45,25)</f>
        <v>40406.031539351854</v>
      </c>
      <c r="C431">
        <v>80</v>
      </c>
      <c r="D431">
        <v>79.962310790999993</v>
      </c>
      <c r="E431">
        <v>50</v>
      </c>
      <c r="F431">
        <v>14.99707222</v>
      </c>
      <c r="G431">
        <v>1457.3989257999999</v>
      </c>
      <c r="H431">
        <v>1425.7279053</v>
      </c>
      <c r="I431">
        <v>1117.3356934000001</v>
      </c>
      <c r="J431">
        <v>1018.7438965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107.905038</v>
      </c>
      <c r="B432" s="1">
        <f>DATE(2010,8,16) + TIME(21,43,15)</f>
        <v>40406.905034722222</v>
      </c>
      <c r="C432">
        <v>80</v>
      </c>
      <c r="D432">
        <v>79.962364196999999</v>
      </c>
      <c r="E432">
        <v>50</v>
      </c>
      <c r="F432">
        <v>14.997096062000001</v>
      </c>
      <c r="G432">
        <v>1457.2661132999999</v>
      </c>
      <c r="H432">
        <v>1425.5954589999999</v>
      </c>
      <c r="I432">
        <v>1117.3572998</v>
      </c>
      <c r="J432">
        <v>1018.765564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108.79270699999999</v>
      </c>
      <c r="B433" s="1">
        <f>DATE(2010,8,17) + TIME(19,1,29)</f>
        <v>40407.792696759258</v>
      </c>
      <c r="C433">
        <v>80</v>
      </c>
      <c r="D433">
        <v>79.962417603000006</v>
      </c>
      <c r="E433">
        <v>50</v>
      </c>
      <c r="F433">
        <v>14.997119904</v>
      </c>
      <c r="G433">
        <v>1457.1323242000001</v>
      </c>
      <c r="H433">
        <v>1425.4620361</v>
      </c>
      <c r="I433">
        <v>1117.3793945</v>
      </c>
      <c r="J433">
        <v>1018.7877197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109.237285</v>
      </c>
      <c r="B434" s="1">
        <f>DATE(2010,8,18) + TIME(5,41,41)</f>
        <v>40408.237280092595</v>
      </c>
      <c r="C434">
        <v>80</v>
      </c>
      <c r="D434">
        <v>79.962440490999995</v>
      </c>
      <c r="E434">
        <v>50</v>
      </c>
      <c r="F434">
        <v>14.997138977000001</v>
      </c>
      <c r="G434">
        <v>1456.9986572</v>
      </c>
      <c r="H434">
        <v>1425.3287353999999</v>
      </c>
      <c r="I434">
        <v>1117.4016113</v>
      </c>
      <c r="J434">
        <v>1018.8099365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109.68186300000001</v>
      </c>
      <c r="B435" s="1">
        <f>DATE(2010,8,18) + TIME(16,21,53)</f>
        <v>40408.681863425925</v>
      </c>
      <c r="C435">
        <v>80</v>
      </c>
      <c r="D435">
        <v>79.962471007999994</v>
      </c>
      <c r="E435">
        <v>50</v>
      </c>
      <c r="F435">
        <v>14.997154236</v>
      </c>
      <c r="G435">
        <v>1456.9291992000001</v>
      </c>
      <c r="H435">
        <v>1425.2593993999999</v>
      </c>
      <c r="I435">
        <v>1117.4133300999999</v>
      </c>
      <c r="J435">
        <v>1018.8217773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110.126442</v>
      </c>
      <c r="B436" s="1">
        <f>DATE(2010,8,19) + TIME(3,2,4)</f>
        <v>40409.126435185186</v>
      </c>
      <c r="C436">
        <v>80</v>
      </c>
      <c r="D436">
        <v>79.962501525999997</v>
      </c>
      <c r="E436">
        <v>50</v>
      </c>
      <c r="F436">
        <v>14.997168541000001</v>
      </c>
      <c r="G436">
        <v>1456.8620605000001</v>
      </c>
      <c r="H436">
        <v>1425.1925048999999</v>
      </c>
      <c r="I436">
        <v>1117.4248047000001</v>
      </c>
      <c r="J436">
        <v>1018.833313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110.57102</v>
      </c>
      <c r="B437" s="1">
        <f>DATE(2010,8,19) + TIME(13,42,16)</f>
        <v>40409.571018518516</v>
      </c>
      <c r="C437">
        <v>80</v>
      </c>
      <c r="D437">
        <v>79.962524414000001</v>
      </c>
      <c r="E437">
        <v>50</v>
      </c>
      <c r="F437">
        <v>14.997180939</v>
      </c>
      <c r="G437">
        <v>1456.7954102000001</v>
      </c>
      <c r="H437">
        <v>1425.1259766000001</v>
      </c>
      <c r="I437">
        <v>1117.4364014</v>
      </c>
      <c r="J437">
        <v>1018.8449707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111.01559899999999</v>
      </c>
      <c r="B438" s="1">
        <f>DATE(2010,8,20) + TIME(0,22,27)</f>
        <v>40410.015590277777</v>
      </c>
      <c r="C438">
        <v>80</v>
      </c>
      <c r="D438">
        <v>79.962554932000003</v>
      </c>
      <c r="E438">
        <v>50</v>
      </c>
      <c r="F438">
        <v>14.997193336</v>
      </c>
      <c r="G438">
        <v>1456.7290039</v>
      </c>
      <c r="H438">
        <v>1425.0598144999999</v>
      </c>
      <c r="I438">
        <v>1117.4481201000001</v>
      </c>
      <c r="J438">
        <v>1018.8566284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111.460177</v>
      </c>
      <c r="B439" s="1">
        <f>DATE(2010,8,20) + TIME(11,2,39)</f>
        <v>40410.460173611114</v>
      </c>
      <c r="C439">
        <v>80</v>
      </c>
      <c r="D439">
        <v>79.962577820000007</v>
      </c>
      <c r="E439">
        <v>50</v>
      </c>
      <c r="F439">
        <v>14.997204781000001</v>
      </c>
      <c r="G439">
        <v>1456.6628418</v>
      </c>
      <c r="H439">
        <v>1424.9937743999999</v>
      </c>
      <c r="I439">
        <v>1117.4597168</v>
      </c>
      <c r="J439">
        <v>1018.8683472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111.90475600000001</v>
      </c>
      <c r="B440" s="1">
        <f>DATE(2010,8,20) + TIME(21,42,50)</f>
        <v>40410.904745370368</v>
      </c>
      <c r="C440">
        <v>80</v>
      </c>
      <c r="D440">
        <v>79.962608337000006</v>
      </c>
      <c r="E440">
        <v>50</v>
      </c>
      <c r="F440">
        <v>14.997217178</v>
      </c>
      <c r="G440">
        <v>1456.5969238</v>
      </c>
      <c r="H440">
        <v>1424.9281006000001</v>
      </c>
      <c r="I440">
        <v>1117.4715576000001</v>
      </c>
      <c r="J440">
        <v>1018.880127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112.349334</v>
      </c>
      <c r="B441" s="1">
        <f>DATE(2010,8,21) + TIME(8,23,2)</f>
        <v>40411.349328703705</v>
      </c>
      <c r="C441">
        <v>80</v>
      </c>
      <c r="D441">
        <v>79.962631225999999</v>
      </c>
      <c r="E441">
        <v>50</v>
      </c>
      <c r="F441">
        <v>14.997228622</v>
      </c>
      <c r="G441">
        <v>1456.5313721</v>
      </c>
      <c r="H441">
        <v>1424.8626709</v>
      </c>
      <c r="I441">
        <v>1117.4832764</v>
      </c>
      <c r="J441">
        <v>1018.8919678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112.793913</v>
      </c>
      <c r="B442" s="1">
        <f>DATE(2010,8,21) + TIME(19,3,14)</f>
        <v>40411.793912037036</v>
      </c>
      <c r="C442">
        <v>80</v>
      </c>
      <c r="D442">
        <v>79.962661742999998</v>
      </c>
      <c r="E442">
        <v>50</v>
      </c>
      <c r="F442">
        <v>14.997241020000001</v>
      </c>
      <c r="G442">
        <v>1456.4660644999999</v>
      </c>
      <c r="H442">
        <v>1424.7974853999999</v>
      </c>
      <c r="I442">
        <v>1117.4952393000001</v>
      </c>
      <c r="J442">
        <v>1018.9038696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113.238491</v>
      </c>
      <c r="B443" s="1">
        <f>DATE(2010,8,22) + TIME(5,43,25)</f>
        <v>40412.238483796296</v>
      </c>
      <c r="C443">
        <v>80</v>
      </c>
      <c r="D443">
        <v>79.962684631000002</v>
      </c>
      <c r="E443">
        <v>50</v>
      </c>
      <c r="F443">
        <v>14.997252464000001</v>
      </c>
      <c r="G443">
        <v>1456.401001</v>
      </c>
      <c r="H443">
        <v>1424.7326660000001</v>
      </c>
      <c r="I443">
        <v>1117.5070800999999</v>
      </c>
      <c r="J443">
        <v>1018.9157715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113.68307</v>
      </c>
      <c r="B444" s="1">
        <f>DATE(2010,8,22) + TIME(16,23,37)</f>
        <v>40412.683067129627</v>
      </c>
      <c r="C444">
        <v>80</v>
      </c>
      <c r="D444">
        <v>79.962715149000005</v>
      </c>
      <c r="E444">
        <v>50</v>
      </c>
      <c r="F444">
        <v>14.997264862</v>
      </c>
      <c r="G444">
        <v>1456.3361815999999</v>
      </c>
      <c r="H444">
        <v>1424.6679687999999</v>
      </c>
      <c r="I444">
        <v>1117.519043</v>
      </c>
      <c r="J444">
        <v>1018.9277954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114.572226</v>
      </c>
      <c r="B445" s="1">
        <f>DATE(2010,8,23) + TIME(13,44,0)</f>
        <v>40413.572222222225</v>
      </c>
      <c r="C445">
        <v>80</v>
      </c>
      <c r="D445">
        <v>79.962768554999997</v>
      </c>
      <c r="E445">
        <v>50</v>
      </c>
      <c r="F445">
        <v>14.997279167</v>
      </c>
      <c r="G445">
        <v>1456.2716064000001</v>
      </c>
      <c r="H445">
        <v>1424.6036377</v>
      </c>
      <c r="I445">
        <v>1117.5314940999999</v>
      </c>
      <c r="J445">
        <v>1018.9402466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115.461652</v>
      </c>
      <c r="B446" s="1">
        <f>DATE(2010,8,24) + TIME(11,4,46)</f>
        <v>40414.461643518516</v>
      </c>
      <c r="C446">
        <v>80</v>
      </c>
      <c r="D446">
        <v>79.962821959999999</v>
      </c>
      <c r="E446">
        <v>50</v>
      </c>
      <c r="F446">
        <v>14.997299194</v>
      </c>
      <c r="G446">
        <v>1456.1446533000001</v>
      </c>
      <c r="H446">
        <v>1424.4769286999999</v>
      </c>
      <c r="I446">
        <v>1117.5554199000001</v>
      </c>
      <c r="J446">
        <v>1018.9642334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116.363624</v>
      </c>
      <c r="B447" s="1">
        <f>DATE(2010,8,25) + TIME(8,43,37)</f>
        <v>40415.363622685189</v>
      </c>
      <c r="C447">
        <v>80</v>
      </c>
      <c r="D447">
        <v>79.962875366000006</v>
      </c>
      <c r="E447">
        <v>50</v>
      </c>
      <c r="F447">
        <v>14.997322083</v>
      </c>
      <c r="G447">
        <v>1456.0174560999999</v>
      </c>
      <c r="H447">
        <v>1424.3500977000001</v>
      </c>
      <c r="I447">
        <v>1117.5797118999999</v>
      </c>
      <c r="J447">
        <v>1018.9886475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117.279844</v>
      </c>
      <c r="B448" s="1">
        <f>DATE(2010,8,26) + TIME(6,42,58)</f>
        <v>40416.27983796296</v>
      </c>
      <c r="C448">
        <v>80</v>
      </c>
      <c r="D448">
        <v>79.962928771999998</v>
      </c>
      <c r="E448">
        <v>50</v>
      </c>
      <c r="F448">
        <v>14.997344971</v>
      </c>
      <c r="G448">
        <v>1455.8894043</v>
      </c>
      <c r="H448">
        <v>1424.2224120999999</v>
      </c>
      <c r="I448">
        <v>1117.6046143000001</v>
      </c>
      <c r="J448">
        <v>1019.0136108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117.740692</v>
      </c>
      <c r="B449" s="1">
        <f>DATE(2010,8,26) + TIME(17,46,35)</f>
        <v>40416.740682870368</v>
      </c>
      <c r="C449">
        <v>80</v>
      </c>
      <c r="D449">
        <v>79.962951660000002</v>
      </c>
      <c r="E449">
        <v>50</v>
      </c>
      <c r="F449">
        <v>14.997364043999999</v>
      </c>
      <c r="G449">
        <v>1455.7615966999999</v>
      </c>
      <c r="H449">
        <v>1424.0948486</v>
      </c>
      <c r="I449">
        <v>1117.6296387</v>
      </c>
      <c r="J449">
        <v>1019.0386353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118.201539</v>
      </c>
      <c r="B450" s="1">
        <f>DATE(2010,8,27) + TIME(4,50,12)</f>
        <v>40417.201527777775</v>
      </c>
      <c r="C450">
        <v>80</v>
      </c>
      <c r="D450">
        <v>79.962982178000004</v>
      </c>
      <c r="E450">
        <v>50</v>
      </c>
      <c r="F450">
        <v>14.997379303000001</v>
      </c>
      <c r="G450">
        <v>1455.6947021000001</v>
      </c>
      <c r="H450">
        <v>1424.0281981999999</v>
      </c>
      <c r="I450">
        <v>1117.6429443</v>
      </c>
      <c r="J450">
        <v>1019.052002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118.662386</v>
      </c>
      <c r="B451" s="1">
        <f>DATE(2010,8,27) + TIME(15,53,50)</f>
        <v>40417.66238425926</v>
      </c>
      <c r="C451">
        <v>80</v>
      </c>
      <c r="D451">
        <v>79.963012695000003</v>
      </c>
      <c r="E451">
        <v>50</v>
      </c>
      <c r="F451">
        <v>14.997391701</v>
      </c>
      <c r="G451">
        <v>1455.630249</v>
      </c>
      <c r="H451">
        <v>1423.9638672000001</v>
      </c>
      <c r="I451">
        <v>1117.6560059000001</v>
      </c>
      <c r="J451">
        <v>1019.0650635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119.123234</v>
      </c>
      <c r="B452" s="1">
        <f>DATE(2010,8,28) + TIME(2,57,27)</f>
        <v>40418.123229166667</v>
      </c>
      <c r="C452">
        <v>80</v>
      </c>
      <c r="D452">
        <v>79.963043213000006</v>
      </c>
      <c r="E452">
        <v>50</v>
      </c>
      <c r="F452">
        <v>14.997404099000001</v>
      </c>
      <c r="G452">
        <v>1455.5661620999999</v>
      </c>
      <c r="H452">
        <v>1423.8999022999999</v>
      </c>
      <c r="I452">
        <v>1117.6691894999999</v>
      </c>
      <c r="J452">
        <v>1019.078186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119.584081</v>
      </c>
      <c r="B453" s="1">
        <f>DATE(2010,8,28) + TIME(14,1,4)</f>
        <v>40418.584074074075</v>
      </c>
      <c r="C453">
        <v>80</v>
      </c>
      <c r="D453">
        <v>79.963066100999995</v>
      </c>
      <c r="E453">
        <v>50</v>
      </c>
      <c r="F453">
        <v>14.997416496</v>
      </c>
      <c r="G453">
        <v>1455.5023193</v>
      </c>
      <c r="H453">
        <v>1423.8363036999999</v>
      </c>
      <c r="I453">
        <v>1117.6823730000001</v>
      </c>
      <c r="J453">
        <v>1019.0914307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120.044929</v>
      </c>
      <c r="B454" s="1">
        <f>DATE(2010,8,29) + TIME(1,4,41)</f>
        <v>40419.044918981483</v>
      </c>
      <c r="C454">
        <v>80</v>
      </c>
      <c r="D454">
        <v>79.963096618999998</v>
      </c>
      <c r="E454">
        <v>50</v>
      </c>
      <c r="F454">
        <v>14.99742794</v>
      </c>
      <c r="G454">
        <v>1455.4387207</v>
      </c>
      <c r="H454">
        <v>1423.7728271000001</v>
      </c>
      <c r="I454">
        <v>1117.6955565999999</v>
      </c>
      <c r="J454">
        <v>1019.1047363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120.505776</v>
      </c>
      <c r="B455" s="1">
        <f>DATE(2010,8,29) + TIME(12,8,19)</f>
        <v>40419.50577546296</v>
      </c>
      <c r="C455">
        <v>80</v>
      </c>
      <c r="D455">
        <v>79.963119507000002</v>
      </c>
      <c r="E455">
        <v>50</v>
      </c>
      <c r="F455">
        <v>14.997439384</v>
      </c>
      <c r="G455">
        <v>1455.3753661999999</v>
      </c>
      <c r="H455">
        <v>1423.7095947</v>
      </c>
      <c r="I455">
        <v>1117.7088623</v>
      </c>
      <c r="J455">
        <v>1019.1180419999999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120.966624</v>
      </c>
      <c r="B456" s="1">
        <f>DATE(2010,8,29) + TIME(23,11,56)</f>
        <v>40419.966620370367</v>
      </c>
      <c r="C456">
        <v>80</v>
      </c>
      <c r="D456">
        <v>79.963150024000001</v>
      </c>
      <c r="E456">
        <v>50</v>
      </c>
      <c r="F456">
        <v>14.997451782000001</v>
      </c>
      <c r="G456">
        <v>1455.3122559000001</v>
      </c>
      <c r="H456">
        <v>1423.6466064000001</v>
      </c>
      <c r="I456">
        <v>1117.7222899999999</v>
      </c>
      <c r="J456">
        <v>1019.1314697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121.427471</v>
      </c>
      <c r="B457" s="1">
        <f>DATE(2010,8,30) + TIME(10,15,33)</f>
        <v>40420.427465277775</v>
      </c>
      <c r="C457">
        <v>80</v>
      </c>
      <c r="D457">
        <v>79.963172912999994</v>
      </c>
      <c r="E457">
        <v>50</v>
      </c>
      <c r="F457">
        <v>14.997463226000001</v>
      </c>
      <c r="G457">
        <v>1455.2493896000001</v>
      </c>
      <c r="H457">
        <v>1423.5839844</v>
      </c>
      <c r="I457">
        <v>1117.7357178</v>
      </c>
      <c r="J457">
        <v>1019.1449585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121.88809999999999</v>
      </c>
      <c r="B458" s="1">
        <f>DATE(2010,8,30) + TIME(21,18,51)</f>
        <v>40420.888090277775</v>
      </c>
      <c r="C458">
        <v>80</v>
      </c>
      <c r="D458">
        <v>79.963203429999993</v>
      </c>
      <c r="E458">
        <v>50</v>
      </c>
      <c r="F458">
        <v>14.997474670000001</v>
      </c>
      <c r="G458">
        <v>1455.1867675999999</v>
      </c>
      <c r="H458">
        <v>1423.5214844</v>
      </c>
      <c r="I458">
        <v>1117.7492675999999</v>
      </c>
      <c r="J458">
        <v>1019.1585083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122.3484</v>
      </c>
      <c r="B459" s="1">
        <f>DATE(2010,8,31) + TIME(8,21,41)</f>
        <v>40421.348391203705</v>
      </c>
      <c r="C459">
        <v>80</v>
      </c>
      <c r="D459">
        <v>79.963233947999996</v>
      </c>
      <c r="E459">
        <v>50</v>
      </c>
      <c r="F459">
        <v>14.997486114999999</v>
      </c>
      <c r="G459">
        <v>1455.1243896000001</v>
      </c>
      <c r="H459">
        <v>1423.4592285000001</v>
      </c>
      <c r="I459">
        <v>1117.7628173999999</v>
      </c>
      <c r="J459">
        <v>1019.1721191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123</v>
      </c>
      <c r="B460" s="1">
        <f>DATE(2010,9,1) + TIME(0,0,0)</f>
        <v>40422</v>
      </c>
      <c r="C460">
        <v>80</v>
      </c>
      <c r="D460">
        <v>79.963272094999994</v>
      </c>
      <c r="E460">
        <v>50</v>
      </c>
      <c r="F460">
        <v>14.997498512</v>
      </c>
      <c r="G460">
        <v>1455.0621338000001</v>
      </c>
      <c r="H460">
        <v>1423.3972168</v>
      </c>
      <c r="I460">
        <v>1117.7766113</v>
      </c>
      <c r="J460">
        <v>1019.1859131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123.92017</v>
      </c>
      <c r="B461" s="1">
        <f>DATE(2010,9,1) + TIME(22,5,2)</f>
        <v>40422.920162037037</v>
      </c>
      <c r="C461">
        <v>80</v>
      </c>
      <c r="D461">
        <v>79.963325499999996</v>
      </c>
      <c r="E461">
        <v>50</v>
      </c>
      <c r="F461">
        <v>14.997514725</v>
      </c>
      <c r="G461">
        <v>1454.9753418</v>
      </c>
      <c r="H461">
        <v>1423.3105469</v>
      </c>
      <c r="I461">
        <v>1117.7961425999999</v>
      </c>
      <c r="J461">
        <v>1019.2055054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124.846287</v>
      </c>
      <c r="B462" s="1">
        <f>DATE(2010,9,2) + TIME(20,18,39)</f>
        <v>40423.846284722225</v>
      </c>
      <c r="C462">
        <v>80</v>
      </c>
      <c r="D462">
        <v>79.963378906000003</v>
      </c>
      <c r="E462">
        <v>50</v>
      </c>
      <c r="F462">
        <v>14.997535706000001</v>
      </c>
      <c r="G462">
        <v>1454.8535156</v>
      </c>
      <c r="H462">
        <v>1423.1889647999999</v>
      </c>
      <c r="I462">
        <v>1117.8236084</v>
      </c>
      <c r="J462">
        <v>1019.2330322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125.78693699999999</v>
      </c>
      <c r="B463" s="1">
        <f>DATE(2010,9,3) + TIME(18,53,11)</f>
        <v>40424.786932870367</v>
      </c>
      <c r="C463">
        <v>80</v>
      </c>
      <c r="D463">
        <v>79.963432311999995</v>
      </c>
      <c r="E463">
        <v>50</v>
      </c>
      <c r="F463">
        <v>14.99755764</v>
      </c>
      <c r="G463">
        <v>1454.7310791</v>
      </c>
      <c r="H463">
        <v>1423.0667725000001</v>
      </c>
      <c r="I463">
        <v>1117.8516846</v>
      </c>
      <c r="J463">
        <v>1019.2610474000001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126.26056</v>
      </c>
      <c r="B464" s="1">
        <f>DATE(2010,9,4) + TIME(6,15,12)</f>
        <v>40425.260555555556</v>
      </c>
      <c r="C464">
        <v>80</v>
      </c>
      <c r="D464">
        <v>79.963455199999999</v>
      </c>
      <c r="E464">
        <v>50</v>
      </c>
      <c r="F464">
        <v>14.997576713999999</v>
      </c>
      <c r="G464">
        <v>1454.6087646000001</v>
      </c>
      <c r="H464">
        <v>1422.9448242000001</v>
      </c>
      <c r="I464">
        <v>1117.8797606999999</v>
      </c>
      <c r="J464">
        <v>1019.2892456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126.731061</v>
      </c>
      <c r="B465" s="1">
        <f>DATE(2010,9,4) + TIME(17,32,43)</f>
        <v>40425.731053240743</v>
      </c>
      <c r="C465">
        <v>80</v>
      </c>
      <c r="D465">
        <v>79.963485718000001</v>
      </c>
      <c r="E465">
        <v>50</v>
      </c>
      <c r="F465">
        <v>14.997591019</v>
      </c>
      <c r="G465">
        <v>1454.5446777</v>
      </c>
      <c r="H465">
        <v>1422.8808594</v>
      </c>
      <c r="I465">
        <v>1117.8947754000001</v>
      </c>
      <c r="J465">
        <v>1019.3043213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127.201447</v>
      </c>
      <c r="B466" s="1">
        <f>DATE(2010,9,5) + TIME(4,50,4)</f>
        <v>40426.201435185183</v>
      </c>
      <c r="C466">
        <v>80</v>
      </c>
      <c r="D466">
        <v>79.963508606000005</v>
      </c>
      <c r="E466">
        <v>50</v>
      </c>
      <c r="F466">
        <v>14.997603416</v>
      </c>
      <c r="G466">
        <v>1454.4833983999999</v>
      </c>
      <c r="H466">
        <v>1422.8197021000001</v>
      </c>
      <c r="I466">
        <v>1117.9094238</v>
      </c>
      <c r="J466">
        <v>1019.3189697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127.671474</v>
      </c>
      <c r="B467" s="1">
        <f>DATE(2010,9,5) + TIME(16,6,55)</f>
        <v>40426.671469907407</v>
      </c>
      <c r="C467">
        <v>80</v>
      </c>
      <c r="D467">
        <v>79.963539123999993</v>
      </c>
      <c r="E467">
        <v>50</v>
      </c>
      <c r="F467">
        <v>14.997615814</v>
      </c>
      <c r="G467">
        <v>1454.4223632999999</v>
      </c>
      <c r="H467">
        <v>1422.7587891000001</v>
      </c>
      <c r="I467">
        <v>1117.9240723</v>
      </c>
      <c r="J467">
        <v>1019.3336792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128.14113499999999</v>
      </c>
      <c r="B468" s="1">
        <f>DATE(2010,9,6) + TIME(3,23,14)</f>
        <v>40427.141134259262</v>
      </c>
      <c r="C468">
        <v>80</v>
      </c>
      <c r="D468">
        <v>79.963569641000007</v>
      </c>
      <c r="E468">
        <v>50</v>
      </c>
      <c r="F468">
        <v>14.997627258</v>
      </c>
      <c r="G468">
        <v>1454.3615723</v>
      </c>
      <c r="H468">
        <v>1422.6981201000001</v>
      </c>
      <c r="I468">
        <v>1117.9388428</v>
      </c>
      <c r="J468">
        <v>1019.3484496999999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128.61042800000001</v>
      </c>
      <c r="B469" s="1">
        <f>DATE(2010,9,6) + TIME(14,39,0)</f>
        <v>40427.61041666667</v>
      </c>
      <c r="C469">
        <v>80</v>
      </c>
      <c r="D469">
        <v>79.963592528999996</v>
      </c>
      <c r="E469">
        <v>50</v>
      </c>
      <c r="F469">
        <v>14.997638702</v>
      </c>
      <c r="G469">
        <v>1454.3011475000001</v>
      </c>
      <c r="H469">
        <v>1422.6378173999999</v>
      </c>
      <c r="I469">
        <v>1117.9537353999999</v>
      </c>
      <c r="J469">
        <v>1019.3633423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129.07937200000001</v>
      </c>
      <c r="B470" s="1">
        <f>DATE(2010,9,7) + TIME(1,54,17)</f>
        <v>40428.079363425924</v>
      </c>
      <c r="C470">
        <v>80</v>
      </c>
      <c r="D470">
        <v>79.963623046999999</v>
      </c>
      <c r="E470">
        <v>50</v>
      </c>
      <c r="F470">
        <v>14.997650146</v>
      </c>
      <c r="G470">
        <v>1454.2409668</v>
      </c>
      <c r="H470">
        <v>1422.5777588000001</v>
      </c>
      <c r="I470">
        <v>1117.9686279</v>
      </c>
      <c r="J470">
        <v>1019.3782349000001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129.54800499999999</v>
      </c>
      <c r="B471" s="1">
        <f>DATE(2010,9,7) + TIME(13,9,7)</f>
        <v>40428.547997685186</v>
      </c>
      <c r="C471">
        <v>80</v>
      </c>
      <c r="D471">
        <v>79.963645935000002</v>
      </c>
      <c r="E471">
        <v>50</v>
      </c>
      <c r="F471">
        <v>14.997661591</v>
      </c>
      <c r="G471">
        <v>1454.1809082</v>
      </c>
      <c r="H471">
        <v>1422.5179443</v>
      </c>
      <c r="I471">
        <v>1117.9836425999999</v>
      </c>
      <c r="J471">
        <v>1019.3932495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130.01638199999999</v>
      </c>
      <c r="B472" s="1">
        <f>DATE(2010,9,8) + TIME(0,23,35)</f>
        <v>40429.016377314816</v>
      </c>
      <c r="C472">
        <v>80</v>
      </c>
      <c r="D472">
        <v>79.963676453000005</v>
      </c>
      <c r="E472">
        <v>50</v>
      </c>
      <c r="F472">
        <v>14.997673035</v>
      </c>
      <c r="G472">
        <v>1454.1213379000001</v>
      </c>
      <c r="H472">
        <v>1422.458374</v>
      </c>
      <c r="I472">
        <v>1117.9986572</v>
      </c>
      <c r="J472">
        <v>1019.4083252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130.48457099999999</v>
      </c>
      <c r="B473" s="1">
        <f>DATE(2010,9,8) + TIME(11,37,46)</f>
        <v>40429.484560185185</v>
      </c>
      <c r="C473">
        <v>80</v>
      </c>
      <c r="D473">
        <v>79.963699340999995</v>
      </c>
      <c r="E473">
        <v>50</v>
      </c>
      <c r="F473">
        <v>14.997683524999999</v>
      </c>
      <c r="G473">
        <v>1454.0618896000001</v>
      </c>
      <c r="H473">
        <v>1422.3990478999999</v>
      </c>
      <c r="I473">
        <v>1118.0137939000001</v>
      </c>
      <c r="J473">
        <v>1019.4234009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131.42073500000001</v>
      </c>
      <c r="B474" s="1">
        <f>DATE(2010,9,9) + TIME(10,5,51)</f>
        <v>40430.420729166668</v>
      </c>
      <c r="C474">
        <v>80</v>
      </c>
      <c r="D474">
        <v>79.963752747000001</v>
      </c>
      <c r="E474">
        <v>50</v>
      </c>
      <c r="F474">
        <v>14.99769783</v>
      </c>
      <c r="G474">
        <v>1454.0025635</v>
      </c>
      <c r="H474">
        <v>1422.3399658000001</v>
      </c>
      <c r="I474">
        <v>1118.0292969</v>
      </c>
      <c r="J474">
        <v>1019.4390259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132.35750300000001</v>
      </c>
      <c r="B475" s="1">
        <f>DATE(2010,9,10) + TIME(8,34,48)</f>
        <v>40431.357499999998</v>
      </c>
      <c r="C475">
        <v>80</v>
      </c>
      <c r="D475">
        <v>79.963806152000004</v>
      </c>
      <c r="E475">
        <v>50</v>
      </c>
      <c r="F475">
        <v>14.997716904000001</v>
      </c>
      <c r="G475">
        <v>1453.8861084</v>
      </c>
      <c r="H475">
        <v>1422.2237548999999</v>
      </c>
      <c r="I475">
        <v>1118.0595702999999</v>
      </c>
      <c r="J475">
        <v>1019.4693604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133.30687399999999</v>
      </c>
      <c r="B476" s="1">
        <f>DATE(2010,9,11) + TIME(7,21,53)</f>
        <v>40432.306863425925</v>
      </c>
      <c r="C476">
        <v>80</v>
      </c>
      <c r="D476">
        <v>79.963859557999996</v>
      </c>
      <c r="E476">
        <v>50</v>
      </c>
      <c r="F476">
        <v>14.997738838</v>
      </c>
      <c r="G476">
        <v>1453.7694091999999</v>
      </c>
      <c r="H476">
        <v>1422.1071777</v>
      </c>
      <c r="I476">
        <v>1118.0904541</v>
      </c>
      <c r="J476">
        <v>1019.5001831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133.78894199999999</v>
      </c>
      <c r="B477" s="1">
        <f>DATE(2010,9,11) + TIME(18,56,4)</f>
        <v>40432.788935185185</v>
      </c>
      <c r="C477">
        <v>80</v>
      </c>
      <c r="D477">
        <v>79.963882446</v>
      </c>
      <c r="E477">
        <v>50</v>
      </c>
      <c r="F477">
        <v>14.997756958</v>
      </c>
      <c r="G477">
        <v>1453.6529541</v>
      </c>
      <c r="H477">
        <v>1421.9909668</v>
      </c>
      <c r="I477">
        <v>1118.1213379000001</v>
      </c>
      <c r="J477">
        <v>1019.53125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134.268473</v>
      </c>
      <c r="B478" s="1">
        <f>DATE(2010,9,12) + TIME(6,26,36)</f>
        <v>40433.268472222226</v>
      </c>
      <c r="C478">
        <v>80</v>
      </c>
      <c r="D478">
        <v>79.963912964000002</v>
      </c>
      <c r="E478">
        <v>50</v>
      </c>
      <c r="F478">
        <v>14.997771263000001</v>
      </c>
      <c r="G478">
        <v>1453.5914307</v>
      </c>
      <c r="H478">
        <v>1421.9295654</v>
      </c>
      <c r="I478">
        <v>1118.1380615</v>
      </c>
      <c r="J478">
        <v>1019.5479126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134.74783300000001</v>
      </c>
      <c r="B479" s="1">
        <f>DATE(2010,9,12) + TIME(17,56,52)</f>
        <v>40433.747824074075</v>
      </c>
      <c r="C479">
        <v>80</v>
      </c>
      <c r="D479">
        <v>79.963943481000001</v>
      </c>
      <c r="E479">
        <v>50</v>
      </c>
      <c r="F479">
        <v>14.997783661</v>
      </c>
      <c r="G479">
        <v>1453.5323486</v>
      </c>
      <c r="H479">
        <v>1421.8706055</v>
      </c>
      <c r="I479">
        <v>1118.1542969</v>
      </c>
      <c r="J479">
        <v>1019.5641479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135.226776</v>
      </c>
      <c r="B480" s="1">
        <f>DATE(2010,9,13) + TIME(5,26,33)</f>
        <v>40434.226770833331</v>
      </c>
      <c r="C480">
        <v>80</v>
      </c>
      <c r="D480">
        <v>79.963966369999994</v>
      </c>
      <c r="E480">
        <v>50</v>
      </c>
      <c r="F480">
        <v>14.997796059000001</v>
      </c>
      <c r="G480">
        <v>1453.4736327999999</v>
      </c>
      <c r="H480">
        <v>1421.8120117000001</v>
      </c>
      <c r="I480">
        <v>1118.1705322</v>
      </c>
      <c r="J480">
        <v>1019.5805054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135.705264</v>
      </c>
      <c r="B481" s="1">
        <f>DATE(2010,9,13) + TIME(16,55,34)</f>
        <v>40434.705254629633</v>
      </c>
      <c r="C481">
        <v>80</v>
      </c>
      <c r="D481">
        <v>79.963996886999993</v>
      </c>
      <c r="E481">
        <v>50</v>
      </c>
      <c r="F481">
        <v>14.997807503000001</v>
      </c>
      <c r="G481">
        <v>1453.4151611</v>
      </c>
      <c r="H481">
        <v>1421.7537841999999</v>
      </c>
      <c r="I481">
        <v>1118.1870117000001</v>
      </c>
      <c r="J481">
        <v>1019.5969238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136.18327099999999</v>
      </c>
      <c r="B482" s="1">
        <f>DATE(2010,9,14) + TIME(4,23,54)</f>
        <v>40435.183263888888</v>
      </c>
      <c r="C482">
        <v>80</v>
      </c>
      <c r="D482">
        <v>79.964019774999997</v>
      </c>
      <c r="E482">
        <v>50</v>
      </c>
      <c r="F482">
        <v>14.997818947000001</v>
      </c>
      <c r="G482">
        <v>1453.3570557</v>
      </c>
      <c r="H482">
        <v>1421.6956786999999</v>
      </c>
      <c r="I482">
        <v>1118.2034911999999</v>
      </c>
      <c r="J482">
        <v>1019.6134644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136.660798</v>
      </c>
      <c r="B483" s="1">
        <f>DATE(2010,9,14) + TIME(15,51,32)</f>
        <v>40435.660787037035</v>
      </c>
      <c r="C483">
        <v>80</v>
      </c>
      <c r="D483">
        <v>79.964050293</v>
      </c>
      <c r="E483">
        <v>50</v>
      </c>
      <c r="F483">
        <v>14.997830391000001</v>
      </c>
      <c r="G483">
        <v>1453.2990723</v>
      </c>
      <c r="H483">
        <v>1421.6378173999999</v>
      </c>
      <c r="I483">
        <v>1118.2200928</v>
      </c>
      <c r="J483">
        <v>1019.6300049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137.13786200000001</v>
      </c>
      <c r="B484" s="1">
        <f>DATE(2010,9,15) + TIME(3,18,31)</f>
        <v>40436.137858796297</v>
      </c>
      <c r="C484">
        <v>80</v>
      </c>
      <c r="D484">
        <v>79.964073181000003</v>
      </c>
      <c r="E484">
        <v>50</v>
      </c>
      <c r="F484">
        <v>14.997840881</v>
      </c>
      <c r="G484">
        <v>1453.2414550999999</v>
      </c>
      <c r="H484">
        <v>1421.5803223</v>
      </c>
      <c r="I484">
        <v>1118.2366943</v>
      </c>
      <c r="J484">
        <v>1019.6466675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137.61450500000001</v>
      </c>
      <c r="B485" s="1">
        <f>DATE(2010,9,15) + TIME(14,44,53)</f>
        <v>40436.614502314813</v>
      </c>
      <c r="C485">
        <v>80</v>
      </c>
      <c r="D485">
        <v>79.964103699000006</v>
      </c>
      <c r="E485">
        <v>50</v>
      </c>
      <c r="F485">
        <v>14.997852325</v>
      </c>
      <c r="G485">
        <v>1453.184082</v>
      </c>
      <c r="H485">
        <v>1421.5229492000001</v>
      </c>
      <c r="I485">
        <v>1118.253418</v>
      </c>
      <c r="J485">
        <v>1019.6634521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138.09078199999999</v>
      </c>
      <c r="B486" s="1">
        <f>DATE(2010,9,16) + TIME(2,10,43)</f>
        <v>40437.090775462966</v>
      </c>
      <c r="C486">
        <v>80</v>
      </c>
      <c r="D486">
        <v>79.964126586999996</v>
      </c>
      <c r="E486">
        <v>50</v>
      </c>
      <c r="F486">
        <v>14.99786377</v>
      </c>
      <c r="G486">
        <v>1453.1268310999999</v>
      </c>
      <c r="H486">
        <v>1421.4659423999999</v>
      </c>
      <c r="I486">
        <v>1118.2702637</v>
      </c>
      <c r="J486">
        <v>1019.6802368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138.566766</v>
      </c>
      <c r="B487" s="1">
        <f>DATE(2010,9,16) + TIME(13,36,8)</f>
        <v>40437.566759259258</v>
      </c>
      <c r="C487">
        <v>80</v>
      </c>
      <c r="D487">
        <v>79.964157103999995</v>
      </c>
      <c r="E487">
        <v>50</v>
      </c>
      <c r="F487">
        <v>14.997875214</v>
      </c>
      <c r="G487">
        <v>1453.0699463000001</v>
      </c>
      <c r="H487">
        <v>1421.4091797000001</v>
      </c>
      <c r="I487">
        <v>1118.2871094</v>
      </c>
      <c r="J487">
        <v>1019.6971436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139.04254499999999</v>
      </c>
      <c r="B488" s="1">
        <f>DATE(2010,9,17) + TIME(1,1,15)</f>
        <v>40438.042534722219</v>
      </c>
      <c r="C488">
        <v>80</v>
      </c>
      <c r="D488">
        <v>79.964179993000002</v>
      </c>
      <c r="E488">
        <v>50</v>
      </c>
      <c r="F488">
        <v>14.997886658000001</v>
      </c>
      <c r="G488">
        <v>1453.0133057</v>
      </c>
      <c r="H488">
        <v>1421.3525391000001</v>
      </c>
      <c r="I488">
        <v>1118.3040771000001</v>
      </c>
      <c r="J488">
        <v>1019.7141113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139.993898</v>
      </c>
      <c r="B489" s="1">
        <f>DATE(2010,9,17) + TIME(23,51,12)</f>
        <v>40438.993888888886</v>
      </c>
      <c r="C489">
        <v>80</v>
      </c>
      <c r="D489">
        <v>79.964233398000005</v>
      </c>
      <c r="E489">
        <v>50</v>
      </c>
      <c r="F489">
        <v>14.997900009</v>
      </c>
      <c r="G489">
        <v>1452.9566649999999</v>
      </c>
      <c r="H489">
        <v>1421.2960204999999</v>
      </c>
      <c r="I489">
        <v>1118.3215332</v>
      </c>
      <c r="J489">
        <v>1019.7316284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140.94558000000001</v>
      </c>
      <c r="B490" s="1">
        <f>DATE(2010,9,18) + TIME(22,41,38)</f>
        <v>40439.9455787037</v>
      </c>
      <c r="C490">
        <v>80</v>
      </c>
      <c r="D490">
        <v>79.964286803999997</v>
      </c>
      <c r="E490">
        <v>50</v>
      </c>
      <c r="F490">
        <v>14.997920036</v>
      </c>
      <c r="G490">
        <v>1452.8455810999999</v>
      </c>
      <c r="H490">
        <v>1421.1851807</v>
      </c>
      <c r="I490">
        <v>1118.3555908000001</v>
      </c>
      <c r="J490">
        <v>1019.765686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141.91157000000001</v>
      </c>
      <c r="B491" s="1">
        <f>DATE(2010,9,19) + TIME(21,52,39)</f>
        <v>40440.911562499998</v>
      </c>
      <c r="C491">
        <v>80</v>
      </c>
      <c r="D491">
        <v>79.964340210000003</v>
      </c>
      <c r="E491">
        <v>50</v>
      </c>
      <c r="F491">
        <v>14.997941970999999</v>
      </c>
      <c r="G491">
        <v>1452.7340088000001</v>
      </c>
      <c r="H491">
        <v>1421.0738524999999</v>
      </c>
      <c r="I491">
        <v>1118.3902588000001</v>
      </c>
      <c r="J491">
        <v>1019.800354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142.402829</v>
      </c>
      <c r="B492" s="1">
        <f>DATE(2010,9,20) + TIME(9,40,4)</f>
        <v>40441.402824074074</v>
      </c>
      <c r="C492">
        <v>80</v>
      </c>
      <c r="D492">
        <v>79.964363098000007</v>
      </c>
      <c r="E492">
        <v>50</v>
      </c>
      <c r="F492">
        <v>14.997961044</v>
      </c>
      <c r="G492">
        <v>1452.6226807</v>
      </c>
      <c r="H492">
        <v>1420.9627685999999</v>
      </c>
      <c r="I492">
        <v>1118.4251709</v>
      </c>
      <c r="J492">
        <v>1019.8353882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143.35838799999999</v>
      </c>
      <c r="B493" s="1">
        <f>DATE(2010,9,21) + TIME(8,36,4)</f>
        <v>40442.35837962963</v>
      </c>
      <c r="C493">
        <v>80</v>
      </c>
      <c r="D493">
        <v>79.964424132999994</v>
      </c>
      <c r="E493">
        <v>50</v>
      </c>
      <c r="F493">
        <v>14.997979164</v>
      </c>
      <c r="G493">
        <v>1452.5635986</v>
      </c>
      <c r="H493">
        <v>1420.9038086</v>
      </c>
      <c r="I493">
        <v>1118.4443358999999</v>
      </c>
      <c r="J493">
        <v>1019.8546143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143.844998</v>
      </c>
      <c r="B494" s="1">
        <f>DATE(2010,9,21) + TIME(20,16,47)</f>
        <v>40442.844988425924</v>
      </c>
      <c r="C494">
        <v>80</v>
      </c>
      <c r="D494">
        <v>79.964447020999998</v>
      </c>
      <c r="E494">
        <v>50</v>
      </c>
      <c r="F494">
        <v>14.997996329999999</v>
      </c>
      <c r="G494">
        <v>1452.4555664</v>
      </c>
      <c r="H494">
        <v>1420.7958983999999</v>
      </c>
      <c r="I494">
        <v>1118.4793701000001</v>
      </c>
      <c r="J494">
        <v>1019.8896484000001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144.78892300000001</v>
      </c>
      <c r="B495" s="1">
        <f>DATE(2010,9,22) + TIME(18,56,2)</f>
        <v>40443.788912037038</v>
      </c>
      <c r="C495">
        <v>80</v>
      </c>
      <c r="D495">
        <v>79.964500427000004</v>
      </c>
      <c r="E495">
        <v>50</v>
      </c>
      <c r="F495">
        <v>14.998014449999999</v>
      </c>
      <c r="G495">
        <v>1452.3975829999999</v>
      </c>
      <c r="H495">
        <v>1420.7380370999999</v>
      </c>
      <c r="I495">
        <v>1118.4987793</v>
      </c>
      <c r="J495">
        <v>1019.9089966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145.75740500000001</v>
      </c>
      <c r="B496" s="1">
        <f>DATE(2010,9,23) + TIME(18,10,39)</f>
        <v>40444.757395833331</v>
      </c>
      <c r="C496">
        <v>80</v>
      </c>
      <c r="D496">
        <v>79.964553832999997</v>
      </c>
      <c r="E496">
        <v>50</v>
      </c>
      <c r="F496">
        <v>14.998036385000001</v>
      </c>
      <c r="G496">
        <v>1452.2908935999999</v>
      </c>
      <c r="H496">
        <v>1420.6314697</v>
      </c>
      <c r="I496">
        <v>1118.534668</v>
      </c>
      <c r="J496">
        <v>1019.9448853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146.72893099999999</v>
      </c>
      <c r="B497" s="1">
        <f>DATE(2010,9,24) + TIME(17,29,39)</f>
        <v>40445.72892361111</v>
      </c>
      <c r="C497">
        <v>80</v>
      </c>
      <c r="D497">
        <v>79.964599609000004</v>
      </c>
      <c r="E497">
        <v>50</v>
      </c>
      <c r="F497">
        <v>14.998059273000001</v>
      </c>
      <c r="G497">
        <v>1452.1811522999999</v>
      </c>
      <c r="H497">
        <v>1420.5218506000001</v>
      </c>
      <c r="I497">
        <v>1118.5720214999999</v>
      </c>
      <c r="J497">
        <v>1019.9823608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147.21756400000001</v>
      </c>
      <c r="B498" s="1">
        <f>DATE(2010,9,25) + TIME(5,13,17)</f>
        <v>40446.217557870368</v>
      </c>
      <c r="C498">
        <v>80</v>
      </c>
      <c r="D498">
        <v>79.964622497999997</v>
      </c>
      <c r="E498">
        <v>50</v>
      </c>
      <c r="F498">
        <v>14.998080254</v>
      </c>
      <c r="G498">
        <v>1452.0727539</v>
      </c>
      <c r="H498">
        <v>1420.4136963000001</v>
      </c>
      <c r="I498">
        <v>1118.6094971</v>
      </c>
      <c r="J498">
        <v>1020.0198364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147.706197</v>
      </c>
      <c r="B499" s="1">
        <f>DATE(2010,9,25) + TIME(16,56,55)</f>
        <v>40446.706192129626</v>
      </c>
      <c r="C499">
        <v>80</v>
      </c>
      <c r="D499">
        <v>79.964653014999996</v>
      </c>
      <c r="E499">
        <v>50</v>
      </c>
      <c r="F499">
        <v>14.998096466</v>
      </c>
      <c r="G499">
        <v>1452.0159911999999</v>
      </c>
      <c r="H499">
        <v>1420.3570557</v>
      </c>
      <c r="I499">
        <v>1118.6293945</v>
      </c>
      <c r="J499">
        <v>1020.0397948999999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148.19483</v>
      </c>
      <c r="B500" s="1">
        <f>DATE(2010,9,26) + TIME(4,40,33)</f>
        <v>40447.194826388892</v>
      </c>
      <c r="C500">
        <v>80</v>
      </c>
      <c r="D500">
        <v>79.964683532999999</v>
      </c>
      <c r="E500">
        <v>50</v>
      </c>
      <c r="F500">
        <v>14.998110771</v>
      </c>
      <c r="G500">
        <v>1451.9611815999999</v>
      </c>
      <c r="H500">
        <v>1420.3023682</v>
      </c>
      <c r="I500">
        <v>1118.6489257999999</v>
      </c>
      <c r="J500">
        <v>1020.0593262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148.68346299999999</v>
      </c>
      <c r="B501" s="1">
        <f>DATE(2010,9,26) + TIME(16,24,11)</f>
        <v>40447.68346064815</v>
      </c>
      <c r="C501">
        <v>80</v>
      </c>
      <c r="D501">
        <v>79.964706421000002</v>
      </c>
      <c r="E501">
        <v>50</v>
      </c>
      <c r="F501">
        <v>14.998125076000001</v>
      </c>
      <c r="G501">
        <v>1451.9067382999999</v>
      </c>
      <c r="H501">
        <v>1420.2479248</v>
      </c>
      <c r="I501">
        <v>1118.6685791</v>
      </c>
      <c r="J501">
        <v>1020.0790405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149.17209600000001</v>
      </c>
      <c r="B502" s="1">
        <f>DATE(2010,9,27) + TIME(4,7,49)</f>
        <v>40448.172094907408</v>
      </c>
      <c r="C502">
        <v>80</v>
      </c>
      <c r="D502">
        <v>79.964736938000001</v>
      </c>
      <c r="E502">
        <v>50</v>
      </c>
      <c r="F502">
        <v>14.998138428000001</v>
      </c>
      <c r="G502">
        <v>1451.8522949000001</v>
      </c>
      <c r="H502">
        <v>1420.1936035000001</v>
      </c>
      <c r="I502">
        <v>1118.6884766000001</v>
      </c>
      <c r="J502">
        <v>1020.0988159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149.660729</v>
      </c>
      <c r="B503" s="1">
        <f>DATE(2010,9,27) + TIME(15,51,26)</f>
        <v>40448.660717592589</v>
      </c>
      <c r="C503">
        <v>80</v>
      </c>
      <c r="D503">
        <v>79.964759826999995</v>
      </c>
      <c r="E503">
        <v>50</v>
      </c>
      <c r="F503">
        <v>14.998151779000001</v>
      </c>
      <c r="G503">
        <v>1451.7982178</v>
      </c>
      <c r="H503">
        <v>1420.1396483999999</v>
      </c>
      <c r="I503">
        <v>1118.708374</v>
      </c>
      <c r="J503">
        <v>1020.1187744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150.149362</v>
      </c>
      <c r="B504" s="1">
        <f>DATE(2010,9,28) + TIME(3,35,4)</f>
        <v>40449.149351851855</v>
      </c>
      <c r="C504">
        <v>80</v>
      </c>
      <c r="D504">
        <v>79.964782714999998</v>
      </c>
      <c r="E504">
        <v>50</v>
      </c>
      <c r="F504">
        <v>14.998166083999999</v>
      </c>
      <c r="G504">
        <v>1451.7441406</v>
      </c>
      <c r="H504">
        <v>1420.0856934000001</v>
      </c>
      <c r="I504">
        <v>1118.7283935999999</v>
      </c>
      <c r="J504">
        <v>1020.138855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150.63799499999999</v>
      </c>
      <c r="B505" s="1">
        <f>DATE(2010,9,28) + TIME(15,18,42)</f>
        <v>40449.637986111113</v>
      </c>
      <c r="C505">
        <v>80</v>
      </c>
      <c r="D505">
        <v>79.964813231999997</v>
      </c>
      <c r="E505">
        <v>50</v>
      </c>
      <c r="F505">
        <v>14.998179435999999</v>
      </c>
      <c r="G505">
        <v>1451.6904297000001</v>
      </c>
      <c r="H505">
        <v>1420.0319824000001</v>
      </c>
      <c r="I505">
        <v>1118.7486572</v>
      </c>
      <c r="J505">
        <v>1020.1590576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151.12662800000001</v>
      </c>
      <c r="B506" s="1">
        <f>DATE(2010,9,29) + TIME(3,2,20)</f>
        <v>40450.126620370371</v>
      </c>
      <c r="C506">
        <v>80</v>
      </c>
      <c r="D506">
        <v>79.964836121000005</v>
      </c>
      <c r="E506">
        <v>50</v>
      </c>
      <c r="F506">
        <v>14.998194695</v>
      </c>
      <c r="G506">
        <v>1451.6367187999999</v>
      </c>
      <c r="H506">
        <v>1419.9783935999999</v>
      </c>
      <c r="I506">
        <v>1118.7689209</v>
      </c>
      <c r="J506">
        <v>1020.1793823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151.615261</v>
      </c>
      <c r="B507" s="1">
        <f>DATE(2010,9,29) + TIME(14,45,58)</f>
        <v>40450.615254629629</v>
      </c>
      <c r="C507">
        <v>80</v>
      </c>
      <c r="D507">
        <v>79.964866638000004</v>
      </c>
      <c r="E507">
        <v>50</v>
      </c>
      <c r="F507">
        <v>14.998208999999999</v>
      </c>
      <c r="G507">
        <v>1451.5832519999999</v>
      </c>
      <c r="H507">
        <v>1419.9249268000001</v>
      </c>
      <c r="I507">
        <v>1118.7894286999999</v>
      </c>
      <c r="J507">
        <v>1020.1998291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152.103894</v>
      </c>
      <c r="B508" s="1">
        <f>DATE(2010,9,30) + TIME(2,29,36)</f>
        <v>40451.103888888887</v>
      </c>
      <c r="C508">
        <v>80</v>
      </c>
      <c r="D508">
        <v>79.964889525999993</v>
      </c>
      <c r="E508">
        <v>50</v>
      </c>
      <c r="F508">
        <v>14.998224258</v>
      </c>
      <c r="G508">
        <v>1451.5299072</v>
      </c>
      <c r="H508">
        <v>1419.8717041</v>
      </c>
      <c r="I508">
        <v>1118.8099365</v>
      </c>
      <c r="J508">
        <v>1020.220459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153</v>
      </c>
      <c r="B509" s="1">
        <f>DATE(2010,10,1) + TIME(0,0,0)</f>
        <v>40452</v>
      </c>
      <c r="C509">
        <v>80</v>
      </c>
      <c r="D509">
        <v>79.964942932</v>
      </c>
      <c r="E509">
        <v>50</v>
      </c>
      <c r="F509">
        <v>14.998242378</v>
      </c>
      <c r="G509">
        <v>1451.4765625</v>
      </c>
      <c r="H509">
        <v>1419.8184814000001</v>
      </c>
      <c r="I509">
        <v>1118.8310547000001</v>
      </c>
      <c r="J509">
        <v>1020.2415161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153.488204</v>
      </c>
      <c r="B510" s="1">
        <f>DATE(2010,10,1) + TIME(11,43,0)</f>
        <v>40452.488194444442</v>
      </c>
      <c r="C510">
        <v>80</v>
      </c>
      <c r="D510">
        <v>79.964965820000003</v>
      </c>
      <c r="E510">
        <v>50</v>
      </c>
      <c r="F510">
        <v>14.998263358999999</v>
      </c>
      <c r="G510">
        <v>1451.3814697</v>
      </c>
      <c r="H510">
        <v>1419.7235106999999</v>
      </c>
      <c r="I510">
        <v>1118.8685303</v>
      </c>
      <c r="J510">
        <v>1020.2789917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153.966027</v>
      </c>
      <c r="B511" s="1">
        <f>DATE(2010,10,1) + TIME(23,11,4)</f>
        <v>40452.96601851852</v>
      </c>
      <c r="C511">
        <v>80</v>
      </c>
      <c r="D511">
        <v>79.964988708000007</v>
      </c>
      <c r="E511">
        <v>50</v>
      </c>
      <c r="F511">
        <v>14.998282433</v>
      </c>
      <c r="G511">
        <v>1451.3272704999999</v>
      </c>
      <c r="H511">
        <v>1419.6694336</v>
      </c>
      <c r="I511">
        <v>1118.8900146000001</v>
      </c>
      <c r="J511">
        <v>1020.3005371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154.921672</v>
      </c>
      <c r="B512" s="1">
        <f>DATE(2010,10,2) + TIME(22,7,12)</f>
        <v>40453.921666666669</v>
      </c>
      <c r="C512">
        <v>80</v>
      </c>
      <c r="D512">
        <v>79.965042113999999</v>
      </c>
      <c r="E512">
        <v>50</v>
      </c>
      <c r="F512">
        <v>14.998304366999999</v>
      </c>
      <c r="G512">
        <v>1451.2756348</v>
      </c>
      <c r="H512">
        <v>1419.6177978999999</v>
      </c>
      <c r="I512">
        <v>1118.9112548999999</v>
      </c>
      <c r="J512">
        <v>1020.3217773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155.878062</v>
      </c>
      <c r="B513" s="1">
        <f>DATE(2010,10,3) + TIME(21,4,24)</f>
        <v>40454.878055555557</v>
      </c>
      <c r="C513">
        <v>80</v>
      </c>
      <c r="D513">
        <v>79.965087890999996</v>
      </c>
      <c r="E513">
        <v>50</v>
      </c>
      <c r="F513">
        <v>14.998334885</v>
      </c>
      <c r="G513">
        <v>1451.1744385</v>
      </c>
      <c r="H513">
        <v>1419.5168457</v>
      </c>
      <c r="I513">
        <v>1118.9527588000001</v>
      </c>
      <c r="J513">
        <v>1020.3633423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156.84888100000001</v>
      </c>
      <c r="B514" s="1">
        <f>DATE(2010,10,4) + TIME(20,22,23)</f>
        <v>40455.848877314813</v>
      </c>
      <c r="C514">
        <v>80</v>
      </c>
      <c r="D514">
        <v>79.965141295999999</v>
      </c>
      <c r="E514">
        <v>50</v>
      </c>
      <c r="F514">
        <v>14.998370170999999</v>
      </c>
      <c r="G514">
        <v>1451.0727539</v>
      </c>
      <c r="H514">
        <v>1419.4152832</v>
      </c>
      <c r="I514">
        <v>1118.9952393000001</v>
      </c>
      <c r="J514">
        <v>1020.4057617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157.34242699999999</v>
      </c>
      <c r="B515" s="1">
        <f>DATE(2010,10,5) + TIME(8,13,5)</f>
        <v>40456.342418981483</v>
      </c>
      <c r="C515">
        <v>80</v>
      </c>
      <c r="D515">
        <v>79.965164185000006</v>
      </c>
      <c r="E515">
        <v>50</v>
      </c>
      <c r="F515">
        <v>14.998402596</v>
      </c>
      <c r="G515">
        <v>1450.9713135</v>
      </c>
      <c r="H515">
        <v>1419.3139647999999</v>
      </c>
      <c r="I515">
        <v>1119.0383300999999</v>
      </c>
      <c r="J515">
        <v>1020.4488525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158.304451</v>
      </c>
      <c r="B516" s="1">
        <f>DATE(2010,10,6) + TIME(7,18,24)</f>
        <v>40457.304444444446</v>
      </c>
      <c r="C516">
        <v>80</v>
      </c>
      <c r="D516">
        <v>79.965217589999995</v>
      </c>
      <c r="E516">
        <v>50</v>
      </c>
      <c r="F516">
        <v>14.998435020000001</v>
      </c>
      <c r="G516">
        <v>1450.9172363</v>
      </c>
      <c r="H516">
        <v>1419.2600098</v>
      </c>
      <c r="I516">
        <v>1119.0617675999999</v>
      </c>
      <c r="J516">
        <v>1020.47229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158.79279500000001</v>
      </c>
      <c r="B517" s="1">
        <f>DATE(2010,10,6) + TIME(19,1,37)</f>
        <v>40457.79278935185</v>
      </c>
      <c r="C517">
        <v>80</v>
      </c>
      <c r="D517">
        <v>79.965240479000002</v>
      </c>
      <c r="E517">
        <v>50</v>
      </c>
      <c r="F517">
        <v>14.998468399</v>
      </c>
      <c r="G517">
        <v>1450.8184814000001</v>
      </c>
      <c r="H517">
        <v>1419.1613769999999</v>
      </c>
      <c r="I517">
        <v>1119.1049805</v>
      </c>
      <c r="J517">
        <v>1020.515625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159.74086600000001</v>
      </c>
      <c r="B518" s="1">
        <f>DATE(2010,10,7) + TIME(17,46,50)</f>
        <v>40458.740856481483</v>
      </c>
      <c r="C518">
        <v>80</v>
      </c>
      <c r="D518">
        <v>79.965293884000005</v>
      </c>
      <c r="E518">
        <v>50</v>
      </c>
      <c r="F518">
        <v>14.998503684999999</v>
      </c>
      <c r="G518">
        <v>1450.7653809000001</v>
      </c>
      <c r="H518">
        <v>1419.1083983999999</v>
      </c>
      <c r="I518">
        <v>1119.1287841999999</v>
      </c>
      <c r="J518">
        <v>1020.5393677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160.711759</v>
      </c>
      <c r="B519" s="1">
        <f>DATE(2010,10,8) + TIME(17,4,56)</f>
        <v>40459.711759259262</v>
      </c>
      <c r="C519">
        <v>80</v>
      </c>
      <c r="D519">
        <v>79.965339661000002</v>
      </c>
      <c r="E519">
        <v>50</v>
      </c>
      <c r="F519">
        <v>14.998549461</v>
      </c>
      <c r="G519">
        <v>1450.6678466999999</v>
      </c>
      <c r="H519">
        <v>1419.0109863</v>
      </c>
      <c r="I519">
        <v>1119.1729736</v>
      </c>
      <c r="J519">
        <v>1020.5836182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161.68570099999999</v>
      </c>
      <c r="B520" s="1">
        <f>DATE(2010,10,9) + TIME(16,27,24)</f>
        <v>40460.685694444444</v>
      </c>
      <c r="C520">
        <v>80</v>
      </c>
      <c r="D520">
        <v>79.965393066000004</v>
      </c>
      <c r="E520">
        <v>50</v>
      </c>
      <c r="F520">
        <v>14.998602867000001</v>
      </c>
      <c r="G520">
        <v>1450.5675048999999</v>
      </c>
      <c r="H520">
        <v>1418.9108887</v>
      </c>
      <c r="I520">
        <v>1119.2192382999999</v>
      </c>
      <c r="J520">
        <v>1020.6299438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162.175701</v>
      </c>
      <c r="B521" s="1">
        <f>DATE(2010,10,10) + TIME(4,13,0)</f>
        <v>40461.175694444442</v>
      </c>
      <c r="C521">
        <v>80</v>
      </c>
      <c r="D521">
        <v>79.965415954999997</v>
      </c>
      <c r="E521">
        <v>50</v>
      </c>
      <c r="F521">
        <v>14.998650551000001</v>
      </c>
      <c r="G521">
        <v>1450.4686279</v>
      </c>
      <c r="H521">
        <v>1418.8120117000001</v>
      </c>
      <c r="I521">
        <v>1119.2657471</v>
      </c>
      <c r="J521">
        <v>1020.6763916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162.66570200000001</v>
      </c>
      <c r="B522" s="1">
        <f>DATE(2010,10,10) + TIME(15,58,36)</f>
        <v>40461.665694444448</v>
      </c>
      <c r="C522">
        <v>80</v>
      </c>
      <c r="D522">
        <v>79.965438843000001</v>
      </c>
      <c r="E522">
        <v>50</v>
      </c>
      <c r="F522">
        <v>14.998691558999999</v>
      </c>
      <c r="G522">
        <v>1450.416626</v>
      </c>
      <c r="H522">
        <v>1418.7600098</v>
      </c>
      <c r="I522">
        <v>1119.2904053</v>
      </c>
      <c r="J522">
        <v>1020.7011108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163.15570199999999</v>
      </c>
      <c r="B523" s="1">
        <f>DATE(2010,10,11) + TIME(3,44,12)</f>
        <v>40462.155694444446</v>
      </c>
      <c r="C523">
        <v>80</v>
      </c>
      <c r="D523">
        <v>79.96546936</v>
      </c>
      <c r="E523">
        <v>50</v>
      </c>
      <c r="F523">
        <v>14.998729706000001</v>
      </c>
      <c r="G523">
        <v>1450.3664550999999</v>
      </c>
      <c r="H523">
        <v>1418.7099608999999</v>
      </c>
      <c r="I523">
        <v>1119.3146973</v>
      </c>
      <c r="J523">
        <v>1020.7254028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163.645703</v>
      </c>
      <c r="B524" s="1">
        <f>DATE(2010,10,11) + TIME(15,29,48)</f>
        <v>40462.645694444444</v>
      </c>
      <c r="C524">
        <v>80</v>
      </c>
      <c r="D524">
        <v>79.965492248999993</v>
      </c>
      <c r="E524">
        <v>50</v>
      </c>
      <c r="F524">
        <v>14.998767853</v>
      </c>
      <c r="G524">
        <v>1450.3165283000001</v>
      </c>
      <c r="H524">
        <v>1418.6601562000001</v>
      </c>
      <c r="I524">
        <v>1119.3392334</v>
      </c>
      <c r="J524">
        <v>1020.749939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164.13570300000001</v>
      </c>
      <c r="B525" s="1">
        <f>DATE(2010,10,12) + TIME(3,15,24)</f>
        <v>40463.135694444441</v>
      </c>
      <c r="C525">
        <v>80</v>
      </c>
      <c r="D525">
        <v>79.965515136999997</v>
      </c>
      <c r="E525">
        <v>50</v>
      </c>
      <c r="F525">
        <v>14.998806953000001</v>
      </c>
      <c r="G525">
        <v>1450.2667236</v>
      </c>
      <c r="H525">
        <v>1418.6103516000001</v>
      </c>
      <c r="I525">
        <v>1119.3638916</v>
      </c>
      <c r="J525">
        <v>1020.7745972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164.62570400000001</v>
      </c>
      <c r="B526" s="1">
        <f>DATE(2010,10,12) + TIME(15,1,0)</f>
        <v>40463.625694444447</v>
      </c>
      <c r="C526">
        <v>80</v>
      </c>
      <c r="D526">
        <v>79.965538025000001</v>
      </c>
      <c r="E526">
        <v>50</v>
      </c>
      <c r="F526">
        <v>14.998848915</v>
      </c>
      <c r="G526">
        <v>1450.2170410000001</v>
      </c>
      <c r="H526">
        <v>1418.5607910000001</v>
      </c>
      <c r="I526">
        <v>1119.3886719</v>
      </c>
      <c r="J526">
        <v>1020.7994995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165.11570399999999</v>
      </c>
      <c r="B527" s="1">
        <f>DATE(2010,10,13) + TIME(2,46,36)</f>
        <v>40464.115694444445</v>
      </c>
      <c r="C527">
        <v>80</v>
      </c>
      <c r="D527">
        <v>79.965568542</v>
      </c>
      <c r="E527">
        <v>50</v>
      </c>
      <c r="F527">
        <v>14.99889183</v>
      </c>
      <c r="G527">
        <v>1450.1674805</v>
      </c>
      <c r="H527">
        <v>1418.5113524999999</v>
      </c>
      <c r="I527">
        <v>1119.4138184000001</v>
      </c>
      <c r="J527">
        <v>1020.824646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165.605705</v>
      </c>
      <c r="B528" s="1">
        <f>DATE(2010,10,13) + TIME(14,32,12)</f>
        <v>40464.605694444443</v>
      </c>
      <c r="C528">
        <v>80</v>
      </c>
      <c r="D528">
        <v>79.965591431000007</v>
      </c>
      <c r="E528">
        <v>50</v>
      </c>
      <c r="F528">
        <v>14.998938559999999</v>
      </c>
      <c r="G528">
        <v>1450.1181641000001</v>
      </c>
      <c r="H528">
        <v>1418.4620361</v>
      </c>
      <c r="I528">
        <v>1119.4390868999999</v>
      </c>
      <c r="J528">
        <v>1020.8499146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166.09492599999999</v>
      </c>
      <c r="B529" s="1">
        <f>DATE(2010,10,14) + TIME(2,16,41)</f>
        <v>40465.094918981478</v>
      </c>
      <c r="C529">
        <v>80</v>
      </c>
      <c r="D529">
        <v>79.965614318999997</v>
      </c>
      <c r="E529">
        <v>50</v>
      </c>
      <c r="F529">
        <v>14.998987198</v>
      </c>
      <c r="G529">
        <v>1450.0688477000001</v>
      </c>
      <c r="H529">
        <v>1418.4128418</v>
      </c>
      <c r="I529">
        <v>1119.4645995999999</v>
      </c>
      <c r="J529">
        <v>1020.8754272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166.58275399999999</v>
      </c>
      <c r="B530" s="1">
        <f>DATE(2010,10,14) + TIME(13,59,9)</f>
        <v>40465.582743055558</v>
      </c>
      <c r="C530">
        <v>80</v>
      </c>
      <c r="D530">
        <v>79.965637207</v>
      </c>
      <c r="E530">
        <v>50</v>
      </c>
      <c r="F530">
        <v>14.999037743000001</v>
      </c>
      <c r="G530">
        <v>1450.0198975000001</v>
      </c>
      <c r="H530">
        <v>1418.3638916</v>
      </c>
      <c r="I530">
        <v>1119.4902344</v>
      </c>
      <c r="J530">
        <v>1020.901123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167.069332</v>
      </c>
      <c r="B531" s="1">
        <f>DATE(2010,10,15) + TIME(1,39,50)</f>
        <v>40466.069328703707</v>
      </c>
      <c r="C531">
        <v>80</v>
      </c>
      <c r="D531">
        <v>79.965667725000003</v>
      </c>
      <c r="E531">
        <v>50</v>
      </c>
      <c r="F531">
        <v>14.999092102000001</v>
      </c>
      <c r="G531">
        <v>1449.9710693</v>
      </c>
      <c r="H531">
        <v>1418.3151855000001</v>
      </c>
      <c r="I531">
        <v>1119.5159911999999</v>
      </c>
      <c r="J531">
        <v>1020.9269409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167.55477200000001</v>
      </c>
      <c r="B532" s="1">
        <f>DATE(2010,10,15) + TIME(13,18,52)</f>
        <v>40466.554768518516</v>
      </c>
      <c r="C532">
        <v>80</v>
      </c>
      <c r="D532">
        <v>79.965690613000007</v>
      </c>
      <c r="E532">
        <v>50</v>
      </c>
      <c r="F532">
        <v>14.999150276</v>
      </c>
      <c r="G532">
        <v>1449.9226074000001</v>
      </c>
      <c r="H532">
        <v>1418.2667236</v>
      </c>
      <c r="I532">
        <v>1119.5418701000001</v>
      </c>
      <c r="J532">
        <v>1020.9528809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168.03920600000001</v>
      </c>
      <c r="B533" s="1">
        <f>DATE(2010,10,16) + TIME(0,56,27)</f>
        <v>40467.039201388892</v>
      </c>
      <c r="C533">
        <v>80</v>
      </c>
      <c r="D533">
        <v>79.965713500999996</v>
      </c>
      <c r="E533">
        <v>50</v>
      </c>
      <c r="F533">
        <v>14.999211311</v>
      </c>
      <c r="G533">
        <v>1449.8742675999999</v>
      </c>
      <c r="H533">
        <v>1418.2185059000001</v>
      </c>
      <c r="I533">
        <v>1119.5679932</v>
      </c>
      <c r="J533">
        <v>1020.9790649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168.52277900000001</v>
      </c>
      <c r="B534" s="1">
        <f>DATE(2010,10,16) + TIME(12,32,48)</f>
        <v>40467.522777777776</v>
      </c>
      <c r="C534">
        <v>80</v>
      </c>
      <c r="D534">
        <v>79.965736389</v>
      </c>
      <c r="E534">
        <v>50</v>
      </c>
      <c r="F534">
        <v>14.999275208</v>
      </c>
      <c r="G534">
        <v>1449.8261719</v>
      </c>
      <c r="H534">
        <v>1418.1704102000001</v>
      </c>
      <c r="I534">
        <v>1119.5942382999999</v>
      </c>
      <c r="J534">
        <v>1021.0053711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169.00564600000001</v>
      </c>
      <c r="B535" s="1">
        <f>DATE(2010,10,17) + TIME(0,8,7)</f>
        <v>40468.005636574075</v>
      </c>
      <c r="C535">
        <v>80</v>
      </c>
      <c r="D535">
        <v>79.965766907000003</v>
      </c>
      <c r="E535">
        <v>50</v>
      </c>
      <c r="F535">
        <v>14.999343872000001</v>
      </c>
      <c r="G535">
        <v>1449.7783202999999</v>
      </c>
      <c r="H535">
        <v>1418.1226807</v>
      </c>
      <c r="I535">
        <v>1119.6207274999999</v>
      </c>
      <c r="J535">
        <v>1021.0318604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169.487977</v>
      </c>
      <c r="B536" s="1">
        <f>DATE(2010,10,17) + TIME(11,42,41)</f>
        <v>40468.487974537034</v>
      </c>
      <c r="C536">
        <v>80</v>
      </c>
      <c r="D536">
        <v>79.965789795000006</v>
      </c>
      <c r="E536">
        <v>50</v>
      </c>
      <c r="F536">
        <v>14.999415398</v>
      </c>
      <c r="G536">
        <v>1449.7307129000001</v>
      </c>
      <c r="H536">
        <v>1418.0750731999999</v>
      </c>
      <c r="I536">
        <v>1119.6473389</v>
      </c>
      <c r="J536">
        <v>1021.0585327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169.96994799999999</v>
      </c>
      <c r="B537" s="1">
        <f>DATE(2010,10,17) + TIME(23,16,43)</f>
        <v>40468.969942129632</v>
      </c>
      <c r="C537">
        <v>80</v>
      </c>
      <c r="D537">
        <v>79.965812682999996</v>
      </c>
      <c r="E537">
        <v>50</v>
      </c>
      <c r="F537">
        <v>14.999492645</v>
      </c>
      <c r="G537">
        <v>1449.6832274999999</v>
      </c>
      <c r="H537">
        <v>1418.0275879000001</v>
      </c>
      <c r="I537">
        <v>1119.6740723</v>
      </c>
      <c r="J537">
        <v>1021.0853882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170.45178200000001</v>
      </c>
      <c r="B538" s="1">
        <f>DATE(2010,10,18) + TIME(10,50,33)</f>
        <v>40469.451770833337</v>
      </c>
      <c r="C538">
        <v>80</v>
      </c>
      <c r="D538">
        <v>79.965835571</v>
      </c>
      <c r="E538">
        <v>50</v>
      </c>
      <c r="F538">
        <v>14.999573708</v>
      </c>
      <c r="G538">
        <v>1449.6358643000001</v>
      </c>
      <c r="H538">
        <v>1417.9803466999999</v>
      </c>
      <c r="I538">
        <v>1119.7011719</v>
      </c>
      <c r="J538">
        <v>1021.1124878000001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171.41544999999999</v>
      </c>
      <c r="B539" s="1">
        <f>DATE(2010,10,19) + TIME(9,58,14)</f>
        <v>40470.415439814817</v>
      </c>
      <c r="C539">
        <v>80</v>
      </c>
      <c r="D539">
        <v>79.965888977000006</v>
      </c>
      <c r="E539">
        <v>50</v>
      </c>
      <c r="F539">
        <v>14.99968338</v>
      </c>
      <c r="G539">
        <v>1449.5883789</v>
      </c>
      <c r="H539">
        <v>1417.9329834</v>
      </c>
      <c r="I539">
        <v>1119.7287598</v>
      </c>
      <c r="J539">
        <v>1021.1402588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172.382069</v>
      </c>
      <c r="B540" s="1">
        <f>DATE(2010,10,20) + TIME(9,10,10)</f>
        <v>40471.382060185184</v>
      </c>
      <c r="C540">
        <v>80</v>
      </c>
      <c r="D540">
        <v>79.965934752999999</v>
      </c>
      <c r="E540">
        <v>50</v>
      </c>
      <c r="F540">
        <v>14.999851227000001</v>
      </c>
      <c r="G540">
        <v>1449.4953613</v>
      </c>
      <c r="H540">
        <v>1417.8400879000001</v>
      </c>
      <c r="I540">
        <v>1119.7834473</v>
      </c>
      <c r="J540">
        <v>1021.1950073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173.3717</v>
      </c>
      <c r="B541" s="1">
        <f>DATE(2010,10,21) + TIME(8,55,14)</f>
        <v>40472.371689814812</v>
      </c>
      <c r="C541">
        <v>80</v>
      </c>
      <c r="D541">
        <v>79.965980529999996</v>
      </c>
      <c r="E541">
        <v>50</v>
      </c>
      <c r="F541">
        <v>15.000055313000001</v>
      </c>
      <c r="G541">
        <v>1449.4016113</v>
      </c>
      <c r="H541">
        <v>1417.7464600000001</v>
      </c>
      <c r="I541">
        <v>1119.8395995999999</v>
      </c>
      <c r="J541">
        <v>1021.2513428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173.86955499999999</v>
      </c>
      <c r="B542" s="1">
        <f>DATE(2010,10,21) + TIME(20,52,9)</f>
        <v>40472.86954861111</v>
      </c>
      <c r="C542">
        <v>80</v>
      </c>
      <c r="D542">
        <v>79.966003418</v>
      </c>
      <c r="E542">
        <v>50</v>
      </c>
      <c r="F542">
        <v>15.000245094</v>
      </c>
      <c r="G542">
        <v>1449.307251</v>
      </c>
      <c r="H542">
        <v>1417.6522216999999</v>
      </c>
      <c r="I542">
        <v>1119.8974608999999</v>
      </c>
      <c r="J542">
        <v>1021.3093262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174.36740900000001</v>
      </c>
      <c r="B543" s="1">
        <f>DATE(2010,10,22) + TIME(8,49,4)</f>
        <v>40473.367407407408</v>
      </c>
      <c r="C543">
        <v>80</v>
      </c>
      <c r="D543">
        <v>79.966026306000003</v>
      </c>
      <c r="E543">
        <v>50</v>
      </c>
      <c r="F543">
        <v>15.000408173</v>
      </c>
      <c r="G543">
        <v>1449.2574463000001</v>
      </c>
      <c r="H543">
        <v>1417.6024170000001</v>
      </c>
      <c r="I543">
        <v>1119.9281006000001</v>
      </c>
      <c r="J543">
        <v>1021.340271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174.86501899999999</v>
      </c>
      <c r="B544" s="1">
        <f>DATE(2010,10,22) + TIME(20,45,37)</f>
        <v>40473.865011574075</v>
      </c>
      <c r="C544">
        <v>80</v>
      </c>
      <c r="D544">
        <v>79.966056824000006</v>
      </c>
      <c r="E544">
        <v>50</v>
      </c>
      <c r="F544">
        <v>15.000563622</v>
      </c>
      <c r="G544">
        <v>1449.2095947</v>
      </c>
      <c r="H544">
        <v>1417.5545654</v>
      </c>
      <c r="I544">
        <v>1119.9584961</v>
      </c>
      <c r="J544">
        <v>1021.3707886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175.362628</v>
      </c>
      <c r="B545" s="1">
        <f>DATE(2010,10,23) + TIME(8,42,11)</f>
        <v>40474.362627314818</v>
      </c>
      <c r="C545">
        <v>80</v>
      </c>
      <c r="D545">
        <v>79.966079711999996</v>
      </c>
      <c r="E545">
        <v>50</v>
      </c>
      <c r="F545">
        <v>15.000722885</v>
      </c>
      <c r="G545">
        <v>1449.1618652</v>
      </c>
      <c r="H545">
        <v>1417.5069579999999</v>
      </c>
      <c r="I545">
        <v>1119.9890137</v>
      </c>
      <c r="J545">
        <v>1021.4015503000001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175.86023800000001</v>
      </c>
      <c r="B546" s="1">
        <f>DATE(2010,10,23) + TIME(20,38,44)</f>
        <v>40474.860231481478</v>
      </c>
      <c r="C546">
        <v>80</v>
      </c>
      <c r="D546">
        <v>79.966102599999999</v>
      </c>
      <c r="E546">
        <v>50</v>
      </c>
      <c r="F546">
        <v>15.000889777999999</v>
      </c>
      <c r="G546">
        <v>1449.1142577999999</v>
      </c>
      <c r="H546">
        <v>1417.4594727000001</v>
      </c>
      <c r="I546">
        <v>1120.0200195</v>
      </c>
      <c r="J546">
        <v>1021.4326782000001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176.35784799999999</v>
      </c>
      <c r="B547" s="1">
        <f>DATE(2010,10,24) + TIME(8,35,18)</f>
        <v>40475.357847222222</v>
      </c>
      <c r="C547">
        <v>80</v>
      </c>
      <c r="D547">
        <v>79.966125488000003</v>
      </c>
      <c r="E547">
        <v>50</v>
      </c>
      <c r="F547">
        <v>15.001066207999999</v>
      </c>
      <c r="G547">
        <v>1449.0667725000001</v>
      </c>
      <c r="H547">
        <v>1417.4119873</v>
      </c>
      <c r="I547">
        <v>1120.0512695</v>
      </c>
      <c r="J547">
        <v>1021.4641113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176.855457</v>
      </c>
      <c r="B548" s="1">
        <f>DATE(2010,10,24) + TIME(20,31,51)</f>
        <v>40475.855451388888</v>
      </c>
      <c r="C548">
        <v>80</v>
      </c>
      <c r="D548">
        <v>79.966156006000006</v>
      </c>
      <c r="E548">
        <v>50</v>
      </c>
      <c r="F548">
        <v>15.001253128</v>
      </c>
      <c r="G548">
        <v>1449.0194091999999</v>
      </c>
      <c r="H548">
        <v>1417.364624</v>
      </c>
      <c r="I548">
        <v>1120.0827637</v>
      </c>
      <c r="J548">
        <v>1021.4959106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177.35306700000001</v>
      </c>
      <c r="B549" s="1">
        <f>DATE(2010,10,25) + TIME(8,28,24)</f>
        <v>40476.353055555555</v>
      </c>
      <c r="C549">
        <v>80</v>
      </c>
      <c r="D549">
        <v>79.966178893999995</v>
      </c>
      <c r="E549">
        <v>50</v>
      </c>
      <c r="F549">
        <v>15.001453400000001</v>
      </c>
      <c r="G549">
        <v>1448.972168</v>
      </c>
      <c r="H549">
        <v>1417.3175048999999</v>
      </c>
      <c r="I549">
        <v>1120.1147461</v>
      </c>
      <c r="J549">
        <v>1021.5280762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177.85067599999999</v>
      </c>
      <c r="B550" s="1">
        <f>DATE(2010,10,25) + TIME(20,24,58)</f>
        <v>40476.850671296299</v>
      </c>
      <c r="C550">
        <v>80</v>
      </c>
      <c r="D550">
        <v>79.966201781999999</v>
      </c>
      <c r="E550">
        <v>50</v>
      </c>
      <c r="F550">
        <v>15.001666069000001</v>
      </c>
      <c r="G550">
        <v>1448.9250488</v>
      </c>
      <c r="H550">
        <v>1417.2703856999999</v>
      </c>
      <c r="I550">
        <v>1120.1469727000001</v>
      </c>
      <c r="J550">
        <v>1021.5605469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178.34638799999999</v>
      </c>
      <c r="B551" s="1">
        <f>DATE(2010,10,26) + TIME(8,18,47)</f>
        <v>40477.346377314818</v>
      </c>
      <c r="C551">
        <v>80</v>
      </c>
      <c r="D551">
        <v>79.966224670000003</v>
      </c>
      <c r="E551">
        <v>50</v>
      </c>
      <c r="F551">
        <v>15.00189209</v>
      </c>
      <c r="G551">
        <v>1448.8779297000001</v>
      </c>
      <c r="H551">
        <v>1417.2233887</v>
      </c>
      <c r="I551">
        <v>1120.1794434000001</v>
      </c>
      <c r="J551">
        <v>1021.5933838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178.83980299999999</v>
      </c>
      <c r="B552" s="1">
        <f>DATE(2010,10,26) + TIME(20,9,18)</f>
        <v>40477.839791666665</v>
      </c>
      <c r="C552">
        <v>80</v>
      </c>
      <c r="D552">
        <v>79.966247558999996</v>
      </c>
      <c r="E552">
        <v>50</v>
      </c>
      <c r="F552">
        <v>15.002132416</v>
      </c>
      <c r="G552">
        <v>1448.8311768000001</v>
      </c>
      <c r="H552">
        <v>1417.1767577999999</v>
      </c>
      <c r="I552">
        <v>1120.2122803</v>
      </c>
      <c r="J552">
        <v>1021.6265259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179.33107200000001</v>
      </c>
      <c r="B553" s="1">
        <f>DATE(2010,10,27) + TIME(7,56,44)</f>
        <v>40478.331064814818</v>
      </c>
      <c r="C553">
        <v>80</v>
      </c>
      <c r="D553">
        <v>79.966270446999999</v>
      </c>
      <c r="E553">
        <v>50</v>
      </c>
      <c r="F553">
        <v>15.002387046999999</v>
      </c>
      <c r="G553">
        <v>1448.7847899999999</v>
      </c>
      <c r="H553">
        <v>1417.1303711</v>
      </c>
      <c r="I553">
        <v>1120.2453613</v>
      </c>
      <c r="J553">
        <v>1021.6598511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179.82035200000001</v>
      </c>
      <c r="B554" s="1">
        <f>DATE(2010,10,27) + TIME(19,41,18)</f>
        <v>40478.820347222223</v>
      </c>
      <c r="C554">
        <v>80</v>
      </c>
      <c r="D554">
        <v>79.966293335000003</v>
      </c>
      <c r="E554">
        <v>50</v>
      </c>
      <c r="F554">
        <v>15.00265789</v>
      </c>
      <c r="G554">
        <v>1448.7386475000001</v>
      </c>
      <c r="H554">
        <v>1417.0842285000001</v>
      </c>
      <c r="I554">
        <v>1120.2785644999999</v>
      </c>
      <c r="J554">
        <v>1021.6934204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180.30783600000001</v>
      </c>
      <c r="B555" s="1">
        <f>DATE(2010,10,28) + TIME(7,23,17)</f>
        <v>40479.307835648149</v>
      </c>
      <c r="C555">
        <v>80</v>
      </c>
      <c r="D555">
        <v>79.966323853000006</v>
      </c>
      <c r="E555">
        <v>50</v>
      </c>
      <c r="F555">
        <v>15.002944946</v>
      </c>
      <c r="G555">
        <v>1448.6928711</v>
      </c>
      <c r="H555">
        <v>1417.0384521000001</v>
      </c>
      <c r="I555">
        <v>1120.3120117000001</v>
      </c>
      <c r="J555">
        <v>1021.7272339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180.79371</v>
      </c>
      <c r="B556" s="1">
        <f>DATE(2010,10,28) + TIME(19,2,56)</f>
        <v>40479.793703703705</v>
      </c>
      <c r="C556">
        <v>80</v>
      </c>
      <c r="D556">
        <v>79.966346740999995</v>
      </c>
      <c r="E556">
        <v>50</v>
      </c>
      <c r="F556">
        <v>15.003248214999999</v>
      </c>
      <c r="G556">
        <v>1448.6472168</v>
      </c>
      <c r="H556">
        <v>1416.9929199000001</v>
      </c>
      <c r="I556">
        <v>1120.3457031</v>
      </c>
      <c r="J556">
        <v>1021.7613525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181.27817300000001</v>
      </c>
      <c r="B557" s="1">
        <f>DATE(2010,10,29) + TIME(6,40,34)</f>
        <v>40480.278171296297</v>
      </c>
      <c r="C557">
        <v>80</v>
      </c>
      <c r="D557">
        <v>79.966369628999999</v>
      </c>
      <c r="E557">
        <v>50</v>
      </c>
      <c r="F557">
        <v>15.00357151</v>
      </c>
      <c r="G557">
        <v>1448.6019286999999</v>
      </c>
      <c r="H557">
        <v>1416.9476318</v>
      </c>
      <c r="I557">
        <v>1120.3796387</v>
      </c>
      <c r="J557">
        <v>1021.7957764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181.761428</v>
      </c>
      <c r="B558" s="1">
        <f>DATE(2010,10,29) + TIME(18,16,27)</f>
        <v>40480.761423611111</v>
      </c>
      <c r="C558">
        <v>80</v>
      </c>
      <c r="D558">
        <v>79.966392517000003</v>
      </c>
      <c r="E558">
        <v>50</v>
      </c>
      <c r="F558">
        <v>15.003912926</v>
      </c>
      <c r="G558">
        <v>1448.5567627</v>
      </c>
      <c r="H558">
        <v>1416.9025879000001</v>
      </c>
      <c r="I558">
        <v>1120.4139404</v>
      </c>
      <c r="J558">
        <v>1021.8305054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182.24368899999999</v>
      </c>
      <c r="B559" s="1">
        <f>DATE(2010,10,30) + TIME(5,50,54)</f>
        <v>40481.243680555555</v>
      </c>
      <c r="C559">
        <v>80</v>
      </c>
      <c r="D559">
        <v>79.966415405000006</v>
      </c>
      <c r="E559">
        <v>50</v>
      </c>
      <c r="F559">
        <v>15.004276276000001</v>
      </c>
      <c r="G559">
        <v>1448.5118408000001</v>
      </c>
      <c r="H559">
        <v>1416.8576660000001</v>
      </c>
      <c r="I559">
        <v>1120.4484863</v>
      </c>
      <c r="J559">
        <v>1021.8656006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182.72517300000001</v>
      </c>
      <c r="B560" s="1">
        <f>DATE(2010,10,30) + TIME(17,24,14)</f>
        <v>40481.725162037037</v>
      </c>
      <c r="C560">
        <v>80</v>
      </c>
      <c r="D560">
        <v>79.966438292999996</v>
      </c>
      <c r="E560">
        <v>50</v>
      </c>
      <c r="F560">
        <v>15.004660606</v>
      </c>
      <c r="G560">
        <v>1448.4671631000001</v>
      </c>
      <c r="H560">
        <v>1416.8129882999999</v>
      </c>
      <c r="I560">
        <v>1120.4833983999999</v>
      </c>
      <c r="J560">
        <v>1021.901001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183.20610300000001</v>
      </c>
      <c r="B561" s="1">
        <f>DATE(2010,10,31) + TIME(4,56,47)</f>
        <v>40482.206099537034</v>
      </c>
      <c r="C561">
        <v>80</v>
      </c>
      <c r="D561">
        <v>79.966461182000003</v>
      </c>
      <c r="E561">
        <v>50</v>
      </c>
      <c r="F561">
        <v>15.005068779</v>
      </c>
      <c r="G561">
        <v>1448.4226074000001</v>
      </c>
      <c r="H561">
        <v>1416.7685547000001</v>
      </c>
      <c r="I561">
        <v>1120.5186768000001</v>
      </c>
      <c r="J561">
        <v>1021.9368286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184</v>
      </c>
      <c r="B562" s="1">
        <f>DATE(2010,11,1) + TIME(0,0,0)</f>
        <v>40483</v>
      </c>
      <c r="C562">
        <v>80</v>
      </c>
      <c r="D562">
        <v>79.966499329000001</v>
      </c>
      <c r="E562">
        <v>50</v>
      </c>
      <c r="F562">
        <v>15.005588531000001</v>
      </c>
      <c r="G562">
        <v>1448.3779297000001</v>
      </c>
      <c r="H562">
        <v>1416.7238769999999</v>
      </c>
      <c r="I562">
        <v>1120.5544434000001</v>
      </c>
      <c r="J562">
        <v>1021.9734496999999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184.000001</v>
      </c>
      <c r="B563" s="1">
        <f>DATE(2010,11,1) + TIME(0,0,0)</f>
        <v>40483</v>
      </c>
      <c r="C563">
        <v>80</v>
      </c>
      <c r="D563">
        <v>79.966186523000005</v>
      </c>
      <c r="E563">
        <v>50</v>
      </c>
      <c r="F563">
        <v>15.005911827</v>
      </c>
      <c r="G563">
        <v>1414.5438231999999</v>
      </c>
      <c r="H563">
        <v>1382.9072266000001</v>
      </c>
      <c r="I563">
        <v>1221.3083495999999</v>
      </c>
      <c r="J563">
        <v>1122.7440185999999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184.00000399999999</v>
      </c>
      <c r="B564" s="1">
        <f>DATE(2010,11,1) + TIME(0,0,0)</f>
        <v>40483</v>
      </c>
      <c r="C564">
        <v>80</v>
      </c>
      <c r="D564">
        <v>79.965408324999999</v>
      </c>
      <c r="E564">
        <v>50</v>
      </c>
      <c r="F564">
        <v>15.006843567000001</v>
      </c>
      <c r="G564">
        <v>1409.0366211</v>
      </c>
      <c r="H564">
        <v>1377.3990478999999</v>
      </c>
      <c r="I564">
        <v>1227.4968262</v>
      </c>
      <c r="J564">
        <v>1128.9353027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184.000013</v>
      </c>
      <c r="B565" s="1">
        <f>DATE(2010,11,1) + TIME(0,0,1)</f>
        <v>40483.000011574077</v>
      </c>
      <c r="C565">
        <v>80</v>
      </c>
      <c r="D565">
        <v>79.963821410999998</v>
      </c>
      <c r="E565">
        <v>50</v>
      </c>
      <c r="F565">
        <v>15.009357452</v>
      </c>
      <c r="G565">
        <v>1397.9197998</v>
      </c>
      <c r="H565">
        <v>1366.2811279</v>
      </c>
      <c r="I565">
        <v>1243.3216553</v>
      </c>
      <c r="J565">
        <v>1144.7675781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184.00004000000001</v>
      </c>
      <c r="B566" s="1">
        <f>DATE(2010,11,1) + TIME(0,0,3)</f>
        <v>40483.000034722223</v>
      </c>
      <c r="C566">
        <v>80</v>
      </c>
      <c r="D566">
        <v>79.961517334000007</v>
      </c>
      <c r="E566">
        <v>50</v>
      </c>
      <c r="F566">
        <v>15.015378952000001</v>
      </c>
      <c r="G566">
        <v>1381.6848144999999</v>
      </c>
      <c r="H566">
        <v>1350.0462646000001</v>
      </c>
      <c r="I566">
        <v>1276.0026855000001</v>
      </c>
      <c r="J566">
        <v>1177.4658202999999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184.00012100000001</v>
      </c>
      <c r="B567" s="1">
        <f>DATE(2010,11,1) + TIME(0,0,10)</f>
        <v>40483.000115740739</v>
      </c>
      <c r="C567">
        <v>80</v>
      </c>
      <c r="D567">
        <v>79.958915709999999</v>
      </c>
      <c r="E567">
        <v>50</v>
      </c>
      <c r="F567">
        <v>15.028417587</v>
      </c>
      <c r="G567">
        <v>1363.6107178</v>
      </c>
      <c r="H567">
        <v>1331.9787598</v>
      </c>
      <c r="I567">
        <v>1325.0932617000001</v>
      </c>
      <c r="J567">
        <v>1226.5920410000001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184.00036399999999</v>
      </c>
      <c r="B568" s="1">
        <f>DATE(2010,11,1) + TIME(0,0,31)</f>
        <v>40483.000358796293</v>
      </c>
      <c r="C568">
        <v>80</v>
      </c>
      <c r="D568">
        <v>79.956245421999995</v>
      </c>
      <c r="E568">
        <v>50</v>
      </c>
      <c r="F568">
        <v>15.058099747</v>
      </c>
      <c r="G568">
        <v>1345.4454346</v>
      </c>
      <c r="H568">
        <v>1313.8212891000001</v>
      </c>
      <c r="I568">
        <v>1380.7283935999999</v>
      </c>
      <c r="J568">
        <v>1282.3063964999999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184.001093</v>
      </c>
      <c r="B569" s="1">
        <f>DATE(2010,11,1) + TIME(0,1,34)</f>
        <v>40483.001087962963</v>
      </c>
      <c r="C569">
        <v>80</v>
      </c>
      <c r="D569">
        <v>79.953384399000001</v>
      </c>
      <c r="E569">
        <v>50</v>
      </c>
      <c r="F569">
        <v>15.135569572</v>
      </c>
      <c r="G569">
        <v>1327.2572021000001</v>
      </c>
      <c r="H569">
        <v>1295.6396483999999</v>
      </c>
      <c r="I569">
        <v>1436.7952881000001</v>
      </c>
      <c r="J569">
        <v>1338.5756836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184.00327999999999</v>
      </c>
      <c r="B570" s="1">
        <f>DATE(2010,11,1) + TIME(0,4,43)</f>
        <v>40483.003275462965</v>
      </c>
      <c r="C570">
        <v>80</v>
      </c>
      <c r="D570">
        <v>79.949890136999997</v>
      </c>
      <c r="E570">
        <v>50</v>
      </c>
      <c r="F570">
        <v>15.355064391999999</v>
      </c>
      <c r="G570">
        <v>1308.5908202999999</v>
      </c>
      <c r="H570">
        <v>1276.9747314000001</v>
      </c>
      <c r="I570">
        <v>1492.1749268000001</v>
      </c>
      <c r="J570">
        <v>1394.5206298999999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184.00984099999999</v>
      </c>
      <c r="B571" s="1">
        <f>DATE(2010,11,1) + TIME(0,14,10)</f>
        <v>40483.009837962964</v>
      </c>
      <c r="C571">
        <v>80</v>
      </c>
      <c r="D571">
        <v>79.944458007999998</v>
      </c>
      <c r="E571">
        <v>50</v>
      </c>
      <c r="F571">
        <v>15.990646362</v>
      </c>
      <c r="G571">
        <v>1287.7664795000001</v>
      </c>
      <c r="H571">
        <v>1256.1481934000001</v>
      </c>
      <c r="I571">
        <v>1545.0197754000001</v>
      </c>
      <c r="J571">
        <v>1448.9699707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184.02016399999999</v>
      </c>
      <c r="B572" s="1">
        <f>DATE(2010,11,1) + TIME(0,29,2)</f>
        <v>40483.020162037035</v>
      </c>
      <c r="C572">
        <v>80</v>
      </c>
      <c r="D572">
        <v>79.938316345000004</v>
      </c>
      <c r="E572">
        <v>50</v>
      </c>
      <c r="F572">
        <v>16.958782196000001</v>
      </c>
      <c r="G572">
        <v>1271.5987548999999</v>
      </c>
      <c r="H572">
        <v>1239.9780272999999</v>
      </c>
      <c r="I572">
        <v>1577.4350586</v>
      </c>
      <c r="J572">
        <v>1483.7469481999999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184.03082599999999</v>
      </c>
      <c r="B573" s="1">
        <f>DATE(2010,11,1) + TIME(0,44,23)</f>
        <v>40483.030821759261</v>
      </c>
      <c r="C573">
        <v>80</v>
      </c>
      <c r="D573">
        <v>79.932937621999997</v>
      </c>
      <c r="E573">
        <v>50</v>
      </c>
      <c r="F573">
        <v>17.9296875</v>
      </c>
      <c r="G573">
        <v>1261.6795654</v>
      </c>
      <c r="H573">
        <v>1230.057251</v>
      </c>
      <c r="I573">
        <v>1593.5832519999999</v>
      </c>
      <c r="J573">
        <v>1502.1677245999999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184.041809</v>
      </c>
      <c r="B574" s="1">
        <f>DATE(2010,11,1) + TIME(1,0,12)</f>
        <v>40483.041805555556</v>
      </c>
      <c r="C574">
        <v>80</v>
      </c>
      <c r="D574">
        <v>79.927963257000002</v>
      </c>
      <c r="E574">
        <v>50</v>
      </c>
      <c r="F574">
        <v>18.900585175</v>
      </c>
      <c r="G574">
        <v>1255.2922363</v>
      </c>
      <c r="H574">
        <v>1223.6685791</v>
      </c>
      <c r="I574">
        <v>1602.0919189000001</v>
      </c>
      <c r="J574">
        <v>1512.8592529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184.05312000000001</v>
      </c>
      <c r="B575" s="1">
        <f>DATE(2010,11,1) + TIME(1,16,29)</f>
        <v>40483.053113425929</v>
      </c>
      <c r="C575">
        <v>80</v>
      </c>
      <c r="D575">
        <v>79.923210143999995</v>
      </c>
      <c r="E575">
        <v>50</v>
      </c>
      <c r="F575">
        <v>19.870872498000001</v>
      </c>
      <c r="G575">
        <v>1251.1320800999999</v>
      </c>
      <c r="H575">
        <v>1219.5072021000001</v>
      </c>
      <c r="I575">
        <v>1606.3709716999999</v>
      </c>
      <c r="J575">
        <v>1519.2349853999999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184.06477699999999</v>
      </c>
      <c r="B576" s="1">
        <f>DATE(2010,11,1) + TIME(1,33,16)</f>
        <v>40483.064768518518</v>
      </c>
      <c r="C576">
        <v>80</v>
      </c>
      <c r="D576">
        <v>79.918579101999995</v>
      </c>
      <c r="E576">
        <v>50</v>
      </c>
      <c r="F576">
        <v>20.841077805000001</v>
      </c>
      <c r="G576">
        <v>1248.4278564000001</v>
      </c>
      <c r="H576">
        <v>1216.8018798999999</v>
      </c>
      <c r="I576">
        <v>1608.1020507999999</v>
      </c>
      <c r="J576">
        <v>1522.9819336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184.07679300000001</v>
      </c>
      <c r="B577" s="1">
        <f>DATE(2010,11,1) + TIME(1,50,34)</f>
        <v>40483.076782407406</v>
      </c>
      <c r="C577">
        <v>80</v>
      </c>
      <c r="D577">
        <v>79.913986206000004</v>
      </c>
      <c r="E577">
        <v>50</v>
      </c>
      <c r="F577">
        <v>21.809707641999999</v>
      </c>
      <c r="G577">
        <v>1246.6849365</v>
      </c>
      <c r="H577">
        <v>1215.0579834</v>
      </c>
      <c r="I577">
        <v>1608.2434082</v>
      </c>
      <c r="J577">
        <v>1525.0598144999999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184.08919800000001</v>
      </c>
      <c r="B578" s="1">
        <f>DATE(2010,11,1) + TIME(2,8,26)</f>
        <v>40483.089189814818</v>
      </c>
      <c r="C578">
        <v>80</v>
      </c>
      <c r="D578">
        <v>79.909393311000002</v>
      </c>
      <c r="E578">
        <v>50</v>
      </c>
      <c r="F578">
        <v>22.777141571000001</v>
      </c>
      <c r="G578">
        <v>1245.5738524999999</v>
      </c>
      <c r="H578">
        <v>1213.9458007999999</v>
      </c>
      <c r="I578">
        <v>1607.3840332</v>
      </c>
      <c r="J578">
        <v>1526.0620117000001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184.10202000000001</v>
      </c>
      <c r="B579" s="1">
        <f>DATE(2010,11,1) + TIME(2,26,54)</f>
        <v>40483.102013888885</v>
      </c>
      <c r="C579">
        <v>80</v>
      </c>
      <c r="D579">
        <v>79.904747009000005</v>
      </c>
      <c r="E579">
        <v>50</v>
      </c>
      <c r="F579">
        <v>23.743392944</v>
      </c>
      <c r="G579">
        <v>1244.8753661999999</v>
      </c>
      <c r="H579">
        <v>1213.2463379000001</v>
      </c>
      <c r="I579">
        <v>1605.8999022999999</v>
      </c>
      <c r="J579">
        <v>1526.3687743999999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184.11529100000001</v>
      </c>
      <c r="B580" s="1">
        <f>DATE(2010,11,1) + TIME(2,46,1)</f>
        <v>40483.115289351852</v>
      </c>
      <c r="C580">
        <v>80</v>
      </c>
      <c r="D580">
        <v>79.900032042999996</v>
      </c>
      <c r="E580">
        <v>50</v>
      </c>
      <c r="F580">
        <v>24.708366393999999</v>
      </c>
      <c r="G580">
        <v>1244.4436035000001</v>
      </c>
      <c r="H580">
        <v>1212.8135986</v>
      </c>
      <c r="I580">
        <v>1604.0363769999999</v>
      </c>
      <c r="J580">
        <v>1526.2286377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184.129042</v>
      </c>
      <c r="B581" s="1">
        <f>DATE(2010,11,1) + TIME(3,5,49)</f>
        <v>40483.12903935185</v>
      </c>
      <c r="C581">
        <v>80</v>
      </c>
      <c r="D581">
        <v>79.895225525000001</v>
      </c>
      <c r="E581">
        <v>50</v>
      </c>
      <c r="F581">
        <v>25.672428131</v>
      </c>
      <c r="G581">
        <v>1244.1818848</v>
      </c>
      <c r="H581">
        <v>1212.5507812000001</v>
      </c>
      <c r="I581">
        <v>1601.9525146000001</v>
      </c>
      <c r="J581">
        <v>1525.8049315999999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184.14330699999999</v>
      </c>
      <c r="B582" s="1">
        <f>DATE(2010,11,1) + TIME(3,26,21)</f>
        <v>40483.14329861111</v>
      </c>
      <c r="C582">
        <v>80</v>
      </c>
      <c r="D582">
        <v>79.890304564999994</v>
      </c>
      <c r="E582">
        <v>50</v>
      </c>
      <c r="F582">
        <v>26.634780884000001</v>
      </c>
      <c r="G582">
        <v>1244.0267334</v>
      </c>
      <c r="H582">
        <v>1212.3946533000001</v>
      </c>
      <c r="I582">
        <v>1599.7541504000001</v>
      </c>
      <c r="J582">
        <v>1525.2049560999999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184.15813</v>
      </c>
      <c r="B583" s="1">
        <f>DATE(2010,11,1) + TIME(3,47,42)</f>
        <v>40483.158125000002</v>
      </c>
      <c r="C583">
        <v>80</v>
      </c>
      <c r="D583">
        <v>79.885253906000003</v>
      </c>
      <c r="E583">
        <v>50</v>
      </c>
      <c r="F583">
        <v>27.595352172999998</v>
      </c>
      <c r="G583">
        <v>1243.9372559000001</v>
      </c>
      <c r="H583">
        <v>1212.3041992000001</v>
      </c>
      <c r="I583">
        <v>1597.5080565999999</v>
      </c>
      <c r="J583">
        <v>1524.4985352000001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184.17356100000001</v>
      </c>
      <c r="B584" s="1">
        <f>DATE(2010,11,1) + TIME(4,9,55)</f>
        <v>40483.17355324074</v>
      </c>
      <c r="C584">
        <v>80</v>
      </c>
      <c r="D584">
        <v>79.880065918</v>
      </c>
      <c r="E584">
        <v>50</v>
      </c>
      <c r="F584">
        <v>28.554199219000001</v>
      </c>
      <c r="G584">
        <v>1243.8873291</v>
      </c>
      <c r="H584">
        <v>1212.2530518000001</v>
      </c>
      <c r="I584">
        <v>1595.2556152</v>
      </c>
      <c r="J584">
        <v>1523.7302245999999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184.18965399999999</v>
      </c>
      <c r="B585" s="1">
        <f>DATE(2010,11,1) + TIME(4,33,6)</f>
        <v>40483.189652777779</v>
      </c>
      <c r="C585">
        <v>80</v>
      </c>
      <c r="D585">
        <v>79.874717712000006</v>
      </c>
      <c r="E585">
        <v>50</v>
      </c>
      <c r="F585">
        <v>29.511177063000002</v>
      </c>
      <c r="G585">
        <v>1243.8603516000001</v>
      </c>
      <c r="H585">
        <v>1212.2250977000001</v>
      </c>
      <c r="I585">
        <v>1593.0223389</v>
      </c>
      <c r="J585">
        <v>1522.9278564000001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184.20647099999999</v>
      </c>
      <c r="B586" s="1">
        <f>DATE(2010,11,1) + TIME(4,57,19)</f>
        <v>40483.206469907411</v>
      </c>
      <c r="C586">
        <v>80</v>
      </c>
      <c r="D586">
        <v>79.869194031000006</v>
      </c>
      <c r="E586">
        <v>50</v>
      </c>
      <c r="F586">
        <v>30.466236115000001</v>
      </c>
      <c r="G586">
        <v>1243.8465576000001</v>
      </c>
      <c r="H586">
        <v>1212.2100829999999</v>
      </c>
      <c r="I586">
        <v>1590.8231201000001</v>
      </c>
      <c r="J586">
        <v>1522.1086425999999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184.22407899999999</v>
      </c>
      <c r="B587" s="1">
        <f>DATE(2010,11,1) + TIME(5,22,40)</f>
        <v>40483.224074074074</v>
      </c>
      <c r="C587">
        <v>80</v>
      </c>
      <c r="D587">
        <v>79.863479613999999</v>
      </c>
      <c r="E587">
        <v>50</v>
      </c>
      <c r="F587">
        <v>31.419099807999999</v>
      </c>
      <c r="G587">
        <v>1243.8395995999999</v>
      </c>
      <c r="H587">
        <v>1212.2019043</v>
      </c>
      <c r="I587">
        <v>1588.6658935999999</v>
      </c>
      <c r="J587">
        <v>1521.2829589999999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184.242558</v>
      </c>
      <c r="B588" s="1">
        <f>DATE(2010,11,1) + TIME(5,49,17)</f>
        <v>40483.24255787037</v>
      </c>
      <c r="C588">
        <v>80</v>
      </c>
      <c r="D588">
        <v>79.857551575000002</v>
      </c>
      <c r="E588">
        <v>50</v>
      </c>
      <c r="F588">
        <v>32.369445800999998</v>
      </c>
      <c r="G588">
        <v>1243.8361815999999</v>
      </c>
      <c r="H588">
        <v>1212.1972656</v>
      </c>
      <c r="I588">
        <v>1586.5548096</v>
      </c>
      <c r="J588">
        <v>1520.4564209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184.26200299999999</v>
      </c>
      <c r="B589" s="1">
        <f>DATE(2010,11,1) + TIME(6,17,17)</f>
        <v>40483.262002314812</v>
      </c>
      <c r="C589">
        <v>80</v>
      </c>
      <c r="D589">
        <v>79.851394653</v>
      </c>
      <c r="E589">
        <v>50</v>
      </c>
      <c r="F589">
        <v>33.317138671999999</v>
      </c>
      <c r="G589">
        <v>1243.8342285000001</v>
      </c>
      <c r="H589">
        <v>1212.1940918</v>
      </c>
      <c r="I589">
        <v>1584.4902344</v>
      </c>
      <c r="J589">
        <v>1519.6318358999999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184.282521</v>
      </c>
      <c r="B590" s="1">
        <f>DATE(2010,11,1) + TIME(6,46,49)</f>
        <v>40483.282511574071</v>
      </c>
      <c r="C590">
        <v>80</v>
      </c>
      <c r="D590">
        <v>79.844978333</v>
      </c>
      <c r="E590">
        <v>50</v>
      </c>
      <c r="F590">
        <v>34.261901854999998</v>
      </c>
      <c r="G590">
        <v>1243.8326416</v>
      </c>
      <c r="H590">
        <v>1212.1911620999999</v>
      </c>
      <c r="I590">
        <v>1582.4716797000001</v>
      </c>
      <c r="J590">
        <v>1518.8099365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184.304238</v>
      </c>
      <c r="B591" s="1">
        <f>DATE(2010,11,1) + TIME(7,18,6)</f>
        <v>40483.304236111115</v>
      </c>
      <c r="C591">
        <v>80</v>
      </c>
      <c r="D591">
        <v>79.838272094999994</v>
      </c>
      <c r="E591">
        <v>50</v>
      </c>
      <c r="F591">
        <v>35.203422545999999</v>
      </c>
      <c r="G591">
        <v>1243.8308105000001</v>
      </c>
      <c r="H591">
        <v>1212.1879882999999</v>
      </c>
      <c r="I591">
        <v>1580.4969481999999</v>
      </c>
      <c r="J591">
        <v>1517.9907227000001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184.327304</v>
      </c>
      <c r="B592" s="1">
        <f>DATE(2010,11,1) + TIME(7,51,19)</f>
        <v>40483.327303240738</v>
      </c>
      <c r="C592">
        <v>80</v>
      </c>
      <c r="D592">
        <v>79.831237793</v>
      </c>
      <c r="E592">
        <v>50</v>
      </c>
      <c r="F592">
        <v>36.141326904000003</v>
      </c>
      <c r="G592">
        <v>1243.8287353999999</v>
      </c>
      <c r="H592">
        <v>1212.1844481999999</v>
      </c>
      <c r="I592">
        <v>1578.5637207</v>
      </c>
      <c r="J592">
        <v>1517.1730957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184.35189800000001</v>
      </c>
      <c r="B593" s="1">
        <f>DATE(2010,11,1) + TIME(8,26,43)</f>
        <v>40483.351886574077</v>
      </c>
      <c r="C593">
        <v>80</v>
      </c>
      <c r="D593">
        <v>79.823844910000005</v>
      </c>
      <c r="E593">
        <v>50</v>
      </c>
      <c r="F593">
        <v>37.075172424000002</v>
      </c>
      <c r="G593">
        <v>1243.8260498</v>
      </c>
      <c r="H593">
        <v>1212.1802978999999</v>
      </c>
      <c r="I593">
        <v>1576.6690673999999</v>
      </c>
      <c r="J593">
        <v>1516.3554687999999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184.37823399999999</v>
      </c>
      <c r="B594" s="1">
        <f>DATE(2010,11,1) + TIME(9,4,39)</f>
        <v>40483.378229166665</v>
      </c>
      <c r="C594">
        <v>80</v>
      </c>
      <c r="D594">
        <v>79.816032410000005</v>
      </c>
      <c r="E594">
        <v>50</v>
      </c>
      <c r="F594">
        <v>38.004440308</v>
      </c>
      <c r="G594">
        <v>1243.822876</v>
      </c>
      <c r="H594">
        <v>1212.1755370999999</v>
      </c>
      <c r="I594">
        <v>1574.8099365</v>
      </c>
      <c r="J594">
        <v>1515.5358887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184.40657400000001</v>
      </c>
      <c r="B595" s="1">
        <f>DATE(2010,11,1) + TIME(9,45,28)</f>
        <v>40483.406574074077</v>
      </c>
      <c r="C595">
        <v>80</v>
      </c>
      <c r="D595">
        <v>79.807746886999993</v>
      </c>
      <c r="E595">
        <v>50</v>
      </c>
      <c r="F595">
        <v>38.928497313999998</v>
      </c>
      <c r="G595">
        <v>1243.8192139</v>
      </c>
      <c r="H595">
        <v>1212.1701660000001</v>
      </c>
      <c r="I595">
        <v>1572.9826660000001</v>
      </c>
      <c r="J595">
        <v>1514.7122803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184.43724399999999</v>
      </c>
      <c r="B596" s="1">
        <f>DATE(2010,11,1) + TIME(10,29,37)</f>
        <v>40483.4372337963</v>
      </c>
      <c r="C596">
        <v>80</v>
      </c>
      <c r="D596">
        <v>79.798919678000004</v>
      </c>
      <c r="E596">
        <v>50</v>
      </c>
      <c r="F596">
        <v>39.846580504999999</v>
      </c>
      <c r="G596">
        <v>1243.8150635</v>
      </c>
      <c r="H596">
        <v>1212.1641846</v>
      </c>
      <c r="I596">
        <v>1571.1838379000001</v>
      </c>
      <c r="J596">
        <v>1513.8814697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184.47065000000001</v>
      </c>
      <c r="B597" s="1">
        <f>DATE(2010,11,1) + TIME(11,17,44)</f>
        <v>40483.470648148148</v>
      </c>
      <c r="C597">
        <v>80</v>
      </c>
      <c r="D597">
        <v>79.789459229000002</v>
      </c>
      <c r="E597">
        <v>50</v>
      </c>
      <c r="F597">
        <v>40.757938385000003</v>
      </c>
      <c r="G597">
        <v>1243.8104248</v>
      </c>
      <c r="H597">
        <v>1212.1575928</v>
      </c>
      <c r="I597">
        <v>1569.4090576000001</v>
      </c>
      <c r="J597">
        <v>1513.0405272999999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184.50730100000001</v>
      </c>
      <c r="B598" s="1">
        <f>DATE(2010,11,1) + TIME(12,10,30)</f>
        <v>40483.507291666669</v>
      </c>
      <c r="C598">
        <v>80</v>
      </c>
      <c r="D598">
        <v>79.779243468999994</v>
      </c>
      <c r="E598">
        <v>50</v>
      </c>
      <c r="F598">
        <v>41.661006927000003</v>
      </c>
      <c r="G598">
        <v>1243.8051757999999</v>
      </c>
      <c r="H598">
        <v>1212.1503906</v>
      </c>
      <c r="I598">
        <v>1567.6547852000001</v>
      </c>
      <c r="J598">
        <v>1512.1855469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184.547875</v>
      </c>
      <c r="B599" s="1">
        <f>DATE(2010,11,1) + TIME(13,8,56)</f>
        <v>40483.54787037037</v>
      </c>
      <c r="C599">
        <v>80</v>
      </c>
      <c r="D599">
        <v>79.768142699999999</v>
      </c>
      <c r="E599">
        <v>50</v>
      </c>
      <c r="F599">
        <v>42.554336548000002</v>
      </c>
      <c r="G599">
        <v>1243.7994385</v>
      </c>
      <c r="H599">
        <v>1212.1423339999999</v>
      </c>
      <c r="I599">
        <v>1565.9162598</v>
      </c>
      <c r="J599">
        <v>1511.3125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184.59326899999999</v>
      </c>
      <c r="B600" s="1">
        <f>DATE(2010,11,1) + TIME(14,14,18)</f>
        <v>40483.593263888892</v>
      </c>
      <c r="C600">
        <v>80</v>
      </c>
      <c r="D600">
        <v>79.755958557</v>
      </c>
      <c r="E600">
        <v>50</v>
      </c>
      <c r="F600">
        <v>43.436019897000001</v>
      </c>
      <c r="G600">
        <v>1243.7930908000001</v>
      </c>
      <c r="H600">
        <v>1212.1335449000001</v>
      </c>
      <c r="I600">
        <v>1564.1883545000001</v>
      </c>
      <c r="J600">
        <v>1510.4158935999999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184.63958299999999</v>
      </c>
      <c r="B601" s="1">
        <f>DATE(2010,11,1) + TIME(15,21,0)</f>
        <v>40483.63958333333</v>
      </c>
      <c r="C601">
        <v>80</v>
      </c>
      <c r="D601">
        <v>79.743614196999999</v>
      </c>
      <c r="E601">
        <v>50</v>
      </c>
      <c r="F601">
        <v>44.227447509999998</v>
      </c>
      <c r="G601">
        <v>1243.7858887</v>
      </c>
      <c r="H601">
        <v>1212.1239014</v>
      </c>
      <c r="I601">
        <v>1562.5738524999999</v>
      </c>
      <c r="J601">
        <v>1509.5279541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184.68623500000001</v>
      </c>
      <c r="B602" s="1">
        <f>DATE(2010,11,1) + TIME(16,28,10)</f>
        <v>40483.686226851853</v>
      </c>
      <c r="C602">
        <v>80</v>
      </c>
      <c r="D602">
        <v>79.731254578000005</v>
      </c>
      <c r="E602">
        <v>50</v>
      </c>
      <c r="F602">
        <v>44.928024292000003</v>
      </c>
      <c r="G602">
        <v>1243.7784423999999</v>
      </c>
      <c r="H602">
        <v>1212.1141356999999</v>
      </c>
      <c r="I602">
        <v>1561.1069336</v>
      </c>
      <c r="J602">
        <v>1508.6898193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184.733487</v>
      </c>
      <c r="B603" s="1">
        <f>DATE(2010,11,1) + TIME(17,36,13)</f>
        <v>40483.733483796299</v>
      </c>
      <c r="C603">
        <v>80</v>
      </c>
      <c r="D603">
        <v>79.718818665000001</v>
      </c>
      <c r="E603">
        <v>50</v>
      </c>
      <c r="F603">
        <v>45.550487517999997</v>
      </c>
      <c r="G603">
        <v>1243.7709961</v>
      </c>
      <c r="H603">
        <v>1212.1042480000001</v>
      </c>
      <c r="I603">
        <v>1559.7696533000001</v>
      </c>
      <c r="J603">
        <v>1507.9003906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184.781564</v>
      </c>
      <c r="B604" s="1">
        <f>DATE(2010,11,1) + TIME(18,45,27)</f>
        <v>40483.7815625</v>
      </c>
      <c r="C604">
        <v>80</v>
      </c>
      <c r="D604">
        <v>79.706237793</v>
      </c>
      <c r="E604">
        <v>50</v>
      </c>
      <c r="F604">
        <v>46.104732513000002</v>
      </c>
      <c r="G604">
        <v>1243.7634277</v>
      </c>
      <c r="H604">
        <v>1212.0942382999999</v>
      </c>
      <c r="I604">
        <v>1558.5408935999999</v>
      </c>
      <c r="J604">
        <v>1507.1512451000001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184.83067500000001</v>
      </c>
      <c r="B605" s="1">
        <f>DATE(2010,11,1) + TIME(19,56,10)</f>
        <v>40483.830671296295</v>
      </c>
      <c r="C605">
        <v>80</v>
      </c>
      <c r="D605">
        <v>79.693473815999994</v>
      </c>
      <c r="E605">
        <v>50</v>
      </c>
      <c r="F605">
        <v>46.598773956000002</v>
      </c>
      <c r="G605">
        <v>1243.7557373</v>
      </c>
      <c r="H605">
        <v>1212.0839844</v>
      </c>
      <c r="I605">
        <v>1557.4045410000001</v>
      </c>
      <c r="J605">
        <v>1506.4360352000001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184.881032</v>
      </c>
      <c r="B606" s="1">
        <f>DATE(2010,11,1) + TIME(21,8,41)</f>
        <v>40483.881030092591</v>
      </c>
      <c r="C606">
        <v>80</v>
      </c>
      <c r="D606">
        <v>79.680473328000005</v>
      </c>
      <c r="E606">
        <v>50</v>
      </c>
      <c r="F606">
        <v>47.039318084999998</v>
      </c>
      <c r="G606">
        <v>1243.7479248</v>
      </c>
      <c r="H606">
        <v>1212.0736084</v>
      </c>
      <c r="I606">
        <v>1556.3472899999999</v>
      </c>
      <c r="J606">
        <v>1505.7492675999999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184.93285399999999</v>
      </c>
      <c r="B607" s="1">
        <f>DATE(2010,11,1) + TIME(22,23,18)</f>
        <v>40483.932847222219</v>
      </c>
      <c r="C607">
        <v>80</v>
      </c>
      <c r="D607">
        <v>79.667190551999994</v>
      </c>
      <c r="E607">
        <v>50</v>
      </c>
      <c r="F607">
        <v>47.432033539000003</v>
      </c>
      <c r="G607">
        <v>1243.7398682</v>
      </c>
      <c r="H607">
        <v>1212.0629882999999</v>
      </c>
      <c r="I607">
        <v>1555.3577881000001</v>
      </c>
      <c r="J607">
        <v>1505.0864257999999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184.98637500000001</v>
      </c>
      <c r="B608" s="1">
        <f>DATE(2010,11,1) + TIME(23,40,22)</f>
        <v>40483.98636574074</v>
      </c>
      <c r="C608">
        <v>80</v>
      </c>
      <c r="D608">
        <v>79.653572083</v>
      </c>
      <c r="E608">
        <v>50</v>
      </c>
      <c r="F608">
        <v>47.781795502000001</v>
      </c>
      <c r="G608">
        <v>1243.7315673999999</v>
      </c>
      <c r="H608">
        <v>1212.0520019999999</v>
      </c>
      <c r="I608">
        <v>1554.4267577999999</v>
      </c>
      <c r="J608">
        <v>1504.4432373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185.041864</v>
      </c>
      <c r="B609" s="1">
        <f>DATE(2010,11,2) + TIME(1,0,17)</f>
        <v>40484.041863425926</v>
      </c>
      <c r="C609">
        <v>80</v>
      </c>
      <c r="D609">
        <v>79.639556885000005</v>
      </c>
      <c r="E609">
        <v>50</v>
      </c>
      <c r="F609">
        <v>48.092884064000003</v>
      </c>
      <c r="G609">
        <v>1243.7230225000001</v>
      </c>
      <c r="H609">
        <v>1212.0407714999999</v>
      </c>
      <c r="I609">
        <v>1553.5460204999999</v>
      </c>
      <c r="J609">
        <v>1503.8164062000001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185.09960699999999</v>
      </c>
      <c r="B610" s="1">
        <f>DATE(2010,11,2) + TIME(2,23,26)</f>
        <v>40484.099606481483</v>
      </c>
      <c r="C610">
        <v>80</v>
      </c>
      <c r="D610">
        <v>79.625083923000005</v>
      </c>
      <c r="E610">
        <v>50</v>
      </c>
      <c r="F610">
        <v>48.368995667</v>
      </c>
      <c r="G610">
        <v>1243.7141113</v>
      </c>
      <c r="H610">
        <v>1212.0290527</v>
      </c>
      <c r="I610">
        <v>1552.7082519999999</v>
      </c>
      <c r="J610">
        <v>1503.2022704999999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185.15991299999999</v>
      </c>
      <c r="B611" s="1">
        <f>DATE(2010,11,2) + TIME(3,50,16)</f>
        <v>40484.159907407404</v>
      </c>
      <c r="C611">
        <v>80</v>
      </c>
      <c r="D611">
        <v>79.610092163000004</v>
      </c>
      <c r="E611">
        <v>50</v>
      </c>
      <c r="F611">
        <v>48.613338470000002</v>
      </c>
      <c r="G611">
        <v>1243.7048339999999</v>
      </c>
      <c r="H611">
        <v>1212.0168457</v>
      </c>
      <c r="I611">
        <v>1551.9072266000001</v>
      </c>
      <c r="J611">
        <v>1502.5979004000001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185.22315699999999</v>
      </c>
      <c r="B612" s="1">
        <f>DATE(2010,11,2) + TIME(5,21,20)</f>
        <v>40484.22314814815</v>
      </c>
      <c r="C612">
        <v>80</v>
      </c>
      <c r="D612">
        <v>79.594497681000007</v>
      </c>
      <c r="E612">
        <v>50</v>
      </c>
      <c r="F612">
        <v>48.828842162999997</v>
      </c>
      <c r="G612">
        <v>1243.6951904</v>
      </c>
      <c r="H612">
        <v>1212.0040283000001</v>
      </c>
      <c r="I612">
        <v>1551.1373291</v>
      </c>
      <c r="J612">
        <v>1502.0006103999999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185.289771</v>
      </c>
      <c r="B613" s="1">
        <f>DATE(2010,11,2) + TIME(6,57,16)</f>
        <v>40484.289768518516</v>
      </c>
      <c r="C613">
        <v>80</v>
      </c>
      <c r="D613">
        <v>79.578208923000005</v>
      </c>
      <c r="E613">
        <v>50</v>
      </c>
      <c r="F613">
        <v>49.018138884999999</v>
      </c>
      <c r="G613">
        <v>1243.6849365</v>
      </c>
      <c r="H613">
        <v>1211.9907227000001</v>
      </c>
      <c r="I613">
        <v>1550.3929443</v>
      </c>
      <c r="J613">
        <v>1501.4072266000001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185.36026699999999</v>
      </c>
      <c r="B614" s="1">
        <f>DATE(2010,11,2) + TIME(8,38,47)</f>
        <v>40484.360266203701</v>
      </c>
      <c r="C614">
        <v>80</v>
      </c>
      <c r="D614">
        <v>79.561119079999997</v>
      </c>
      <c r="E614">
        <v>50</v>
      </c>
      <c r="F614">
        <v>49.183601379000002</v>
      </c>
      <c r="G614">
        <v>1243.6741943</v>
      </c>
      <c r="H614">
        <v>1211.9766846</v>
      </c>
      <c r="I614">
        <v>1549.6690673999999</v>
      </c>
      <c r="J614">
        <v>1500.8150635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185.43525600000001</v>
      </c>
      <c r="B615" s="1">
        <f>DATE(2010,11,2) + TIME(10,26,46)</f>
        <v>40484.435254629629</v>
      </c>
      <c r="C615">
        <v>80</v>
      </c>
      <c r="D615">
        <v>79.543113708000007</v>
      </c>
      <c r="E615">
        <v>50</v>
      </c>
      <c r="F615">
        <v>49.327392578000001</v>
      </c>
      <c r="G615">
        <v>1243.6628418</v>
      </c>
      <c r="H615">
        <v>1211.9617920000001</v>
      </c>
      <c r="I615">
        <v>1548.9606934000001</v>
      </c>
      <c r="J615">
        <v>1500.2209473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185.51505499999999</v>
      </c>
      <c r="B616" s="1">
        <f>DATE(2010,11,2) + TIME(12,21,40)</f>
        <v>40484.515046296299</v>
      </c>
      <c r="C616">
        <v>80</v>
      </c>
      <c r="D616">
        <v>79.524116516000007</v>
      </c>
      <c r="E616">
        <v>50</v>
      </c>
      <c r="F616">
        <v>49.450958252</v>
      </c>
      <c r="G616">
        <v>1243.6507568</v>
      </c>
      <c r="H616">
        <v>1211.9459228999999</v>
      </c>
      <c r="I616">
        <v>1548.2636719</v>
      </c>
      <c r="J616">
        <v>1499.6221923999999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185.59990500000001</v>
      </c>
      <c r="B617" s="1">
        <f>DATE(2010,11,2) + TIME(14,23,51)</f>
        <v>40484.599895833337</v>
      </c>
      <c r="C617">
        <v>80</v>
      </c>
      <c r="D617">
        <v>79.504081725999995</v>
      </c>
      <c r="E617">
        <v>50</v>
      </c>
      <c r="F617">
        <v>49.555797577</v>
      </c>
      <c r="G617">
        <v>1243.6378173999999</v>
      </c>
      <c r="H617">
        <v>1211.9290771000001</v>
      </c>
      <c r="I617">
        <v>1547.5762939000001</v>
      </c>
      <c r="J617">
        <v>1499.0183105000001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185.69066599999999</v>
      </c>
      <c r="B618" s="1">
        <f>DATE(2010,11,2) + TIME(16,34,33)</f>
        <v>40484.690659722219</v>
      </c>
      <c r="C618">
        <v>80</v>
      </c>
      <c r="D618">
        <v>79.482849121000001</v>
      </c>
      <c r="E618">
        <v>50</v>
      </c>
      <c r="F618">
        <v>49.644058227999999</v>
      </c>
      <c r="G618">
        <v>1243.6241454999999</v>
      </c>
      <c r="H618">
        <v>1211.9112548999999</v>
      </c>
      <c r="I618">
        <v>1546.8967285000001</v>
      </c>
      <c r="J618">
        <v>1498.4093018000001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185.788059</v>
      </c>
      <c r="B619" s="1">
        <f>DATE(2010,11,2) + TIME(18,54,48)</f>
        <v>40484.788055555553</v>
      </c>
      <c r="C619">
        <v>80</v>
      </c>
      <c r="D619">
        <v>79.460266113000003</v>
      </c>
      <c r="E619">
        <v>50</v>
      </c>
      <c r="F619">
        <v>49.717479705999999</v>
      </c>
      <c r="G619">
        <v>1243.609375</v>
      </c>
      <c r="H619">
        <v>1211.8920897999999</v>
      </c>
      <c r="I619">
        <v>1546.2202147999999</v>
      </c>
      <c r="J619">
        <v>1497.7918701000001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185.888901</v>
      </c>
      <c r="B620" s="1">
        <f>DATE(2010,11,2) + TIME(21,20,1)</f>
        <v>40484.88890046296</v>
      </c>
      <c r="C620">
        <v>80</v>
      </c>
      <c r="D620">
        <v>79.436882018999995</v>
      </c>
      <c r="E620">
        <v>50</v>
      </c>
      <c r="F620">
        <v>49.775970459</v>
      </c>
      <c r="G620">
        <v>1243.5936279</v>
      </c>
      <c r="H620">
        <v>1211.8717041</v>
      </c>
      <c r="I620">
        <v>1545.5451660000001</v>
      </c>
      <c r="J620">
        <v>1497.1645507999999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185.990038</v>
      </c>
      <c r="B621" s="1">
        <f>DATE(2010,11,2) + TIME(23,45,39)</f>
        <v>40484.990034722221</v>
      </c>
      <c r="C621">
        <v>80</v>
      </c>
      <c r="D621">
        <v>79.413269043</v>
      </c>
      <c r="E621">
        <v>50</v>
      </c>
      <c r="F621">
        <v>49.821094512999998</v>
      </c>
      <c r="G621">
        <v>1243.5771483999999</v>
      </c>
      <c r="H621">
        <v>1211.8507079999999</v>
      </c>
      <c r="I621">
        <v>1544.8918457</v>
      </c>
      <c r="J621">
        <v>1496.5484618999999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186.09202199999999</v>
      </c>
      <c r="B622" s="1">
        <f>DATE(2010,11,3) + TIME(2,12,30)</f>
        <v>40485.092013888891</v>
      </c>
      <c r="C622">
        <v>80</v>
      </c>
      <c r="D622">
        <v>79.389389038000004</v>
      </c>
      <c r="E622">
        <v>50</v>
      </c>
      <c r="F622">
        <v>49.856056213000002</v>
      </c>
      <c r="G622">
        <v>1243.5605469</v>
      </c>
      <c r="H622">
        <v>1211.8295897999999</v>
      </c>
      <c r="I622">
        <v>1544.2749022999999</v>
      </c>
      <c r="J622">
        <v>1495.9609375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186.19533200000001</v>
      </c>
      <c r="B623" s="1">
        <f>DATE(2010,11,3) + TIME(4,41,16)</f>
        <v>40485.195324074077</v>
      </c>
      <c r="C623">
        <v>80</v>
      </c>
      <c r="D623">
        <v>79.365203856999997</v>
      </c>
      <c r="E623">
        <v>50</v>
      </c>
      <c r="F623">
        <v>49.883197783999996</v>
      </c>
      <c r="G623">
        <v>1243.5438231999999</v>
      </c>
      <c r="H623">
        <v>1211.8081055</v>
      </c>
      <c r="I623">
        <v>1543.6868896000001</v>
      </c>
      <c r="J623">
        <v>1495.3963623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186.30042700000001</v>
      </c>
      <c r="B624" s="1">
        <f>DATE(2010,11,3) + TIME(7,12,36)</f>
        <v>40485.300416666665</v>
      </c>
      <c r="C624">
        <v>80</v>
      </c>
      <c r="D624">
        <v>79.340652465999995</v>
      </c>
      <c r="E624">
        <v>50</v>
      </c>
      <c r="F624">
        <v>49.904296875</v>
      </c>
      <c r="G624">
        <v>1243.5269774999999</v>
      </c>
      <c r="H624">
        <v>1211.786499</v>
      </c>
      <c r="I624">
        <v>1543.1221923999999</v>
      </c>
      <c r="J624">
        <v>1494.8504639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186.40777299999999</v>
      </c>
      <c r="B625" s="1">
        <f>DATE(2010,11,3) + TIME(9,47,11)</f>
        <v>40485.407766203702</v>
      </c>
      <c r="C625">
        <v>80</v>
      </c>
      <c r="D625">
        <v>79.315658568999993</v>
      </c>
      <c r="E625">
        <v>50</v>
      </c>
      <c r="F625">
        <v>49.920696259000003</v>
      </c>
      <c r="G625">
        <v>1243.5097656</v>
      </c>
      <c r="H625">
        <v>1211.7644043</v>
      </c>
      <c r="I625">
        <v>1542.5760498</v>
      </c>
      <c r="J625">
        <v>1494.3194579999999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186.517888</v>
      </c>
      <c r="B626" s="1">
        <f>DATE(2010,11,3) + TIME(12,25,45)</f>
        <v>40485.517881944441</v>
      </c>
      <c r="C626">
        <v>80</v>
      </c>
      <c r="D626">
        <v>79.290138244999994</v>
      </c>
      <c r="E626">
        <v>50</v>
      </c>
      <c r="F626">
        <v>49.933437347000002</v>
      </c>
      <c r="G626">
        <v>1243.4921875</v>
      </c>
      <c r="H626">
        <v>1211.7418213000001</v>
      </c>
      <c r="I626">
        <v>1542.0445557</v>
      </c>
      <c r="J626">
        <v>1493.800293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186.631305</v>
      </c>
      <c r="B627" s="1">
        <f>DATE(2010,11,3) + TIME(15,9,4)</f>
        <v>40485.631296296298</v>
      </c>
      <c r="C627">
        <v>80</v>
      </c>
      <c r="D627">
        <v>79.263999939000001</v>
      </c>
      <c r="E627">
        <v>50</v>
      </c>
      <c r="F627">
        <v>49.943321228000002</v>
      </c>
      <c r="G627">
        <v>1243.4741211</v>
      </c>
      <c r="H627">
        <v>1211.71875</v>
      </c>
      <c r="I627">
        <v>1541.5239257999999</v>
      </c>
      <c r="J627">
        <v>1493.2899170000001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186.748604</v>
      </c>
      <c r="B628" s="1">
        <f>DATE(2010,11,3) + TIME(17,57,59)</f>
        <v>40485.748599537037</v>
      </c>
      <c r="C628">
        <v>80</v>
      </c>
      <c r="D628">
        <v>79.237136840999995</v>
      </c>
      <c r="E628">
        <v>50</v>
      </c>
      <c r="F628">
        <v>49.950969696000001</v>
      </c>
      <c r="G628">
        <v>1243.4555664</v>
      </c>
      <c r="H628">
        <v>1211.6949463000001</v>
      </c>
      <c r="I628">
        <v>1541.0112305</v>
      </c>
      <c r="J628">
        <v>1492.7858887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186.87043499999999</v>
      </c>
      <c r="B629" s="1">
        <f>DATE(2010,11,3) + TIME(20,53,25)</f>
        <v>40485.870428240742</v>
      </c>
      <c r="C629">
        <v>80</v>
      </c>
      <c r="D629">
        <v>79.209426879999995</v>
      </c>
      <c r="E629">
        <v>50</v>
      </c>
      <c r="F629">
        <v>49.956874847000002</v>
      </c>
      <c r="G629">
        <v>1243.4364014</v>
      </c>
      <c r="H629">
        <v>1211.6702881000001</v>
      </c>
      <c r="I629">
        <v>1540.5037841999999</v>
      </c>
      <c r="J629">
        <v>1492.2856445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186.99753799999999</v>
      </c>
      <c r="B630" s="1">
        <f>DATE(2010,11,3) + TIME(23,56,27)</f>
        <v>40485.997534722221</v>
      </c>
      <c r="C630">
        <v>80</v>
      </c>
      <c r="D630">
        <v>79.180732727000006</v>
      </c>
      <c r="E630">
        <v>50</v>
      </c>
      <c r="F630">
        <v>49.961414337000001</v>
      </c>
      <c r="G630">
        <v>1243.4163818</v>
      </c>
      <c r="H630">
        <v>1211.6446533000001</v>
      </c>
      <c r="I630">
        <v>1539.9989014</v>
      </c>
      <c r="J630">
        <v>1491.7871094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187.130773</v>
      </c>
      <c r="B631" s="1">
        <f>DATE(2010,11,4) + TIME(3,8,18)</f>
        <v>40486.13076388889</v>
      </c>
      <c r="C631">
        <v>80</v>
      </c>
      <c r="D631">
        <v>79.150894164999997</v>
      </c>
      <c r="E631">
        <v>50</v>
      </c>
      <c r="F631">
        <v>49.964889526</v>
      </c>
      <c r="G631">
        <v>1243.3956298999999</v>
      </c>
      <c r="H631">
        <v>1211.6180420000001</v>
      </c>
      <c r="I631">
        <v>1539.4941406</v>
      </c>
      <c r="J631">
        <v>1491.2878418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187.27110500000001</v>
      </c>
      <c r="B632" s="1">
        <f>DATE(2010,11,4) + TIME(6,30,23)</f>
        <v>40486.271099537036</v>
      </c>
      <c r="C632">
        <v>80</v>
      </c>
      <c r="D632">
        <v>79.119735718000001</v>
      </c>
      <c r="E632">
        <v>50</v>
      </c>
      <c r="F632">
        <v>49.967540741000001</v>
      </c>
      <c r="G632">
        <v>1243.3737793</v>
      </c>
      <c r="H632">
        <v>1211.5900879000001</v>
      </c>
      <c r="I632">
        <v>1538.9869385</v>
      </c>
      <c r="J632">
        <v>1490.7857666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187.41935899999999</v>
      </c>
      <c r="B633" s="1">
        <f>DATE(2010,11,4) + TIME(10,3,52)</f>
        <v>40486.419351851851</v>
      </c>
      <c r="C633">
        <v>80</v>
      </c>
      <c r="D633">
        <v>79.087081909000005</v>
      </c>
      <c r="E633">
        <v>50</v>
      </c>
      <c r="F633">
        <v>49.969554901000002</v>
      </c>
      <c r="G633">
        <v>1243.3508300999999</v>
      </c>
      <c r="H633">
        <v>1211.5606689000001</v>
      </c>
      <c r="I633">
        <v>1538.4748535000001</v>
      </c>
      <c r="J633">
        <v>1490.2783202999999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187.57587799999999</v>
      </c>
      <c r="B634" s="1">
        <f>DATE(2010,11,4) + TIME(13,49,15)</f>
        <v>40486.575868055559</v>
      </c>
      <c r="C634">
        <v>80</v>
      </c>
      <c r="D634">
        <v>79.052848815999994</v>
      </c>
      <c r="E634">
        <v>50</v>
      </c>
      <c r="F634">
        <v>49.971065521</v>
      </c>
      <c r="G634">
        <v>1243.3264160000001</v>
      </c>
      <c r="H634">
        <v>1211.5295410000001</v>
      </c>
      <c r="I634">
        <v>1537.9564209</v>
      </c>
      <c r="J634">
        <v>1489.7642822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187.73866200000001</v>
      </c>
      <c r="B635" s="1">
        <f>DATE(2010,11,4) + TIME(17,43,40)</f>
        <v>40486.738657407404</v>
      </c>
      <c r="C635">
        <v>80</v>
      </c>
      <c r="D635">
        <v>79.017288207999997</v>
      </c>
      <c r="E635">
        <v>50</v>
      </c>
      <c r="F635">
        <v>49.972183227999999</v>
      </c>
      <c r="G635">
        <v>1243.3007812000001</v>
      </c>
      <c r="H635">
        <v>1211.4968262</v>
      </c>
      <c r="I635">
        <v>1537.4321289</v>
      </c>
      <c r="J635">
        <v>1489.2441406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187.90150800000001</v>
      </c>
      <c r="B636" s="1">
        <f>DATE(2010,11,4) + TIME(21,38,10)</f>
        <v>40486.901504629626</v>
      </c>
      <c r="C636">
        <v>80</v>
      </c>
      <c r="D636">
        <v>78.981315613000007</v>
      </c>
      <c r="E636">
        <v>50</v>
      </c>
      <c r="F636">
        <v>49.972988129000001</v>
      </c>
      <c r="G636">
        <v>1243.2738036999999</v>
      </c>
      <c r="H636">
        <v>1211.4630127</v>
      </c>
      <c r="I636">
        <v>1536.9095459</v>
      </c>
      <c r="J636">
        <v>1488.7257079999999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188.06528700000001</v>
      </c>
      <c r="B637" s="1">
        <f>DATE(2010,11,5) + TIME(1,34,0)</f>
        <v>40487.06527777778</v>
      </c>
      <c r="C637">
        <v>80</v>
      </c>
      <c r="D637">
        <v>78.944999695000007</v>
      </c>
      <c r="E637">
        <v>50</v>
      </c>
      <c r="F637">
        <v>49.973571776999997</v>
      </c>
      <c r="G637">
        <v>1243.2469481999999</v>
      </c>
      <c r="H637">
        <v>1211.4289550999999</v>
      </c>
      <c r="I637">
        <v>1536.4084473</v>
      </c>
      <c r="J637">
        <v>1488.2282714999999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188.23083199999999</v>
      </c>
      <c r="B638" s="1">
        <f>DATE(2010,11,5) + TIME(5,32,23)</f>
        <v>40487.230821759258</v>
      </c>
      <c r="C638">
        <v>80</v>
      </c>
      <c r="D638">
        <v>78.908294678000004</v>
      </c>
      <c r="E638">
        <v>50</v>
      </c>
      <c r="F638">
        <v>49.974010468000003</v>
      </c>
      <c r="G638">
        <v>1243.2198486</v>
      </c>
      <c r="H638">
        <v>1211.3946533000001</v>
      </c>
      <c r="I638">
        <v>1535.9244385</v>
      </c>
      <c r="J638">
        <v>1487.7480469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188.39891700000001</v>
      </c>
      <c r="B639" s="1">
        <f>DATE(2010,11,5) + TIME(9,34,26)</f>
        <v>40487.398912037039</v>
      </c>
      <c r="C639">
        <v>80</v>
      </c>
      <c r="D639">
        <v>78.871131896999998</v>
      </c>
      <c r="E639">
        <v>50</v>
      </c>
      <c r="F639">
        <v>49.974338531000001</v>
      </c>
      <c r="G639">
        <v>1243.1925048999999</v>
      </c>
      <c r="H639">
        <v>1211.3599853999999</v>
      </c>
      <c r="I639">
        <v>1535.4542236</v>
      </c>
      <c r="J639">
        <v>1487.2811279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188.570381</v>
      </c>
      <c r="B640" s="1">
        <f>DATE(2010,11,5) + TIME(13,41,20)</f>
        <v>40487.570370370369</v>
      </c>
      <c r="C640">
        <v>80</v>
      </c>
      <c r="D640">
        <v>78.833404540999993</v>
      </c>
      <c r="E640">
        <v>50</v>
      </c>
      <c r="F640">
        <v>49.974590302000003</v>
      </c>
      <c r="G640">
        <v>1243.1646728999999</v>
      </c>
      <c r="H640">
        <v>1211.324707</v>
      </c>
      <c r="I640">
        <v>1534.9945068</v>
      </c>
      <c r="J640">
        <v>1486.8249512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188.74606199999999</v>
      </c>
      <c r="B641" s="1">
        <f>DATE(2010,11,5) + TIME(17,54,19)</f>
        <v>40487.746053240742</v>
      </c>
      <c r="C641">
        <v>80</v>
      </c>
      <c r="D641">
        <v>78.794982910000002</v>
      </c>
      <c r="E641">
        <v>50</v>
      </c>
      <c r="F641">
        <v>49.974784851000003</v>
      </c>
      <c r="G641">
        <v>1243.1363524999999</v>
      </c>
      <c r="H641">
        <v>1211.2886963000001</v>
      </c>
      <c r="I641">
        <v>1534.5428466999999</v>
      </c>
      <c r="J641">
        <v>1486.3765868999999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188.92685900000001</v>
      </c>
      <c r="B642" s="1">
        <f>DATE(2010,11,5) + TIME(22,14,40)</f>
        <v>40487.926851851851</v>
      </c>
      <c r="C642">
        <v>80</v>
      </c>
      <c r="D642">
        <v>78.755706786999994</v>
      </c>
      <c r="E642">
        <v>50</v>
      </c>
      <c r="F642">
        <v>49.974941254000001</v>
      </c>
      <c r="G642">
        <v>1243.1072998</v>
      </c>
      <c r="H642">
        <v>1211.2518310999999</v>
      </c>
      <c r="I642">
        <v>1534.0966797000001</v>
      </c>
      <c r="J642">
        <v>1485.9337158000001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189.113756</v>
      </c>
      <c r="B643" s="1">
        <f>DATE(2010,11,6) + TIME(2,43,48)</f>
        <v>40488.113749999997</v>
      </c>
      <c r="C643">
        <v>80</v>
      </c>
      <c r="D643">
        <v>78.715408324999999</v>
      </c>
      <c r="E643">
        <v>50</v>
      </c>
      <c r="F643">
        <v>49.975063323999997</v>
      </c>
      <c r="G643">
        <v>1243.0772704999999</v>
      </c>
      <c r="H643">
        <v>1211.2138672000001</v>
      </c>
      <c r="I643">
        <v>1533.6539307</v>
      </c>
      <c r="J643">
        <v>1485.4943848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189.30786499999999</v>
      </c>
      <c r="B644" s="1">
        <f>DATE(2010,11,6) + TIME(7,23,19)</f>
        <v>40488.307858796295</v>
      </c>
      <c r="C644">
        <v>80</v>
      </c>
      <c r="D644">
        <v>78.673881531000006</v>
      </c>
      <c r="E644">
        <v>50</v>
      </c>
      <c r="F644">
        <v>49.975166321000003</v>
      </c>
      <c r="G644">
        <v>1243.0463867000001</v>
      </c>
      <c r="H644">
        <v>1211.1745605000001</v>
      </c>
      <c r="I644">
        <v>1533.2124022999999</v>
      </c>
      <c r="J644">
        <v>1485.0562743999999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189.51038500000001</v>
      </c>
      <c r="B645" s="1">
        <f>DATE(2010,11,6) + TIME(12,14,57)</f>
        <v>40488.510381944441</v>
      </c>
      <c r="C645">
        <v>80</v>
      </c>
      <c r="D645">
        <v>78.630905150999993</v>
      </c>
      <c r="E645">
        <v>50</v>
      </c>
      <c r="F645">
        <v>49.975246429000002</v>
      </c>
      <c r="G645">
        <v>1243.0141602000001</v>
      </c>
      <c r="H645">
        <v>1211.1337891000001</v>
      </c>
      <c r="I645">
        <v>1532.7701416</v>
      </c>
      <c r="J645">
        <v>1484.6173096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189.72225800000001</v>
      </c>
      <c r="B646" s="1">
        <f>DATE(2010,11,6) + TIME(17,20,3)</f>
        <v>40488.722256944442</v>
      </c>
      <c r="C646">
        <v>80</v>
      </c>
      <c r="D646">
        <v>78.586296082000004</v>
      </c>
      <c r="E646">
        <v>50</v>
      </c>
      <c r="F646">
        <v>49.975318909000002</v>
      </c>
      <c r="G646">
        <v>1242.9805908000001</v>
      </c>
      <c r="H646">
        <v>1211.0913086</v>
      </c>
      <c r="I646">
        <v>1532.3251952999999</v>
      </c>
      <c r="J646">
        <v>1484.1756591999999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189.94387499999999</v>
      </c>
      <c r="B647" s="1">
        <f>DATE(2010,11,6) + TIME(22,39,10)</f>
        <v>40488.943865740737</v>
      </c>
      <c r="C647">
        <v>80</v>
      </c>
      <c r="D647">
        <v>78.539924622000001</v>
      </c>
      <c r="E647">
        <v>50</v>
      </c>
      <c r="F647">
        <v>49.975376128999997</v>
      </c>
      <c r="G647">
        <v>1242.9453125</v>
      </c>
      <c r="H647">
        <v>1211.046875</v>
      </c>
      <c r="I647">
        <v>1531.8762207</v>
      </c>
      <c r="J647">
        <v>1483.7302245999999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190.16984400000001</v>
      </c>
      <c r="B648" s="1">
        <f>DATE(2010,11,7) + TIME(4,4,34)</f>
        <v>40489.16983796296</v>
      </c>
      <c r="C648">
        <v>80</v>
      </c>
      <c r="D648">
        <v>78.492401122999993</v>
      </c>
      <c r="E648">
        <v>50</v>
      </c>
      <c r="F648">
        <v>49.975421906000001</v>
      </c>
      <c r="G648">
        <v>1242.9084473</v>
      </c>
      <c r="H648">
        <v>1211.0004882999999</v>
      </c>
      <c r="I648">
        <v>1531.4234618999999</v>
      </c>
      <c r="J648">
        <v>1483.2808838000001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190.396354</v>
      </c>
      <c r="B649" s="1">
        <f>DATE(2010,11,7) + TIME(9,30,45)</f>
        <v>40489.396354166667</v>
      </c>
      <c r="C649">
        <v>80</v>
      </c>
      <c r="D649">
        <v>78.444358825999998</v>
      </c>
      <c r="E649">
        <v>50</v>
      </c>
      <c r="F649">
        <v>49.975460052000003</v>
      </c>
      <c r="G649">
        <v>1242.8707274999999</v>
      </c>
      <c r="H649">
        <v>1210.953125</v>
      </c>
      <c r="I649">
        <v>1530.9782714999999</v>
      </c>
      <c r="J649">
        <v>1482.8393555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190.62457599999999</v>
      </c>
      <c r="B650" s="1">
        <f>DATE(2010,11,7) + TIME(14,59,23)</f>
        <v>40489.624571759261</v>
      </c>
      <c r="C650">
        <v>80</v>
      </c>
      <c r="D650">
        <v>78.395896911999998</v>
      </c>
      <c r="E650">
        <v>50</v>
      </c>
      <c r="F650">
        <v>49.975494384999998</v>
      </c>
      <c r="G650">
        <v>1242.8330077999999</v>
      </c>
      <c r="H650">
        <v>1210.9056396000001</v>
      </c>
      <c r="I650">
        <v>1530.5478516000001</v>
      </c>
      <c r="J650">
        <v>1482.4122314000001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190.85562400000001</v>
      </c>
      <c r="B651" s="1">
        <f>DATE(2010,11,7) + TIME(20,32,5)</f>
        <v>40489.855613425927</v>
      </c>
      <c r="C651">
        <v>80</v>
      </c>
      <c r="D651">
        <v>78.346961974999999</v>
      </c>
      <c r="E651">
        <v>50</v>
      </c>
      <c r="F651">
        <v>49.975524901999997</v>
      </c>
      <c r="G651">
        <v>1242.7949219</v>
      </c>
      <c r="H651">
        <v>1210.8576660000001</v>
      </c>
      <c r="I651">
        <v>1530.1290283000001</v>
      </c>
      <c r="J651">
        <v>1481.9967041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191.09066200000001</v>
      </c>
      <c r="B652" s="1">
        <f>DATE(2010,11,8) + TIME(2,10,33)</f>
        <v>40490.09065972222</v>
      </c>
      <c r="C652">
        <v>80</v>
      </c>
      <c r="D652">
        <v>78.297447204999997</v>
      </c>
      <c r="E652">
        <v>50</v>
      </c>
      <c r="F652">
        <v>49.975547790999997</v>
      </c>
      <c r="G652">
        <v>1242.7563477000001</v>
      </c>
      <c r="H652">
        <v>1210.809082</v>
      </c>
      <c r="I652">
        <v>1529.7192382999999</v>
      </c>
      <c r="J652">
        <v>1481.5902100000001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191.33085399999999</v>
      </c>
      <c r="B653" s="1">
        <f>DATE(2010,11,8) + TIME(7,56,25)</f>
        <v>40490.33084490741</v>
      </c>
      <c r="C653">
        <v>80</v>
      </c>
      <c r="D653">
        <v>78.247169494999994</v>
      </c>
      <c r="E653">
        <v>50</v>
      </c>
      <c r="F653">
        <v>49.975570679</v>
      </c>
      <c r="G653">
        <v>1242.7170410000001</v>
      </c>
      <c r="H653">
        <v>1210.7596435999999</v>
      </c>
      <c r="I653">
        <v>1529.3160399999999</v>
      </c>
      <c r="J653">
        <v>1481.1903076000001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191.57743500000001</v>
      </c>
      <c r="B654" s="1">
        <f>DATE(2010,11,8) + TIME(13,51,30)</f>
        <v>40490.577430555553</v>
      </c>
      <c r="C654">
        <v>80</v>
      </c>
      <c r="D654">
        <v>78.195930481000005</v>
      </c>
      <c r="E654">
        <v>50</v>
      </c>
      <c r="F654">
        <v>49.975593566999997</v>
      </c>
      <c r="G654">
        <v>1242.6770019999999</v>
      </c>
      <c r="H654">
        <v>1210.7092285000001</v>
      </c>
      <c r="I654">
        <v>1528.9174805</v>
      </c>
      <c r="J654">
        <v>1480.7949219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191.83175399999999</v>
      </c>
      <c r="B655" s="1">
        <f>DATE(2010,11,8) + TIME(19,57,43)</f>
        <v>40490.831747685188</v>
      </c>
      <c r="C655">
        <v>80</v>
      </c>
      <c r="D655">
        <v>78.143501282000003</v>
      </c>
      <c r="E655">
        <v>50</v>
      </c>
      <c r="F655">
        <v>49.975612640000001</v>
      </c>
      <c r="G655">
        <v>1242.6357422000001</v>
      </c>
      <c r="H655">
        <v>1210.6573486</v>
      </c>
      <c r="I655">
        <v>1528.5214844</v>
      </c>
      <c r="J655">
        <v>1480.4020995999999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192.09532400000001</v>
      </c>
      <c r="B656" s="1">
        <f>DATE(2010,11,9) + TIME(2,17,15)</f>
        <v>40491.095312500001</v>
      </c>
      <c r="C656">
        <v>80</v>
      </c>
      <c r="D656">
        <v>78.089614867999998</v>
      </c>
      <c r="E656">
        <v>50</v>
      </c>
      <c r="F656">
        <v>49.975631714000002</v>
      </c>
      <c r="G656">
        <v>1242.5932617000001</v>
      </c>
      <c r="H656">
        <v>1210.6038818</v>
      </c>
      <c r="I656">
        <v>1528.1263428</v>
      </c>
      <c r="J656">
        <v>1480.0101318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192.36972700000001</v>
      </c>
      <c r="B657" s="1">
        <f>DATE(2010,11,9) + TIME(8,52,24)</f>
        <v>40491.369722222225</v>
      </c>
      <c r="C657">
        <v>80</v>
      </c>
      <c r="D657">
        <v>78.033996582</v>
      </c>
      <c r="E657">
        <v>50</v>
      </c>
      <c r="F657">
        <v>49.975646973000003</v>
      </c>
      <c r="G657">
        <v>1242.5491943</v>
      </c>
      <c r="H657">
        <v>1210.5484618999999</v>
      </c>
      <c r="I657">
        <v>1527.7299805</v>
      </c>
      <c r="J657">
        <v>1479.6170654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192.65479999999999</v>
      </c>
      <c r="B658" s="1">
        <f>DATE(2010,11,9) + TIME(15,42,54)</f>
        <v>40491.654791666668</v>
      </c>
      <c r="C658">
        <v>80</v>
      </c>
      <c r="D658">
        <v>77.976524353000002</v>
      </c>
      <c r="E658">
        <v>50</v>
      </c>
      <c r="F658">
        <v>49.975666046000001</v>
      </c>
      <c r="G658">
        <v>1242.5032959</v>
      </c>
      <c r="H658">
        <v>1210.4907227000001</v>
      </c>
      <c r="I658">
        <v>1527.3308105000001</v>
      </c>
      <c r="J658">
        <v>1479.2211914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192.803337</v>
      </c>
      <c r="B659" s="1">
        <f>DATE(2010,11,9) + TIME(19,16,48)</f>
        <v>40491.803333333337</v>
      </c>
      <c r="C659">
        <v>80</v>
      </c>
      <c r="D659">
        <v>77.937530518000003</v>
      </c>
      <c r="E659">
        <v>50</v>
      </c>
      <c r="F659">
        <v>49.975658416999998</v>
      </c>
      <c r="G659">
        <v>1242.4548339999999</v>
      </c>
      <c r="H659">
        <v>1210.4357910000001</v>
      </c>
      <c r="I659">
        <v>1526.9288329999999</v>
      </c>
      <c r="J659">
        <v>1478.8225098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192.951874</v>
      </c>
      <c r="B660" s="1">
        <f>DATE(2010,11,9) + TIME(22,50,41)</f>
        <v>40491.951863425929</v>
      </c>
      <c r="C660">
        <v>80</v>
      </c>
      <c r="D660">
        <v>77.901123046999999</v>
      </c>
      <c r="E660">
        <v>50</v>
      </c>
      <c r="F660">
        <v>49.975669861</v>
      </c>
      <c r="G660">
        <v>1242.4290771000001</v>
      </c>
      <c r="H660">
        <v>1210.4020995999999</v>
      </c>
      <c r="I660">
        <v>1526.7225341999999</v>
      </c>
      <c r="J660">
        <v>1478.6177978999999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193.24894900000001</v>
      </c>
      <c r="B661" s="1">
        <f>DATE(2010,11,10) + TIME(5,58,29)</f>
        <v>40492.24894675926</v>
      </c>
      <c r="C661">
        <v>80</v>
      </c>
      <c r="D661">
        <v>77.848304748999993</v>
      </c>
      <c r="E661">
        <v>50</v>
      </c>
      <c r="F661">
        <v>49.975704192999999</v>
      </c>
      <c r="G661">
        <v>1242.4055175999999</v>
      </c>
      <c r="H661">
        <v>1210.3659668</v>
      </c>
      <c r="I661">
        <v>1526.5247803</v>
      </c>
      <c r="J661">
        <v>1478.4217529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193.54629499999999</v>
      </c>
      <c r="B662" s="1">
        <f>DATE(2010,11,10) + TIME(13,6,39)</f>
        <v>40492.546284722222</v>
      </c>
      <c r="C662">
        <v>80</v>
      </c>
      <c r="D662">
        <v>77.791534424000005</v>
      </c>
      <c r="E662">
        <v>50</v>
      </c>
      <c r="F662">
        <v>49.975715637</v>
      </c>
      <c r="G662">
        <v>1242.3562012</v>
      </c>
      <c r="H662">
        <v>1210.3052978999999</v>
      </c>
      <c r="I662">
        <v>1526.1356201000001</v>
      </c>
      <c r="J662">
        <v>1478.0357666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193.84649200000001</v>
      </c>
      <c r="B663" s="1">
        <f>DATE(2010,11,10) + TIME(20,18,56)</f>
        <v>40492.84648148148</v>
      </c>
      <c r="C663">
        <v>80</v>
      </c>
      <c r="D663">
        <v>77.732521057</v>
      </c>
      <c r="E663">
        <v>50</v>
      </c>
      <c r="F663">
        <v>49.975730896000002</v>
      </c>
      <c r="G663">
        <v>1242.3061522999999</v>
      </c>
      <c r="H663">
        <v>1210.2432861</v>
      </c>
      <c r="I663">
        <v>1525.7569579999999</v>
      </c>
      <c r="J663">
        <v>1477.6602783000001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194.15106299999999</v>
      </c>
      <c r="B664" s="1">
        <f>DATE(2010,11,11) + TIME(3,37,31)</f>
        <v>40493.151053240741</v>
      </c>
      <c r="C664">
        <v>80</v>
      </c>
      <c r="D664">
        <v>77.671997070000003</v>
      </c>
      <c r="E664">
        <v>50</v>
      </c>
      <c r="F664">
        <v>49.975742339999996</v>
      </c>
      <c r="G664">
        <v>1242.2557373</v>
      </c>
      <c r="H664">
        <v>1210.1804199000001</v>
      </c>
      <c r="I664">
        <v>1525.3865966999999</v>
      </c>
      <c r="J664">
        <v>1477.2929687999999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194.46151399999999</v>
      </c>
      <c r="B665" s="1">
        <f>DATE(2010,11,11) + TIME(11,4,34)</f>
        <v>40493.461504629631</v>
      </c>
      <c r="C665">
        <v>80</v>
      </c>
      <c r="D665">
        <v>77.610214232999994</v>
      </c>
      <c r="E665">
        <v>50</v>
      </c>
      <c r="F665">
        <v>49.975757598999998</v>
      </c>
      <c r="G665">
        <v>1242.2045897999999</v>
      </c>
      <c r="H665">
        <v>1210.1164550999999</v>
      </c>
      <c r="I665">
        <v>1525.0224608999999</v>
      </c>
      <c r="J665">
        <v>1476.9318848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194.779427</v>
      </c>
      <c r="B666" s="1">
        <f>DATE(2010,11,11) + TIME(18,42,22)</f>
        <v>40493.779421296298</v>
      </c>
      <c r="C666">
        <v>80</v>
      </c>
      <c r="D666">
        <v>77.547164917000003</v>
      </c>
      <c r="E666">
        <v>50</v>
      </c>
      <c r="F666">
        <v>49.975772857999999</v>
      </c>
      <c r="G666">
        <v>1242.1524658000001</v>
      </c>
      <c r="H666">
        <v>1210.0512695</v>
      </c>
      <c r="I666">
        <v>1524.6625977000001</v>
      </c>
      <c r="J666">
        <v>1476.5750731999999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195.106515</v>
      </c>
      <c r="B667" s="1">
        <f>DATE(2010,11,12) + TIME(2,33,22)</f>
        <v>40494.106504629628</v>
      </c>
      <c r="C667">
        <v>80</v>
      </c>
      <c r="D667">
        <v>77.482688904</v>
      </c>
      <c r="E667">
        <v>50</v>
      </c>
      <c r="F667">
        <v>49.975788115999997</v>
      </c>
      <c r="G667">
        <v>1242.098999</v>
      </c>
      <c r="H667">
        <v>1209.984375</v>
      </c>
      <c r="I667">
        <v>1524.3054199000001</v>
      </c>
      <c r="J667">
        <v>1476.2207031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195.444683</v>
      </c>
      <c r="B668" s="1">
        <f>DATE(2010,11,12) + TIME(10,40,20)</f>
        <v>40494.444675925923</v>
      </c>
      <c r="C668">
        <v>80</v>
      </c>
      <c r="D668">
        <v>77.416534424000005</v>
      </c>
      <c r="E668">
        <v>50</v>
      </c>
      <c r="F668">
        <v>49.975807189999998</v>
      </c>
      <c r="G668">
        <v>1242.0440673999999</v>
      </c>
      <c r="H668">
        <v>1209.9155272999999</v>
      </c>
      <c r="I668">
        <v>1523.9489745999999</v>
      </c>
      <c r="J668">
        <v>1475.8673096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195.79609500000001</v>
      </c>
      <c r="B669" s="1">
        <f>DATE(2010,11,12) + TIME(19,6,22)</f>
        <v>40494.796087962961</v>
      </c>
      <c r="C669">
        <v>80</v>
      </c>
      <c r="D669">
        <v>77.348373413000004</v>
      </c>
      <c r="E669">
        <v>50</v>
      </c>
      <c r="F669">
        <v>49.975822448999999</v>
      </c>
      <c r="G669">
        <v>1241.9873047000001</v>
      </c>
      <c r="H669">
        <v>1209.8444824000001</v>
      </c>
      <c r="I669">
        <v>1523.5916748</v>
      </c>
      <c r="J669">
        <v>1475.5130615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196.15967599999999</v>
      </c>
      <c r="B670" s="1">
        <f>DATE(2010,11,13) + TIME(3,49,55)</f>
        <v>40495.15966435185</v>
      </c>
      <c r="C670">
        <v>80</v>
      </c>
      <c r="D670">
        <v>77.278144835999996</v>
      </c>
      <c r="E670">
        <v>50</v>
      </c>
      <c r="F670">
        <v>49.975837708</v>
      </c>
      <c r="G670">
        <v>1241.9282227000001</v>
      </c>
      <c r="H670">
        <v>1209.7706298999999</v>
      </c>
      <c r="I670">
        <v>1523.2318115</v>
      </c>
      <c r="J670">
        <v>1475.1561279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196.53238200000001</v>
      </c>
      <c r="B671" s="1">
        <f>DATE(2010,11,13) + TIME(12,46,37)</f>
        <v>40495.532372685186</v>
      </c>
      <c r="C671">
        <v>80</v>
      </c>
      <c r="D671">
        <v>77.206108092999997</v>
      </c>
      <c r="E671">
        <v>50</v>
      </c>
      <c r="F671">
        <v>49.975856780999997</v>
      </c>
      <c r="G671">
        <v>1241.8670654</v>
      </c>
      <c r="H671">
        <v>1209.6942139</v>
      </c>
      <c r="I671">
        <v>1522.8709716999999</v>
      </c>
      <c r="J671">
        <v>1474.7983397999999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196.905539</v>
      </c>
      <c r="B672" s="1">
        <f>DATE(2010,11,13) + TIME(21,43,58)</f>
        <v>40495.905532407407</v>
      </c>
      <c r="C672">
        <v>80</v>
      </c>
      <c r="D672">
        <v>77.133232117000006</v>
      </c>
      <c r="E672">
        <v>50</v>
      </c>
      <c r="F672">
        <v>49.975872039999999</v>
      </c>
      <c r="G672">
        <v>1241.8043213000001</v>
      </c>
      <c r="H672">
        <v>1209.6160889</v>
      </c>
      <c r="I672">
        <v>1522.5124512</v>
      </c>
      <c r="J672">
        <v>1474.442749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197.28102999999999</v>
      </c>
      <c r="B673" s="1">
        <f>DATE(2010,11,14) + TIME(6,44,41)</f>
        <v>40496.281030092592</v>
      </c>
      <c r="C673">
        <v>80</v>
      </c>
      <c r="D673">
        <v>77.059898376000007</v>
      </c>
      <c r="E673">
        <v>50</v>
      </c>
      <c r="F673">
        <v>49.975891113000003</v>
      </c>
      <c r="G673">
        <v>1241.7413329999999</v>
      </c>
      <c r="H673">
        <v>1209.5375977000001</v>
      </c>
      <c r="I673">
        <v>1522.1645507999999</v>
      </c>
      <c r="J673">
        <v>1474.0977783000001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197.66085200000001</v>
      </c>
      <c r="B674" s="1">
        <f>DATE(2010,11,14) + TIME(15,51,37)</f>
        <v>40496.660844907405</v>
      </c>
      <c r="C674">
        <v>80</v>
      </c>
      <c r="D674">
        <v>76.986106872999997</v>
      </c>
      <c r="E674">
        <v>50</v>
      </c>
      <c r="F674">
        <v>49.975906371999997</v>
      </c>
      <c r="G674">
        <v>1241.6781006000001</v>
      </c>
      <c r="H674">
        <v>1209.4584961</v>
      </c>
      <c r="I674">
        <v>1521.8249512</v>
      </c>
      <c r="J674">
        <v>1473.7608643000001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198.04692600000001</v>
      </c>
      <c r="B675" s="1">
        <f>DATE(2010,11,15) + TIME(1,7,34)</f>
        <v>40497.0469212963</v>
      </c>
      <c r="C675">
        <v>80</v>
      </c>
      <c r="D675">
        <v>76.911651610999996</v>
      </c>
      <c r="E675">
        <v>50</v>
      </c>
      <c r="F675">
        <v>49.975925445999998</v>
      </c>
      <c r="G675">
        <v>1241.6140137</v>
      </c>
      <c r="H675">
        <v>1209.378418</v>
      </c>
      <c r="I675">
        <v>1521.4915771000001</v>
      </c>
      <c r="J675">
        <v>1473.4302978999999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198.441236</v>
      </c>
      <c r="B676" s="1">
        <f>DATE(2010,11,15) + TIME(10,35,22)</f>
        <v>40497.44122685185</v>
      </c>
      <c r="C676">
        <v>80</v>
      </c>
      <c r="D676">
        <v>76.836235045999999</v>
      </c>
      <c r="E676">
        <v>50</v>
      </c>
      <c r="F676">
        <v>49.975944519000002</v>
      </c>
      <c r="G676">
        <v>1241.5488281</v>
      </c>
      <c r="H676">
        <v>1209.2971190999999</v>
      </c>
      <c r="I676">
        <v>1521.1625977000001</v>
      </c>
      <c r="J676">
        <v>1473.1040039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198.84590399999999</v>
      </c>
      <c r="B677" s="1">
        <f>DATE(2010,11,15) + TIME(20,18,6)</f>
        <v>40497.845902777779</v>
      </c>
      <c r="C677">
        <v>80</v>
      </c>
      <c r="D677">
        <v>76.759536742999998</v>
      </c>
      <c r="E677">
        <v>50</v>
      </c>
      <c r="F677">
        <v>49.975959778000004</v>
      </c>
      <c r="G677">
        <v>1241.4822998</v>
      </c>
      <c r="H677">
        <v>1209.2139893000001</v>
      </c>
      <c r="I677">
        <v>1520.8363036999999</v>
      </c>
      <c r="J677">
        <v>1472.7803954999999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199.26325800000001</v>
      </c>
      <c r="B678" s="1">
        <f>DATE(2010,11,16) + TIME(6,19,5)</f>
        <v>40498.263252314813</v>
      </c>
      <c r="C678">
        <v>80</v>
      </c>
      <c r="D678">
        <v>76.681159973000007</v>
      </c>
      <c r="E678">
        <v>50</v>
      </c>
      <c r="F678">
        <v>49.975978851000001</v>
      </c>
      <c r="G678">
        <v>1241.4139404</v>
      </c>
      <c r="H678">
        <v>1209.1286620999999</v>
      </c>
      <c r="I678">
        <v>1520.5112305</v>
      </c>
      <c r="J678">
        <v>1472.4580077999999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199.69579999999999</v>
      </c>
      <c r="B679" s="1">
        <f>DATE(2010,11,16) + TIME(16,41,57)</f>
        <v>40498.695798611108</v>
      </c>
      <c r="C679">
        <v>80</v>
      </c>
      <c r="D679">
        <v>76.600700377999999</v>
      </c>
      <c r="E679">
        <v>50</v>
      </c>
      <c r="F679">
        <v>49.976001740000001</v>
      </c>
      <c r="G679">
        <v>1241.3435059000001</v>
      </c>
      <c r="H679">
        <v>1209.0406493999999</v>
      </c>
      <c r="I679">
        <v>1520.1855469</v>
      </c>
      <c r="J679">
        <v>1472.1350098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200.1404</v>
      </c>
      <c r="B680" s="1">
        <f>DATE(2010,11,17) + TIME(3,22,10)</f>
        <v>40499.140393518515</v>
      </c>
      <c r="C680">
        <v>80</v>
      </c>
      <c r="D680">
        <v>76.518180846999996</v>
      </c>
      <c r="E680">
        <v>50</v>
      </c>
      <c r="F680">
        <v>49.976020812999998</v>
      </c>
      <c r="G680">
        <v>1241.2702637</v>
      </c>
      <c r="H680">
        <v>1208.9495850000001</v>
      </c>
      <c r="I680">
        <v>1519.8579102000001</v>
      </c>
      <c r="J680">
        <v>1471.8099365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200.590157</v>
      </c>
      <c r="B681" s="1">
        <f>DATE(2010,11,17) + TIME(14,9,49)</f>
        <v>40499.590150462966</v>
      </c>
      <c r="C681">
        <v>80</v>
      </c>
      <c r="D681">
        <v>76.434249878000003</v>
      </c>
      <c r="E681">
        <v>50</v>
      </c>
      <c r="F681">
        <v>49.976039886000002</v>
      </c>
      <c r="G681">
        <v>1241.1949463000001</v>
      </c>
      <c r="H681">
        <v>1208.8558350000001</v>
      </c>
      <c r="I681">
        <v>1519.5308838000001</v>
      </c>
      <c r="J681">
        <v>1471.4855957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201.041121</v>
      </c>
      <c r="B682" s="1">
        <f>DATE(2010,11,18) + TIME(0,59,12)</f>
        <v>40500.04111111111</v>
      </c>
      <c r="C682">
        <v>80</v>
      </c>
      <c r="D682">
        <v>76.349693298000005</v>
      </c>
      <c r="E682">
        <v>50</v>
      </c>
      <c r="F682">
        <v>49.976058960000003</v>
      </c>
      <c r="G682">
        <v>1241.1186522999999</v>
      </c>
      <c r="H682">
        <v>1208.7611084</v>
      </c>
      <c r="I682">
        <v>1519.2097168</v>
      </c>
      <c r="J682">
        <v>1471.1669922000001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201.49566100000001</v>
      </c>
      <c r="B683" s="1">
        <f>DATE(2010,11,18) + TIME(11,53,45)</f>
        <v>40500.495659722219</v>
      </c>
      <c r="C683">
        <v>80</v>
      </c>
      <c r="D683">
        <v>76.264793396000002</v>
      </c>
      <c r="E683">
        <v>50</v>
      </c>
      <c r="F683">
        <v>49.976081848</v>
      </c>
      <c r="G683">
        <v>1241.0421143000001</v>
      </c>
      <c r="H683">
        <v>1208.6657714999999</v>
      </c>
      <c r="I683">
        <v>1518.8968506000001</v>
      </c>
      <c r="J683">
        <v>1470.8566894999999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201.95613</v>
      </c>
      <c r="B684" s="1">
        <f>DATE(2010,11,18) + TIME(22,56,49)</f>
        <v>40500.956122685187</v>
      </c>
      <c r="C684">
        <v>80</v>
      </c>
      <c r="D684">
        <v>76.179420471</v>
      </c>
      <c r="E684">
        <v>50</v>
      </c>
      <c r="F684">
        <v>49.976100922000001</v>
      </c>
      <c r="G684">
        <v>1240.9649658000001</v>
      </c>
      <c r="H684">
        <v>1208.5695800999999</v>
      </c>
      <c r="I684">
        <v>1518.5904541</v>
      </c>
      <c r="J684">
        <v>1470.5526123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202.424882</v>
      </c>
      <c r="B685" s="1">
        <f>DATE(2010,11,19) + TIME(10,11,49)</f>
        <v>40501.424872685187</v>
      </c>
      <c r="C685">
        <v>80</v>
      </c>
      <c r="D685">
        <v>76.093261718999997</v>
      </c>
      <c r="E685">
        <v>50</v>
      </c>
      <c r="F685">
        <v>49.976123809999997</v>
      </c>
      <c r="G685">
        <v>1240.8865966999999</v>
      </c>
      <c r="H685">
        <v>1208.4720459</v>
      </c>
      <c r="I685">
        <v>1518.2885742000001</v>
      </c>
      <c r="J685">
        <v>1470.2531738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202.90438399999999</v>
      </c>
      <c r="B686" s="1">
        <f>DATE(2010,11,19) + TIME(21,42,18)</f>
        <v>40501.904374999998</v>
      </c>
      <c r="C686">
        <v>80</v>
      </c>
      <c r="D686">
        <v>76.005950928000004</v>
      </c>
      <c r="E686">
        <v>50</v>
      </c>
      <c r="F686">
        <v>49.976142883000001</v>
      </c>
      <c r="G686">
        <v>1240.8068848</v>
      </c>
      <c r="H686">
        <v>1208.3728027</v>
      </c>
      <c r="I686">
        <v>1517.9897461</v>
      </c>
      <c r="J686">
        <v>1469.9567870999999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203.39730599999999</v>
      </c>
      <c r="B687" s="1">
        <f>DATE(2010,11,20) + TIME(9,32,7)</f>
        <v>40502.397303240738</v>
      </c>
      <c r="C687">
        <v>80</v>
      </c>
      <c r="D687">
        <v>75.917068481000001</v>
      </c>
      <c r="E687">
        <v>50</v>
      </c>
      <c r="F687">
        <v>49.976165770999998</v>
      </c>
      <c r="G687">
        <v>1240.7252197</v>
      </c>
      <c r="H687">
        <v>1208.2711182</v>
      </c>
      <c r="I687">
        <v>1517.6925048999999</v>
      </c>
      <c r="J687">
        <v>1469.6617432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203.90661499999999</v>
      </c>
      <c r="B688" s="1">
        <f>DATE(2010,11,20) + TIME(21,45,31)</f>
        <v>40502.906608796293</v>
      </c>
      <c r="C688">
        <v>80</v>
      </c>
      <c r="D688">
        <v>75.826156616000006</v>
      </c>
      <c r="E688">
        <v>50</v>
      </c>
      <c r="F688">
        <v>49.976188659999998</v>
      </c>
      <c r="G688">
        <v>1240.6411132999999</v>
      </c>
      <c r="H688">
        <v>1208.1665039</v>
      </c>
      <c r="I688">
        <v>1517.3952637</v>
      </c>
      <c r="J688">
        <v>1469.3668213000001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204.42935399999999</v>
      </c>
      <c r="B689" s="1">
        <f>DATE(2010,11,21) + TIME(10,18,16)</f>
        <v>40503.429351851853</v>
      </c>
      <c r="C689">
        <v>80</v>
      </c>
      <c r="D689">
        <v>75.733139038000004</v>
      </c>
      <c r="E689">
        <v>50</v>
      </c>
      <c r="F689">
        <v>49.976211548000002</v>
      </c>
      <c r="G689">
        <v>1240.5541992000001</v>
      </c>
      <c r="H689">
        <v>1208.0584716999999</v>
      </c>
      <c r="I689">
        <v>1517.0964355000001</v>
      </c>
      <c r="J689">
        <v>1469.0703125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204.96472199999999</v>
      </c>
      <c r="B690" s="1">
        <f>DATE(2010,11,21) + TIME(23,9,11)</f>
        <v>40503.96471064815</v>
      </c>
      <c r="C690">
        <v>80</v>
      </c>
      <c r="D690">
        <v>75.638175963999998</v>
      </c>
      <c r="E690">
        <v>50</v>
      </c>
      <c r="F690">
        <v>49.976234435999999</v>
      </c>
      <c r="G690">
        <v>1240.4647216999999</v>
      </c>
      <c r="H690">
        <v>1207.9475098</v>
      </c>
      <c r="I690">
        <v>1516.7982178</v>
      </c>
      <c r="J690">
        <v>1468.7744141000001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205.50106199999999</v>
      </c>
      <c r="B691" s="1">
        <f>DATE(2010,11,22) + TIME(12,1,31)</f>
        <v>40504.50105324074</v>
      </c>
      <c r="C691">
        <v>80</v>
      </c>
      <c r="D691">
        <v>75.542167664000004</v>
      </c>
      <c r="E691">
        <v>50</v>
      </c>
      <c r="F691">
        <v>49.976257324000002</v>
      </c>
      <c r="G691">
        <v>1240.3729248</v>
      </c>
      <c r="H691">
        <v>1207.8337402</v>
      </c>
      <c r="I691">
        <v>1516.5012207</v>
      </c>
      <c r="J691">
        <v>1468.4796143000001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206.04067599999999</v>
      </c>
      <c r="B692" s="1">
        <f>DATE(2010,11,23) + TIME(0,58,34)</f>
        <v>40505.040671296294</v>
      </c>
      <c r="C692">
        <v>80</v>
      </c>
      <c r="D692">
        <v>75.445816039999997</v>
      </c>
      <c r="E692">
        <v>50</v>
      </c>
      <c r="F692">
        <v>49.976284026999998</v>
      </c>
      <c r="G692">
        <v>1240.2808838000001</v>
      </c>
      <c r="H692">
        <v>1207.7194824000001</v>
      </c>
      <c r="I692">
        <v>1516.2116699000001</v>
      </c>
      <c r="J692">
        <v>1468.1923827999999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206.58639299999999</v>
      </c>
      <c r="B693" s="1">
        <f>DATE(2010,11,23) + TIME(14,4,24)</f>
        <v>40505.586388888885</v>
      </c>
      <c r="C693">
        <v>80</v>
      </c>
      <c r="D693">
        <v>75.349098205999994</v>
      </c>
      <c r="E693">
        <v>50</v>
      </c>
      <c r="F693">
        <v>49.976306915000002</v>
      </c>
      <c r="G693">
        <v>1240.1881103999999</v>
      </c>
      <c r="H693">
        <v>1207.6042480000001</v>
      </c>
      <c r="I693">
        <v>1515.9282227000001</v>
      </c>
      <c r="J693">
        <v>1467.9110106999999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207.14101099999999</v>
      </c>
      <c r="B694" s="1">
        <f>DATE(2010,11,24) + TIME(3,23,3)</f>
        <v>40506.141006944446</v>
      </c>
      <c r="C694">
        <v>80</v>
      </c>
      <c r="D694">
        <v>75.251708984000004</v>
      </c>
      <c r="E694">
        <v>50</v>
      </c>
      <c r="F694">
        <v>49.976329802999999</v>
      </c>
      <c r="G694">
        <v>1240.0941161999999</v>
      </c>
      <c r="H694">
        <v>1207.4876709</v>
      </c>
      <c r="I694">
        <v>1515.6491699000001</v>
      </c>
      <c r="J694">
        <v>1467.6339111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207.707436</v>
      </c>
      <c r="B695" s="1">
        <f>DATE(2010,11,24) + TIME(16,58,42)</f>
        <v>40506.707430555558</v>
      </c>
      <c r="C695">
        <v>80</v>
      </c>
      <c r="D695">
        <v>75.153244018999999</v>
      </c>
      <c r="E695">
        <v>50</v>
      </c>
      <c r="F695">
        <v>49.976356506000002</v>
      </c>
      <c r="G695">
        <v>1239.9985352000001</v>
      </c>
      <c r="H695">
        <v>1207.3688964999999</v>
      </c>
      <c r="I695">
        <v>1515.3728027</v>
      </c>
      <c r="J695">
        <v>1467.3597411999999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208.28879599999999</v>
      </c>
      <c r="B696" s="1">
        <f>DATE(2010,11,25) + TIME(6,55,51)</f>
        <v>40507.288784722223</v>
      </c>
      <c r="C696">
        <v>80</v>
      </c>
      <c r="D696">
        <v>75.053245544000006</v>
      </c>
      <c r="E696">
        <v>50</v>
      </c>
      <c r="F696">
        <v>49.976383208999998</v>
      </c>
      <c r="G696">
        <v>1239.9006348</v>
      </c>
      <c r="H696">
        <v>1207.2475586</v>
      </c>
      <c r="I696">
        <v>1515.0979004000001</v>
      </c>
      <c r="J696">
        <v>1467.0867920000001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208.88854699999999</v>
      </c>
      <c r="B697" s="1">
        <f>DATE(2010,11,25) + TIME(21,19,30)</f>
        <v>40507.888541666667</v>
      </c>
      <c r="C697">
        <v>80</v>
      </c>
      <c r="D697">
        <v>74.951194763000004</v>
      </c>
      <c r="E697">
        <v>50</v>
      </c>
      <c r="F697">
        <v>49.976409912000001</v>
      </c>
      <c r="G697">
        <v>1239.8000488</v>
      </c>
      <c r="H697">
        <v>1207.1228027</v>
      </c>
      <c r="I697">
        <v>1514.8231201000001</v>
      </c>
      <c r="J697">
        <v>1466.8139647999999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209.50176300000001</v>
      </c>
      <c r="B698" s="1">
        <f>DATE(2010,11,26) + TIME(12,2,32)</f>
        <v>40508.501759259256</v>
      </c>
      <c r="C698">
        <v>80</v>
      </c>
      <c r="D698">
        <v>74.847015381000006</v>
      </c>
      <c r="E698">
        <v>50</v>
      </c>
      <c r="F698">
        <v>49.976436614999997</v>
      </c>
      <c r="G698">
        <v>1239.6959228999999</v>
      </c>
      <c r="H698">
        <v>1206.9938964999999</v>
      </c>
      <c r="I698">
        <v>1514.5469971</v>
      </c>
      <c r="J698">
        <v>1466.5397949000001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210.11960400000001</v>
      </c>
      <c r="B699" s="1">
        <f>DATE(2010,11,27) + TIME(2,52,13)</f>
        <v>40509.11959490741</v>
      </c>
      <c r="C699">
        <v>80</v>
      </c>
      <c r="D699">
        <v>74.741508483999993</v>
      </c>
      <c r="E699">
        <v>50</v>
      </c>
      <c r="F699">
        <v>49.976463318</v>
      </c>
      <c r="G699">
        <v>1239.5892334</v>
      </c>
      <c r="H699">
        <v>1206.8619385</v>
      </c>
      <c r="I699">
        <v>1514.2718506000001</v>
      </c>
      <c r="J699">
        <v>1466.2667236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210.739507</v>
      </c>
      <c r="B700" s="1">
        <f>DATE(2010,11,27) + TIME(17,44,53)</f>
        <v>40509.739502314813</v>
      </c>
      <c r="C700">
        <v>80</v>
      </c>
      <c r="D700">
        <v>74.635566710999996</v>
      </c>
      <c r="E700">
        <v>50</v>
      </c>
      <c r="F700">
        <v>49.976490020999996</v>
      </c>
      <c r="G700">
        <v>1239.4814452999999</v>
      </c>
      <c r="H700">
        <v>1206.7287598</v>
      </c>
      <c r="I700">
        <v>1514.0018310999999</v>
      </c>
      <c r="J700">
        <v>1465.9986572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211.36480900000001</v>
      </c>
      <c r="B701" s="1">
        <f>DATE(2010,11,28) + TIME(8,45,19)</f>
        <v>40510.364803240744</v>
      </c>
      <c r="C701">
        <v>80</v>
      </c>
      <c r="D701">
        <v>74.529441833000007</v>
      </c>
      <c r="E701">
        <v>50</v>
      </c>
      <c r="F701">
        <v>49.976516724</v>
      </c>
      <c r="G701">
        <v>1239.3730469</v>
      </c>
      <c r="H701">
        <v>1206.5946045000001</v>
      </c>
      <c r="I701">
        <v>1513.737793</v>
      </c>
      <c r="J701">
        <v>1465.7363281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211.998728</v>
      </c>
      <c r="B702" s="1">
        <f>DATE(2010,11,28) + TIME(23,58,10)</f>
        <v>40510.998726851853</v>
      </c>
      <c r="C702">
        <v>80</v>
      </c>
      <c r="D702">
        <v>74.422874450999998</v>
      </c>
      <c r="E702">
        <v>50</v>
      </c>
      <c r="F702">
        <v>49.976543427000003</v>
      </c>
      <c r="G702">
        <v>1239.2635498</v>
      </c>
      <c r="H702">
        <v>1206.4589844</v>
      </c>
      <c r="I702">
        <v>1513.4780272999999</v>
      </c>
      <c r="J702">
        <v>1465.4783935999999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212.64457400000001</v>
      </c>
      <c r="B703" s="1">
        <f>DATE(2010,11,29) + TIME(15,28,11)</f>
        <v>40511.644571759258</v>
      </c>
      <c r="C703">
        <v>80</v>
      </c>
      <c r="D703">
        <v>74.315422057999996</v>
      </c>
      <c r="E703">
        <v>50</v>
      </c>
      <c r="F703">
        <v>49.976573944000002</v>
      </c>
      <c r="G703">
        <v>1239.1522216999999</v>
      </c>
      <c r="H703">
        <v>1206.3211670000001</v>
      </c>
      <c r="I703">
        <v>1513.2211914</v>
      </c>
      <c r="J703">
        <v>1465.2233887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213.30584999999999</v>
      </c>
      <c r="B704" s="1">
        <f>DATE(2010,11,30) + TIME(7,20,25)</f>
        <v>40512.305844907409</v>
      </c>
      <c r="C704">
        <v>80</v>
      </c>
      <c r="D704">
        <v>74.206581115999995</v>
      </c>
      <c r="E704">
        <v>50</v>
      </c>
      <c r="F704">
        <v>49.976600646999998</v>
      </c>
      <c r="G704">
        <v>1239.0384521000001</v>
      </c>
      <c r="H704">
        <v>1206.1804199000001</v>
      </c>
      <c r="I704">
        <v>1512.9659423999999</v>
      </c>
      <c r="J704">
        <v>1464.9698486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214</v>
      </c>
      <c r="B705" s="1">
        <f>DATE(2010,12,1) + TIME(0,0,0)</f>
        <v>40513</v>
      </c>
      <c r="C705">
        <v>80</v>
      </c>
      <c r="D705">
        <v>74.095077515</v>
      </c>
      <c r="E705">
        <v>50</v>
      </c>
      <c r="F705">
        <v>49.976631165000001</v>
      </c>
      <c r="G705">
        <v>1238.9217529</v>
      </c>
      <c r="H705">
        <v>1206.0358887</v>
      </c>
      <c r="I705">
        <v>1512.7109375</v>
      </c>
      <c r="J705">
        <v>1464.7165527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214.680545</v>
      </c>
      <c r="B706" s="1">
        <f>DATE(2010,12,1) + TIME(16,19,59)</f>
        <v>40513.680543981478</v>
      </c>
      <c r="C706">
        <v>80</v>
      </c>
      <c r="D706">
        <v>73.982009887999993</v>
      </c>
      <c r="E706">
        <v>50</v>
      </c>
      <c r="F706">
        <v>49.976661682</v>
      </c>
      <c r="G706">
        <v>1238.7987060999999</v>
      </c>
      <c r="H706">
        <v>1205.8845214999999</v>
      </c>
      <c r="I706">
        <v>1512.4499512</v>
      </c>
      <c r="J706">
        <v>1464.4572754000001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215.38886199999999</v>
      </c>
      <c r="B707" s="1">
        <f>DATE(2010,12,2) + TIME(9,19,57)</f>
        <v>40514.388854166667</v>
      </c>
      <c r="C707">
        <v>80</v>
      </c>
      <c r="D707">
        <v>73.868186950999998</v>
      </c>
      <c r="E707">
        <v>50</v>
      </c>
      <c r="F707">
        <v>49.976692200000002</v>
      </c>
      <c r="G707">
        <v>1238.6777344</v>
      </c>
      <c r="H707">
        <v>1205.7347411999999</v>
      </c>
      <c r="I707">
        <v>1512.2000731999999</v>
      </c>
      <c r="J707">
        <v>1464.2091064000001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216.09834000000001</v>
      </c>
      <c r="B708" s="1">
        <f>DATE(2010,12,3) + TIME(2,21,36)</f>
        <v>40515.098333333335</v>
      </c>
      <c r="C708">
        <v>80</v>
      </c>
      <c r="D708">
        <v>73.752944946</v>
      </c>
      <c r="E708">
        <v>50</v>
      </c>
      <c r="F708">
        <v>49.976722717000001</v>
      </c>
      <c r="G708">
        <v>1238.5513916</v>
      </c>
      <c r="H708">
        <v>1205.5789795000001</v>
      </c>
      <c r="I708">
        <v>1511.9465332</v>
      </c>
      <c r="J708">
        <v>1463.9571533000001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216.81279699999999</v>
      </c>
      <c r="B709" s="1">
        <f>DATE(2010,12,3) + TIME(19,30,25)</f>
        <v>40515.812789351854</v>
      </c>
      <c r="C709">
        <v>80</v>
      </c>
      <c r="D709">
        <v>73.637405396000005</v>
      </c>
      <c r="E709">
        <v>50</v>
      </c>
      <c r="F709">
        <v>49.976753234999997</v>
      </c>
      <c r="G709">
        <v>1238.4243164</v>
      </c>
      <c r="H709">
        <v>1205.4222411999999</v>
      </c>
      <c r="I709">
        <v>1511.6984863</v>
      </c>
      <c r="J709">
        <v>1463.7108154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217.535946</v>
      </c>
      <c r="B710" s="1">
        <f>DATE(2010,12,4) + TIME(12,51,45)</f>
        <v>40516.535937499997</v>
      </c>
      <c r="C710">
        <v>80</v>
      </c>
      <c r="D710">
        <v>73.521530150999993</v>
      </c>
      <c r="E710">
        <v>50</v>
      </c>
      <c r="F710">
        <v>49.976783752000003</v>
      </c>
      <c r="G710">
        <v>1238.2960204999999</v>
      </c>
      <c r="H710">
        <v>1205.2637939000001</v>
      </c>
      <c r="I710">
        <v>1511.4547118999999</v>
      </c>
      <c r="J710">
        <v>1463.4685059000001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218.27156299999999</v>
      </c>
      <c r="B711" s="1">
        <f>DATE(2010,12,5) + TIME(6,31,3)</f>
        <v>40517.271562499998</v>
      </c>
      <c r="C711">
        <v>80</v>
      </c>
      <c r="D711">
        <v>73.404899596999996</v>
      </c>
      <c r="E711">
        <v>50</v>
      </c>
      <c r="F711">
        <v>49.976814269999998</v>
      </c>
      <c r="G711">
        <v>1238.1656493999999</v>
      </c>
      <c r="H711">
        <v>1205.1029053</v>
      </c>
      <c r="I711">
        <v>1511.2137451000001</v>
      </c>
      <c r="J711">
        <v>1463.2290039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219.023628</v>
      </c>
      <c r="B712" s="1">
        <f>DATE(2010,12,6) + TIME(0,34,1)</f>
        <v>40518.023622685185</v>
      </c>
      <c r="C712">
        <v>80</v>
      </c>
      <c r="D712">
        <v>73.286987304999997</v>
      </c>
      <c r="E712">
        <v>50</v>
      </c>
      <c r="F712">
        <v>49.976844788000001</v>
      </c>
      <c r="G712">
        <v>1238.0324707</v>
      </c>
      <c r="H712">
        <v>1204.9387207</v>
      </c>
      <c r="I712">
        <v>1510.9742432</v>
      </c>
      <c r="J712">
        <v>1462.9910889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219.79644999999999</v>
      </c>
      <c r="B713" s="1">
        <f>DATE(2010,12,6) + TIME(19,6,53)</f>
        <v>40518.796446759261</v>
      </c>
      <c r="C713">
        <v>80</v>
      </c>
      <c r="D713">
        <v>73.167198181000003</v>
      </c>
      <c r="E713">
        <v>50</v>
      </c>
      <c r="F713">
        <v>49.97687912</v>
      </c>
      <c r="G713">
        <v>1237.895874</v>
      </c>
      <c r="H713">
        <v>1204.7701416</v>
      </c>
      <c r="I713">
        <v>1510.7351074000001</v>
      </c>
      <c r="J713">
        <v>1462.753418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220.59384399999999</v>
      </c>
      <c r="B714" s="1">
        <f>DATE(2010,12,7) + TIME(14,15,8)</f>
        <v>40519.593842592592</v>
      </c>
      <c r="C714">
        <v>80</v>
      </c>
      <c r="D714">
        <v>73.044944763000004</v>
      </c>
      <c r="E714">
        <v>50</v>
      </c>
      <c r="F714">
        <v>49.976913451999998</v>
      </c>
      <c r="G714">
        <v>1237.7548827999999</v>
      </c>
      <c r="H714">
        <v>1204.5963135</v>
      </c>
      <c r="I714">
        <v>1510.4951172000001</v>
      </c>
      <c r="J714">
        <v>1462.5148925999999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221.39442299999999</v>
      </c>
      <c r="B715" s="1">
        <f>DATE(2010,12,8) + TIME(9,27,58)</f>
        <v>40520.394421296296</v>
      </c>
      <c r="C715">
        <v>80</v>
      </c>
      <c r="D715">
        <v>72.920806885000005</v>
      </c>
      <c r="E715">
        <v>50</v>
      </c>
      <c r="F715">
        <v>49.976947783999996</v>
      </c>
      <c r="G715">
        <v>1237.6086425999999</v>
      </c>
      <c r="H715">
        <v>1204.4163818</v>
      </c>
      <c r="I715">
        <v>1510.2531738</v>
      </c>
      <c r="J715">
        <v>1462.2744141000001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222.196552</v>
      </c>
      <c r="B716" s="1">
        <f>DATE(2010,12,9) + TIME(4,43,2)</f>
        <v>40521.196550925924</v>
      </c>
      <c r="C716">
        <v>80</v>
      </c>
      <c r="D716">
        <v>72.796401978000006</v>
      </c>
      <c r="E716">
        <v>50</v>
      </c>
      <c r="F716">
        <v>49.976982116999999</v>
      </c>
      <c r="G716">
        <v>1237.4611815999999</v>
      </c>
      <c r="H716">
        <v>1204.2347411999999</v>
      </c>
      <c r="I716">
        <v>1510.0158690999999</v>
      </c>
      <c r="J716">
        <v>1462.0385742000001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223.004606</v>
      </c>
      <c r="B717" s="1">
        <f>DATE(2010,12,10) + TIME(0,6,37)</f>
        <v>40522.004594907405</v>
      </c>
      <c r="C717">
        <v>80</v>
      </c>
      <c r="D717">
        <v>72.672126770000006</v>
      </c>
      <c r="E717">
        <v>50</v>
      </c>
      <c r="F717">
        <v>49.977012633999998</v>
      </c>
      <c r="G717">
        <v>1237.3126221</v>
      </c>
      <c r="H717">
        <v>1204.0516356999999</v>
      </c>
      <c r="I717">
        <v>1509.7835693</v>
      </c>
      <c r="J717">
        <v>1461.8076172000001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223.822789</v>
      </c>
      <c r="B718" s="1">
        <f>DATE(2010,12,10) + TIME(19,44,48)</f>
        <v>40522.822777777779</v>
      </c>
      <c r="C718">
        <v>80</v>
      </c>
      <c r="D718">
        <v>72.547607421999999</v>
      </c>
      <c r="E718">
        <v>50</v>
      </c>
      <c r="F718">
        <v>49.977046967</v>
      </c>
      <c r="G718">
        <v>1237.1622314000001</v>
      </c>
      <c r="H718">
        <v>1203.8663329999999</v>
      </c>
      <c r="I718">
        <v>1509.5548096</v>
      </c>
      <c r="J718">
        <v>1461.5802002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224.65540100000001</v>
      </c>
      <c r="B719" s="1">
        <f>DATE(2010,12,11) + TIME(15,43,46)</f>
        <v>40523.655393518522</v>
      </c>
      <c r="C719">
        <v>80</v>
      </c>
      <c r="D719">
        <v>72.422317504999995</v>
      </c>
      <c r="E719">
        <v>50</v>
      </c>
      <c r="F719">
        <v>49.977085113999998</v>
      </c>
      <c r="G719">
        <v>1237.0091553</v>
      </c>
      <c r="H719">
        <v>1203.6777344</v>
      </c>
      <c r="I719">
        <v>1509.3283690999999</v>
      </c>
      <c r="J719">
        <v>1461.3549805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225.50700699999999</v>
      </c>
      <c r="B720" s="1">
        <f>DATE(2010,12,12) + TIME(12,10,5)</f>
        <v>40524.507002314815</v>
      </c>
      <c r="C720">
        <v>80</v>
      </c>
      <c r="D720">
        <v>72.295616150000001</v>
      </c>
      <c r="E720">
        <v>50</v>
      </c>
      <c r="F720">
        <v>49.977119446000003</v>
      </c>
      <c r="G720">
        <v>1236.8526611</v>
      </c>
      <c r="H720">
        <v>1203.4847411999999</v>
      </c>
      <c r="I720">
        <v>1509.1030272999999</v>
      </c>
      <c r="J720">
        <v>1461.1309814000001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226.38256100000001</v>
      </c>
      <c r="B721" s="1">
        <f>DATE(2010,12,13) + TIME(9,10,53)</f>
        <v>40525.382557870369</v>
      </c>
      <c r="C721">
        <v>80</v>
      </c>
      <c r="D721">
        <v>72.166854857999994</v>
      </c>
      <c r="E721">
        <v>50</v>
      </c>
      <c r="F721">
        <v>49.977153778000002</v>
      </c>
      <c r="G721">
        <v>1236.6915283000001</v>
      </c>
      <c r="H721">
        <v>1203.2862548999999</v>
      </c>
      <c r="I721">
        <v>1508.8776855000001</v>
      </c>
      <c r="J721">
        <v>1460.9067382999999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226.830196</v>
      </c>
      <c r="B722" s="1">
        <f>DATE(2010,12,13) + TIME(19,55,28)</f>
        <v>40525.830185185187</v>
      </c>
      <c r="C722">
        <v>80</v>
      </c>
      <c r="D722">
        <v>72.064163207999997</v>
      </c>
      <c r="E722">
        <v>50</v>
      </c>
      <c r="F722">
        <v>49.977169037000003</v>
      </c>
      <c r="G722">
        <v>1236.5235596</v>
      </c>
      <c r="H722">
        <v>1203.0893555</v>
      </c>
      <c r="I722">
        <v>1508.6512451000001</v>
      </c>
      <c r="J722">
        <v>1460.6815185999999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227.27783199999999</v>
      </c>
      <c r="B723" s="1">
        <f>DATE(2010,12,14) + TIME(6,40,4)</f>
        <v>40526.277824074074</v>
      </c>
      <c r="C723">
        <v>80</v>
      </c>
      <c r="D723">
        <v>71.981925963999998</v>
      </c>
      <c r="E723">
        <v>50</v>
      </c>
      <c r="F723">
        <v>49.97718811</v>
      </c>
      <c r="G723">
        <v>1236.4367675999999</v>
      </c>
      <c r="H723">
        <v>1202.9769286999999</v>
      </c>
      <c r="I723">
        <v>1508.5352783000001</v>
      </c>
      <c r="J723">
        <v>1460.5661620999999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227.72546700000001</v>
      </c>
      <c r="B724" s="1">
        <f>DATE(2010,12,14) + TIME(17,24,40)</f>
        <v>40526.725462962961</v>
      </c>
      <c r="C724">
        <v>80</v>
      </c>
      <c r="D724">
        <v>71.908645629999995</v>
      </c>
      <c r="E724">
        <v>50</v>
      </c>
      <c r="F724">
        <v>49.977210999</v>
      </c>
      <c r="G724">
        <v>1236.3509521000001</v>
      </c>
      <c r="H724">
        <v>1202.8686522999999</v>
      </c>
      <c r="I724">
        <v>1508.4224853999999</v>
      </c>
      <c r="J724">
        <v>1460.4541016000001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228.173103</v>
      </c>
      <c r="B725" s="1">
        <f>DATE(2010,12,15) + TIME(4,9,16)</f>
        <v>40527.173101851855</v>
      </c>
      <c r="C725">
        <v>80</v>
      </c>
      <c r="D725">
        <v>71.839363098000007</v>
      </c>
      <c r="E725">
        <v>50</v>
      </c>
      <c r="F725">
        <v>49.977230071999998</v>
      </c>
      <c r="G725">
        <v>1236.2648925999999</v>
      </c>
      <c r="H725">
        <v>1202.7614745999999</v>
      </c>
      <c r="I725">
        <v>1508.3110352000001</v>
      </c>
      <c r="J725">
        <v>1460.3432617000001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228.62073799999999</v>
      </c>
      <c r="B726" s="1">
        <f>DATE(2010,12,15) + TIME(14,53,51)</f>
        <v>40527.620729166665</v>
      </c>
      <c r="C726">
        <v>80</v>
      </c>
      <c r="D726">
        <v>71.771919249999996</v>
      </c>
      <c r="E726">
        <v>50</v>
      </c>
      <c r="F726">
        <v>49.977249145999998</v>
      </c>
      <c r="G726">
        <v>1236.1783447</v>
      </c>
      <c r="H726">
        <v>1202.6542969</v>
      </c>
      <c r="I726">
        <v>1508.2008057</v>
      </c>
      <c r="J726">
        <v>1460.2336425999999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229.516009</v>
      </c>
      <c r="B727" s="1">
        <f>DATE(2010,12,16) + TIME(12,23,3)</f>
        <v>40528.516006944446</v>
      </c>
      <c r="C727">
        <v>80</v>
      </c>
      <c r="D727">
        <v>71.686927795000003</v>
      </c>
      <c r="E727">
        <v>50</v>
      </c>
      <c r="F727">
        <v>49.977287292</v>
      </c>
      <c r="G727">
        <v>1236.0931396000001</v>
      </c>
      <c r="H727">
        <v>1202.5422363</v>
      </c>
      <c r="I727">
        <v>1508.0926514</v>
      </c>
      <c r="J727">
        <v>1460.1259766000001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230.41468699999999</v>
      </c>
      <c r="B728" s="1">
        <f>DATE(2010,12,17) + TIME(9,57,8)</f>
        <v>40529.414675925924</v>
      </c>
      <c r="C728">
        <v>80</v>
      </c>
      <c r="D728">
        <v>71.568496703999998</v>
      </c>
      <c r="E728">
        <v>50</v>
      </c>
      <c r="F728">
        <v>49.977321625000002</v>
      </c>
      <c r="G728">
        <v>1235.9191894999999</v>
      </c>
      <c r="H728">
        <v>1202.3327637</v>
      </c>
      <c r="I728">
        <v>1507.8791504000001</v>
      </c>
      <c r="J728">
        <v>1459.9135742000001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231.33095299999999</v>
      </c>
      <c r="B729" s="1">
        <f>DATE(2010,12,18) + TIME(7,56,34)</f>
        <v>40530.330949074072</v>
      </c>
      <c r="C729">
        <v>80</v>
      </c>
      <c r="D729">
        <v>71.440475464000002</v>
      </c>
      <c r="E729">
        <v>50</v>
      </c>
      <c r="F729">
        <v>49.977359772</v>
      </c>
      <c r="G729">
        <v>1235.7427978999999</v>
      </c>
      <c r="H729">
        <v>1202.1163329999999</v>
      </c>
      <c r="I729">
        <v>1507.6683350000001</v>
      </c>
      <c r="J729">
        <v>1459.7038574000001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232.26937599999999</v>
      </c>
      <c r="B730" s="1">
        <f>DATE(2010,12,19) + TIME(6,27,54)</f>
        <v>40531.269375000003</v>
      </c>
      <c r="C730">
        <v>80</v>
      </c>
      <c r="D730">
        <v>71.308311462000006</v>
      </c>
      <c r="E730">
        <v>50</v>
      </c>
      <c r="F730">
        <v>49.977397918999998</v>
      </c>
      <c r="G730">
        <v>1235.5615233999999</v>
      </c>
      <c r="H730">
        <v>1201.8930664</v>
      </c>
      <c r="I730">
        <v>1507.4578856999999</v>
      </c>
      <c r="J730">
        <v>1459.4945068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233.235131</v>
      </c>
      <c r="B731" s="1">
        <f>DATE(2010,12,20) + TIME(5,38,35)</f>
        <v>40532.235127314816</v>
      </c>
      <c r="C731">
        <v>80</v>
      </c>
      <c r="D731">
        <v>71.173034668</v>
      </c>
      <c r="E731">
        <v>50</v>
      </c>
      <c r="F731">
        <v>49.977436066000003</v>
      </c>
      <c r="G731">
        <v>1235.3745117000001</v>
      </c>
      <c r="H731">
        <v>1201.6622314000001</v>
      </c>
      <c r="I731">
        <v>1507.2468262</v>
      </c>
      <c r="J731">
        <v>1459.2845459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234.23414</v>
      </c>
      <c r="B732" s="1">
        <f>DATE(2010,12,21) + TIME(5,37,9)</f>
        <v>40533.234131944446</v>
      </c>
      <c r="C732">
        <v>80</v>
      </c>
      <c r="D732">
        <v>71.034400939999998</v>
      </c>
      <c r="E732">
        <v>50</v>
      </c>
      <c r="F732">
        <v>49.977478026999997</v>
      </c>
      <c r="G732">
        <v>1235.1804199000001</v>
      </c>
      <c r="H732">
        <v>1201.4226074000001</v>
      </c>
      <c r="I732">
        <v>1507.0343018000001</v>
      </c>
      <c r="J732">
        <v>1459.0729980000001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235.23891699999999</v>
      </c>
      <c r="B733" s="1">
        <f>DATE(2010,12,22) + TIME(5,44,2)</f>
        <v>40534.238912037035</v>
      </c>
      <c r="C733">
        <v>80</v>
      </c>
      <c r="D733">
        <v>70.892921447999996</v>
      </c>
      <c r="E733">
        <v>50</v>
      </c>
      <c r="F733">
        <v>49.977519989000001</v>
      </c>
      <c r="G733">
        <v>1234.9779053</v>
      </c>
      <c r="H733">
        <v>1201.1727295000001</v>
      </c>
      <c r="I733">
        <v>1506.8190918</v>
      </c>
      <c r="J733">
        <v>1458.8587646000001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236.24648199999999</v>
      </c>
      <c r="B734" s="1">
        <f>DATE(2010,12,23) + TIME(5,54,56)</f>
        <v>40535.246481481481</v>
      </c>
      <c r="C734">
        <v>80</v>
      </c>
      <c r="D734">
        <v>70.750747681000007</v>
      </c>
      <c r="E734">
        <v>50</v>
      </c>
      <c r="F734">
        <v>49.977558135999999</v>
      </c>
      <c r="G734">
        <v>1234.7722168</v>
      </c>
      <c r="H734">
        <v>1200.9185791</v>
      </c>
      <c r="I734">
        <v>1506.6071777</v>
      </c>
      <c r="J734">
        <v>1458.6478271000001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237.262519</v>
      </c>
      <c r="B735" s="1">
        <f>DATE(2010,12,24) + TIME(6,18,1)</f>
        <v>40536.262511574074</v>
      </c>
      <c r="C735">
        <v>80</v>
      </c>
      <c r="D735">
        <v>70.608413696</v>
      </c>
      <c r="E735">
        <v>50</v>
      </c>
      <c r="F735">
        <v>49.977600098000003</v>
      </c>
      <c r="G735">
        <v>1234.5640868999999</v>
      </c>
      <c r="H735">
        <v>1200.6608887</v>
      </c>
      <c r="I735">
        <v>1506.3990478999999</v>
      </c>
      <c r="J735">
        <v>1458.4407959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238.292596</v>
      </c>
      <c r="B736" s="1">
        <f>DATE(2010,12,25) + TIME(7,1,20)</f>
        <v>40537.292592592596</v>
      </c>
      <c r="C736">
        <v>80</v>
      </c>
      <c r="D736">
        <v>70.465423584000007</v>
      </c>
      <c r="E736">
        <v>50</v>
      </c>
      <c r="F736">
        <v>49.977642058999997</v>
      </c>
      <c r="G736">
        <v>1234.3520507999999</v>
      </c>
      <c r="H736">
        <v>1200.3981934000001</v>
      </c>
      <c r="I736">
        <v>1506.1936035000001</v>
      </c>
      <c r="J736">
        <v>1458.2362060999999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239.34243699999999</v>
      </c>
      <c r="B737" s="1">
        <f>DATE(2010,12,26) + TIME(8,13,6)</f>
        <v>40538.342430555553</v>
      </c>
      <c r="C737">
        <v>80</v>
      </c>
      <c r="D737">
        <v>70.321052550999994</v>
      </c>
      <c r="E737">
        <v>50</v>
      </c>
      <c r="F737">
        <v>49.977684021000002</v>
      </c>
      <c r="G737">
        <v>1234.1350098</v>
      </c>
      <c r="H737">
        <v>1200.1289062000001</v>
      </c>
      <c r="I737">
        <v>1505.9895019999999</v>
      </c>
      <c r="J737">
        <v>1458.0330810999999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240.41817900000001</v>
      </c>
      <c r="B738" s="1">
        <f>DATE(2010,12,27) + TIME(10,2,10)</f>
        <v>40539.418171296296</v>
      </c>
      <c r="C738">
        <v>80</v>
      </c>
      <c r="D738">
        <v>70.174499511999997</v>
      </c>
      <c r="E738">
        <v>50</v>
      </c>
      <c r="F738">
        <v>49.977725982999999</v>
      </c>
      <c r="G738">
        <v>1233.911499</v>
      </c>
      <c r="H738">
        <v>1199.8513184000001</v>
      </c>
      <c r="I738">
        <v>1505.7858887</v>
      </c>
      <c r="J738">
        <v>1457.8303223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240.968558</v>
      </c>
      <c r="B739" s="1">
        <f>DATE(2010,12,27) + TIME(23,14,43)</f>
        <v>40539.968553240738</v>
      </c>
      <c r="C739">
        <v>80</v>
      </c>
      <c r="D739">
        <v>70.053939818999993</v>
      </c>
      <c r="E739">
        <v>50</v>
      </c>
      <c r="F739">
        <v>49.977741240999997</v>
      </c>
      <c r="G739">
        <v>1233.6789550999999</v>
      </c>
      <c r="H739">
        <v>1199.5737305</v>
      </c>
      <c r="I739">
        <v>1505.5816649999999</v>
      </c>
      <c r="J739">
        <v>1457.6269531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241.51893699999999</v>
      </c>
      <c r="B740" s="1">
        <f>DATE(2010,12,28) + TIME(12,27,16)</f>
        <v>40540.518935185188</v>
      </c>
      <c r="C740">
        <v>80</v>
      </c>
      <c r="D740">
        <v>69.960685729999994</v>
      </c>
      <c r="E740">
        <v>50</v>
      </c>
      <c r="F740">
        <v>49.977767944</v>
      </c>
      <c r="G740">
        <v>1233.5574951000001</v>
      </c>
      <c r="H740">
        <v>1199.4156493999999</v>
      </c>
      <c r="I740">
        <v>1505.4766846</v>
      </c>
      <c r="J740">
        <v>1457.5225829999999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242.06931499999999</v>
      </c>
      <c r="B741" s="1">
        <f>DATE(2010,12,29) + TIME(1,39,48)</f>
        <v>40541.069305555553</v>
      </c>
      <c r="C741">
        <v>80</v>
      </c>
      <c r="D741">
        <v>69.877937317000004</v>
      </c>
      <c r="E741">
        <v>50</v>
      </c>
      <c r="F741">
        <v>49.977790833</v>
      </c>
      <c r="G741">
        <v>1233.4370117000001</v>
      </c>
      <c r="H741">
        <v>1199.2626952999999</v>
      </c>
      <c r="I741">
        <v>1505.3746338000001</v>
      </c>
      <c r="J741">
        <v>1457.4208983999999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242.61969400000001</v>
      </c>
      <c r="B742" s="1">
        <f>DATE(2010,12,29) + TIME(14,52,21)</f>
        <v>40541.619687500002</v>
      </c>
      <c r="C742">
        <v>80</v>
      </c>
      <c r="D742">
        <v>69.799293517999999</v>
      </c>
      <c r="E742">
        <v>50</v>
      </c>
      <c r="F742">
        <v>49.977813720999997</v>
      </c>
      <c r="G742">
        <v>1233.315918</v>
      </c>
      <c r="H742">
        <v>1199.1104736</v>
      </c>
      <c r="I742">
        <v>1505.2738036999999</v>
      </c>
      <c r="J742">
        <v>1457.3204346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243.170073</v>
      </c>
      <c r="B743" s="1">
        <f>DATE(2010,12,30) + TIME(4,4,54)</f>
        <v>40542.170069444444</v>
      </c>
      <c r="C743">
        <v>80</v>
      </c>
      <c r="D743">
        <v>69.722274780000006</v>
      </c>
      <c r="E743">
        <v>50</v>
      </c>
      <c r="F743">
        <v>49.977832794000001</v>
      </c>
      <c r="G743">
        <v>1233.1939697</v>
      </c>
      <c r="H743">
        <v>1198.9578856999999</v>
      </c>
      <c r="I743">
        <v>1505.1738281</v>
      </c>
      <c r="J743">
        <v>1457.2209473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244.27082999999999</v>
      </c>
      <c r="B744" s="1">
        <f>DATE(2010,12,31) + TIME(6,29,59)</f>
        <v>40543.270821759259</v>
      </c>
      <c r="C744">
        <v>80</v>
      </c>
      <c r="D744">
        <v>69.627639771000005</v>
      </c>
      <c r="E744">
        <v>50</v>
      </c>
      <c r="F744">
        <v>49.977878570999998</v>
      </c>
      <c r="G744">
        <v>1233.0725098</v>
      </c>
      <c r="H744">
        <v>1198.7983397999999</v>
      </c>
      <c r="I744">
        <v>1505.0755615</v>
      </c>
      <c r="J744">
        <v>1457.1231689000001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245</v>
      </c>
      <c r="B745" s="1">
        <f>DATE(2011,1,1) + TIME(0,0,0)</f>
        <v>40544</v>
      </c>
      <c r="C745">
        <v>80</v>
      </c>
      <c r="D745">
        <v>69.504714965999995</v>
      </c>
      <c r="E745">
        <v>50</v>
      </c>
      <c r="F745">
        <v>49.977905272999998</v>
      </c>
      <c r="G745">
        <v>1232.8259277</v>
      </c>
      <c r="H745">
        <v>1198.5025635</v>
      </c>
      <c r="I745">
        <v>1504.8818358999999</v>
      </c>
      <c r="J745">
        <v>1456.9301757999999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246.10106500000001</v>
      </c>
      <c r="B746" s="1">
        <f>DATE(2011,1,2) + TIME(2,25,31)</f>
        <v>40545.101053240738</v>
      </c>
      <c r="C746">
        <v>80</v>
      </c>
      <c r="D746">
        <v>69.383972168</v>
      </c>
      <c r="E746">
        <v>50</v>
      </c>
      <c r="F746">
        <v>49.977951050000001</v>
      </c>
      <c r="G746">
        <v>1232.6599120999999</v>
      </c>
      <c r="H746">
        <v>1198.2860106999999</v>
      </c>
      <c r="I746">
        <v>1504.7541504000001</v>
      </c>
      <c r="J746">
        <v>1456.8029785000001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247.242569</v>
      </c>
      <c r="B747" s="1">
        <f>DATE(2011,1,3) + TIME(5,49,17)</f>
        <v>40546.24255787037</v>
      </c>
      <c r="C747">
        <v>80</v>
      </c>
      <c r="D747">
        <v>69.238700867000006</v>
      </c>
      <c r="E747">
        <v>50</v>
      </c>
      <c r="F747">
        <v>49.977993011000002</v>
      </c>
      <c r="G747">
        <v>1232.4083252</v>
      </c>
      <c r="H747">
        <v>1197.9733887</v>
      </c>
      <c r="I747">
        <v>1504.5661620999999</v>
      </c>
      <c r="J747">
        <v>1456.6158447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248.41559000000001</v>
      </c>
      <c r="B748" s="1">
        <f>DATE(2011,1,4) + TIME(9,58,26)</f>
        <v>40547.415578703702</v>
      </c>
      <c r="C748">
        <v>80</v>
      </c>
      <c r="D748">
        <v>69.083541870000005</v>
      </c>
      <c r="E748">
        <v>50</v>
      </c>
      <c r="F748">
        <v>49.978038787999999</v>
      </c>
      <c r="G748">
        <v>1232.1431885</v>
      </c>
      <c r="H748">
        <v>1197.6412353999999</v>
      </c>
      <c r="I748">
        <v>1504.3745117000001</v>
      </c>
      <c r="J748">
        <v>1456.4248047000001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249.627501</v>
      </c>
      <c r="B749" s="1">
        <f>DATE(2011,1,5) + TIME(15,3,36)</f>
        <v>40548.627500000002</v>
      </c>
      <c r="C749">
        <v>80</v>
      </c>
      <c r="D749">
        <v>68.922439574999999</v>
      </c>
      <c r="E749">
        <v>50</v>
      </c>
      <c r="F749">
        <v>49.978084564</v>
      </c>
      <c r="G749">
        <v>1231.8669434000001</v>
      </c>
      <c r="H749">
        <v>1197.2937012</v>
      </c>
      <c r="I749">
        <v>1504.1813964999999</v>
      </c>
      <c r="J749">
        <v>1456.2324219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250.843479</v>
      </c>
      <c r="B750" s="1">
        <f>DATE(2011,1,6) + TIME(20,14,36)</f>
        <v>40549.843472222223</v>
      </c>
      <c r="C750">
        <v>80</v>
      </c>
      <c r="D750">
        <v>68.756706238000007</v>
      </c>
      <c r="E750">
        <v>50</v>
      </c>
      <c r="F750">
        <v>49.978130341000004</v>
      </c>
      <c r="G750">
        <v>1231.5772704999999</v>
      </c>
      <c r="H750">
        <v>1196.9289550999999</v>
      </c>
      <c r="I750">
        <v>1503.9858397999999</v>
      </c>
      <c r="J750">
        <v>1456.0375977000001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252.063838</v>
      </c>
      <c r="B751" s="1">
        <f>DATE(2011,1,8) + TIME(1,31,55)</f>
        <v>40551.063831018517</v>
      </c>
      <c r="C751">
        <v>80</v>
      </c>
      <c r="D751">
        <v>68.589210510000001</v>
      </c>
      <c r="E751">
        <v>50</v>
      </c>
      <c r="F751">
        <v>49.978176116999997</v>
      </c>
      <c r="G751">
        <v>1231.2823486</v>
      </c>
      <c r="H751">
        <v>1196.5560303</v>
      </c>
      <c r="I751">
        <v>1503.7933350000001</v>
      </c>
      <c r="J751">
        <v>1455.8458252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253.29587100000001</v>
      </c>
      <c r="B752" s="1">
        <f>DATE(2011,1,9) + TIME(7,6,3)</f>
        <v>40552.295868055553</v>
      </c>
      <c r="C752">
        <v>80</v>
      </c>
      <c r="D752">
        <v>68.420219420999999</v>
      </c>
      <c r="E752">
        <v>50</v>
      </c>
      <c r="F752">
        <v>49.978225707999997</v>
      </c>
      <c r="G752">
        <v>1230.9816894999999</v>
      </c>
      <c r="H752">
        <v>1196.1750488</v>
      </c>
      <c r="I752">
        <v>1503.6040039</v>
      </c>
      <c r="J752">
        <v>1455.6571045000001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254.546774</v>
      </c>
      <c r="B753" s="1">
        <f>DATE(2011,1,10) + TIME(13,7,21)</f>
        <v>40553.546770833331</v>
      </c>
      <c r="C753">
        <v>80</v>
      </c>
      <c r="D753">
        <v>68.248908997000001</v>
      </c>
      <c r="E753">
        <v>50</v>
      </c>
      <c r="F753">
        <v>49.978271483999997</v>
      </c>
      <c r="G753">
        <v>1230.6734618999999</v>
      </c>
      <c r="H753">
        <v>1195.7833252</v>
      </c>
      <c r="I753">
        <v>1503.4165039</v>
      </c>
      <c r="J753">
        <v>1455.4703368999999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255.82381000000001</v>
      </c>
      <c r="B754" s="1">
        <f>DATE(2011,1,11) + TIME(19,46,17)</f>
        <v>40554.823807870373</v>
      </c>
      <c r="C754">
        <v>80</v>
      </c>
      <c r="D754">
        <v>68.074172974000007</v>
      </c>
      <c r="E754">
        <v>50</v>
      </c>
      <c r="F754">
        <v>49.978321074999997</v>
      </c>
      <c r="G754">
        <v>1230.3557129000001</v>
      </c>
      <c r="H754">
        <v>1195.3782959</v>
      </c>
      <c r="I754">
        <v>1503.2297363</v>
      </c>
      <c r="J754">
        <v>1455.2843018000001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257.13244099999997</v>
      </c>
      <c r="B755" s="1">
        <f>DATE(2011,1,13) + TIME(3,10,42)</f>
        <v>40556.132430555554</v>
      </c>
      <c r="C755">
        <v>80</v>
      </c>
      <c r="D755">
        <v>67.894912719999994</v>
      </c>
      <c r="E755">
        <v>50</v>
      </c>
      <c r="F755">
        <v>49.978370667</v>
      </c>
      <c r="G755">
        <v>1230.026001</v>
      </c>
      <c r="H755">
        <v>1194.9570312000001</v>
      </c>
      <c r="I755">
        <v>1503.0427245999999</v>
      </c>
      <c r="J755">
        <v>1455.0979004000001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258.44858399999998</v>
      </c>
      <c r="B756" s="1">
        <f>DATE(2011,1,14) + TIME(10,45,57)</f>
        <v>40557.448576388888</v>
      </c>
      <c r="C756">
        <v>80</v>
      </c>
      <c r="D756">
        <v>67.711013793999996</v>
      </c>
      <c r="E756">
        <v>50</v>
      </c>
      <c r="F756">
        <v>49.978420258</v>
      </c>
      <c r="G756">
        <v>1229.6824951000001</v>
      </c>
      <c r="H756">
        <v>1194.5172118999999</v>
      </c>
      <c r="I756">
        <v>1502.8548584</v>
      </c>
      <c r="J756">
        <v>1454.9106445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259.767652</v>
      </c>
      <c r="B757" s="1">
        <f>DATE(2011,1,15) + TIME(18,25,25)</f>
        <v>40558.767650462964</v>
      </c>
      <c r="C757">
        <v>80</v>
      </c>
      <c r="D757">
        <v>67.524467467999997</v>
      </c>
      <c r="E757">
        <v>50</v>
      </c>
      <c r="F757">
        <v>49.978466034</v>
      </c>
      <c r="G757">
        <v>1229.3310547000001</v>
      </c>
      <c r="H757">
        <v>1194.0655518000001</v>
      </c>
      <c r="I757">
        <v>1502.6694336</v>
      </c>
      <c r="J757">
        <v>1454.7258300999999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261.09696300000002</v>
      </c>
      <c r="B758" s="1">
        <f>DATE(2011,1,17) + TIME(2,19,37)</f>
        <v>40560.096956018519</v>
      </c>
      <c r="C758">
        <v>80</v>
      </c>
      <c r="D758">
        <v>67.335655212000006</v>
      </c>
      <c r="E758">
        <v>50</v>
      </c>
      <c r="F758">
        <v>49.978515625</v>
      </c>
      <c r="G758">
        <v>1228.9725341999999</v>
      </c>
      <c r="H758">
        <v>1193.6032714999999</v>
      </c>
      <c r="I758">
        <v>1502.4871826000001</v>
      </c>
      <c r="J758">
        <v>1454.5440673999999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262.44374499999998</v>
      </c>
      <c r="B759" s="1">
        <f>DATE(2011,1,18) + TIME(10,38,59)</f>
        <v>40561.443738425929</v>
      </c>
      <c r="C759">
        <v>80</v>
      </c>
      <c r="D759">
        <v>67.143722534000005</v>
      </c>
      <c r="E759">
        <v>50</v>
      </c>
      <c r="F759">
        <v>49.978565216</v>
      </c>
      <c r="G759">
        <v>1228.6049805</v>
      </c>
      <c r="H759">
        <v>1193.1276855000001</v>
      </c>
      <c r="I759">
        <v>1502.3068848</v>
      </c>
      <c r="J759">
        <v>1454.3643798999999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263.814795</v>
      </c>
      <c r="B760" s="1">
        <f>DATE(2011,1,19) + TIME(19,33,18)</f>
        <v>40562.814791666664</v>
      </c>
      <c r="C760">
        <v>80</v>
      </c>
      <c r="D760">
        <v>66.947685242000006</v>
      </c>
      <c r="E760">
        <v>50</v>
      </c>
      <c r="F760">
        <v>49.978614807</v>
      </c>
      <c r="G760">
        <v>1228.2260742000001</v>
      </c>
      <c r="H760">
        <v>1192.6357422000001</v>
      </c>
      <c r="I760">
        <v>1502.1275635</v>
      </c>
      <c r="J760">
        <v>1454.1856689000001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265.21746400000001</v>
      </c>
      <c r="B761" s="1">
        <f>DATE(2011,1,21) + TIME(5,13,8)</f>
        <v>40564.217453703706</v>
      </c>
      <c r="C761">
        <v>80</v>
      </c>
      <c r="D761">
        <v>66.746246338000006</v>
      </c>
      <c r="E761">
        <v>50</v>
      </c>
      <c r="F761">
        <v>49.978668212999999</v>
      </c>
      <c r="G761">
        <v>1227.833374</v>
      </c>
      <c r="H761">
        <v>1192.1243896000001</v>
      </c>
      <c r="I761">
        <v>1501.9484863</v>
      </c>
      <c r="J761">
        <v>1454.0070800999999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265.93060100000002</v>
      </c>
      <c r="B762" s="1">
        <f>DATE(2011,1,21) + TIME(22,20,3)</f>
        <v>40564.930590277778</v>
      </c>
      <c r="C762">
        <v>80</v>
      </c>
      <c r="D762">
        <v>66.572265625</v>
      </c>
      <c r="E762">
        <v>50</v>
      </c>
      <c r="F762">
        <v>49.978691101000003</v>
      </c>
      <c r="G762">
        <v>1227.4250488</v>
      </c>
      <c r="H762">
        <v>1191.6086425999999</v>
      </c>
      <c r="I762">
        <v>1501.7687988</v>
      </c>
      <c r="J762">
        <v>1453.8280029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266.64373799999998</v>
      </c>
      <c r="B763" s="1">
        <f>DATE(2011,1,22) + TIME(15,26,58)</f>
        <v>40565.643726851849</v>
      </c>
      <c r="C763">
        <v>80</v>
      </c>
      <c r="D763">
        <v>66.443145752000007</v>
      </c>
      <c r="E763">
        <v>50</v>
      </c>
      <c r="F763">
        <v>49.978717803999999</v>
      </c>
      <c r="G763">
        <v>1227.2093506000001</v>
      </c>
      <c r="H763">
        <v>1191.3137207</v>
      </c>
      <c r="I763">
        <v>1501.6770019999999</v>
      </c>
      <c r="J763">
        <v>1453.7363281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267.356874</v>
      </c>
      <c r="B764" s="1">
        <f>DATE(2011,1,23) + TIME(8,33,53)</f>
        <v>40566.356863425928</v>
      </c>
      <c r="C764">
        <v>80</v>
      </c>
      <c r="D764">
        <v>66.328170775999993</v>
      </c>
      <c r="E764">
        <v>50</v>
      </c>
      <c r="F764">
        <v>49.978744507000002</v>
      </c>
      <c r="G764">
        <v>1226.9949951000001</v>
      </c>
      <c r="H764">
        <v>1191.0281981999999</v>
      </c>
      <c r="I764">
        <v>1501.5875243999999</v>
      </c>
      <c r="J764">
        <v>1453.6472168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268.07001100000002</v>
      </c>
      <c r="B765" s="1">
        <f>DATE(2011,1,24) + TIME(1,40,48)</f>
        <v>40567.07</v>
      </c>
      <c r="C765">
        <v>80</v>
      </c>
      <c r="D765">
        <v>66.217308044000006</v>
      </c>
      <c r="E765">
        <v>50</v>
      </c>
      <c r="F765">
        <v>49.978771209999998</v>
      </c>
      <c r="G765">
        <v>1226.7791748</v>
      </c>
      <c r="H765">
        <v>1190.7427978999999</v>
      </c>
      <c r="I765">
        <v>1501.4989014</v>
      </c>
      <c r="J765">
        <v>1453.5588379000001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268.78314799999998</v>
      </c>
      <c r="B766" s="1">
        <f>DATE(2011,1,24) + TIME(18,47,43)</f>
        <v>40567.783136574071</v>
      </c>
      <c r="C766">
        <v>80</v>
      </c>
      <c r="D766">
        <v>66.107284546000002</v>
      </c>
      <c r="E766">
        <v>50</v>
      </c>
      <c r="F766">
        <v>49.978797913000001</v>
      </c>
      <c r="G766">
        <v>1226.5614014</v>
      </c>
      <c r="H766">
        <v>1190.4553223</v>
      </c>
      <c r="I766">
        <v>1501.4111327999999</v>
      </c>
      <c r="J766">
        <v>1453.4713135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270.20942100000002</v>
      </c>
      <c r="B767" s="1">
        <f>DATE(2011,1,26) + TIME(5,1,33)</f>
        <v>40569.209409722222</v>
      </c>
      <c r="C767">
        <v>80</v>
      </c>
      <c r="D767">
        <v>65.975540160999998</v>
      </c>
      <c r="E767">
        <v>50</v>
      </c>
      <c r="F767">
        <v>49.978851317999997</v>
      </c>
      <c r="G767">
        <v>1226.3416748</v>
      </c>
      <c r="H767">
        <v>1190.1533202999999</v>
      </c>
      <c r="I767">
        <v>1501.324707</v>
      </c>
      <c r="J767">
        <v>1453.3851318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271.63630999999998</v>
      </c>
      <c r="B768" s="1">
        <f>DATE(2011,1,27) + TIME(15,16,17)</f>
        <v>40570.636307870373</v>
      </c>
      <c r="C768">
        <v>80</v>
      </c>
      <c r="D768">
        <v>65.770980835000003</v>
      </c>
      <c r="E768">
        <v>50</v>
      </c>
      <c r="F768">
        <v>49.978897095000001</v>
      </c>
      <c r="G768">
        <v>1225.9011230000001</v>
      </c>
      <c r="H768">
        <v>1189.5808105000001</v>
      </c>
      <c r="I768">
        <v>1501.1540527</v>
      </c>
      <c r="J768">
        <v>1453.2148437999999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273.09517899999997</v>
      </c>
      <c r="B769" s="1">
        <f>DATE(2011,1,29) + TIME(2,17,3)</f>
        <v>40572.095173611109</v>
      </c>
      <c r="C769">
        <v>80</v>
      </c>
      <c r="D769">
        <v>65.548408507999994</v>
      </c>
      <c r="E769">
        <v>50</v>
      </c>
      <c r="F769">
        <v>49.978950500000003</v>
      </c>
      <c r="G769">
        <v>1225.4487305</v>
      </c>
      <c r="H769">
        <v>1188.9816894999999</v>
      </c>
      <c r="I769">
        <v>1500.9854736</v>
      </c>
      <c r="J769">
        <v>1453.0467529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274.59318400000001</v>
      </c>
      <c r="B770" s="1">
        <f>DATE(2011,1,30) + TIME(14,14,11)</f>
        <v>40573.593182870369</v>
      </c>
      <c r="C770">
        <v>80</v>
      </c>
      <c r="D770">
        <v>65.315025329999997</v>
      </c>
      <c r="E770">
        <v>50</v>
      </c>
      <c r="F770">
        <v>49.979003906000003</v>
      </c>
      <c r="G770">
        <v>1224.9771728999999</v>
      </c>
      <c r="H770">
        <v>1188.3538818</v>
      </c>
      <c r="I770">
        <v>1500.8162841999999</v>
      </c>
      <c r="J770">
        <v>1452.8779297000001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276</v>
      </c>
      <c r="B771" s="1">
        <f>DATE(2011,2,1) + TIME(0,0,0)</f>
        <v>40575</v>
      </c>
      <c r="C771">
        <v>80</v>
      </c>
      <c r="D771">
        <v>65.075027465999995</v>
      </c>
      <c r="E771">
        <v>50</v>
      </c>
      <c r="F771">
        <v>49.979053497000002</v>
      </c>
      <c r="G771">
        <v>1224.4838867000001</v>
      </c>
      <c r="H771">
        <v>1187.6968993999999</v>
      </c>
      <c r="I771">
        <v>1500.6455077999999</v>
      </c>
      <c r="J771">
        <v>1452.7076416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277.545772</v>
      </c>
      <c r="B772" s="1">
        <f>DATE(2011,2,2) + TIME(13,5,54)</f>
        <v>40576.545763888891</v>
      </c>
      <c r="C772">
        <v>80</v>
      </c>
      <c r="D772">
        <v>64.835212708</v>
      </c>
      <c r="E772">
        <v>50</v>
      </c>
      <c r="F772">
        <v>49.979106903000002</v>
      </c>
      <c r="G772">
        <v>1224.0109863</v>
      </c>
      <c r="H772">
        <v>1187.0585937999999</v>
      </c>
      <c r="I772">
        <v>1500.487793</v>
      </c>
      <c r="J772">
        <v>1452.550293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279.104018</v>
      </c>
      <c r="B773" s="1">
        <f>DATE(2011,2,4) + TIME(2,29,47)</f>
        <v>40578.104016203702</v>
      </c>
      <c r="C773">
        <v>80</v>
      </c>
      <c r="D773">
        <v>64.576614379999995</v>
      </c>
      <c r="E773">
        <v>50</v>
      </c>
      <c r="F773">
        <v>49.979160309000001</v>
      </c>
      <c r="G773">
        <v>1223.4832764</v>
      </c>
      <c r="H773">
        <v>1186.3499756000001</v>
      </c>
      <c r="I773">
        <v>1500.3176269999999</v>
      </c>
      <c r="J773">
        <v>1452.3806152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280.679124</v>
      </c>
      <c r="B774" s="1">
        <f>DATE(2011,2,5) + TIME(16,17,56)</f>
        <v>40579.679120370369</v>
      </c>
      <c r="C774">
        <v>80</v>
      </c>
      <c r="D774">
        <v>64.308227539000001</v>
      </c>
      <c r="E774">
        <v>50</v>
      </c>
      <c r="F774">
        <v>49.979213715</v>
      </c>
      <c r="G774">
        <v>1222.9403076000001</v>
      </c>
      <c r="H774">
        <v>1185.6165771000001</v>
      </c>
      <c r="I774">
        <v>1500.1490478999999</v>
      </c>
      <c r="J774">
        <v>1452.2124022999999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282.27992399999999</v>
      </c>
      <c r="B775" s="1">
        <f>DATE(2011,2,7) + TIME(6,43,5)</f>
        <v>40581.279918981483</v>
      </c>
      <c r="C775">
        <v>80</v>
      </c>
      <c r="D775">
        <v>64.030593871999997</v>
      </c>
      <c r="E775">
        <v>50</v>
      </c>
      <c r="F775">
        <v>49.979270935000002</v>
      </c>
      <c r="G775">
        <v>1222.3808594</v>
      </c>
      <c r="H775">
        <v>1184.8575439000001</v>
      </c>
      <c r="I775">
        <v>1499.9815673999999</v>
      </c>
      <c r="J775">
        <v>1452.0452881000001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283.91326700000002</v>
      </c>
      <c r="B776" s="1">
        <f>DATE(2011,2,8) + TIME(21,55,6)</f>
        <v>40582.913263888891</v>
      </c>
      <c r="C776">
        <v>80</v>
      </c>
      <c r="D776">
        <v>63.742134094000001</v>
      </c>
      <c r="E776">
        <v>50</v>
      </c>
      <c r="F776">
        <v>49.979324341000002</v>
      </c>
      <c r="G776">
        <v>1221.8011475000001</v>
      </c>
      <c r="H776">
        <v>1184.0683594</v>
      </c>
      <c r="I776">
        <v>1499.8143310999999</v>
      </c>
      <c r="J776">
        <v>1451.878418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284.74558400000001</v>
      </c>
      <c r="B777" s="1">
        <f>DATE(2011,2,9) + TIME(17,53,38)</f>
        <v>40583.745578703703</v>
      </c>
      <c r="C777">
        <v>80</v>
      </c>
      <c r="D777">
        <v>63.484954834</v>
      </c>
      <c r="E777">
        <v>50</v>
      </c>
      <c r="F777">
        <v>49.979351043999998</v>
      </c>
      <c r="G777">
        <v>1221.2006836</v>
      </c>
      <c r="H777">
        <v>1183.2740478999999</v>
      </c>
      <c r="I777">
        <v>1499.6468506000001</v>
      </c>
      <c r="J777">
        <v>1451.7113036999999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285.577901</v>
      </c>
      <c r="B778" s="1">
        <f>DATE(2011,2,10) + TIME(13,52,10)</f>
        <v>40584.577893518515</v>
      </c>
      <c r="C778">
        <v>80</v>
      </c>
      <c r="D778">
        <v>63.298225403000004</v>
      </c>
      <c r="E778">
        <v>50</v>
      </c>
      <c r="F778">
        <v>49.979381560999997</v>
      </c>
      <c r="G778">
        <v>1220.8814697</v>
      </c>
      <c r="H778">
        <v>1182.8171387</v>
      </c>
      <c r="I778">
        <v>1499.5609131000001</v>
      </c>
      <c r="J778">
        <v>1451.6256103999999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286.41021799999999</v>
      </c>
      <c r="B779" s="1">
        <f>DATE(2011,2,11) + TIME(9,50,42)</f>
        <v>40585.410208333335</v>
      </c>
      <c r="C779">
        <v>80</v>
      </c>
      <c r="D779">
        <v>63.130565642999997</v>
      </c>
      <c r="E779">
        <v>50</v>
      </c>
      <c r="F779">
        <v>49.979412078999999</v>
      </c>
      <c r="G779">
        <v>1220.5644531</v>
      </c>
      <c r="H779">
        <v>1182.3757324000001</v>
      </c>
      <c r="I779">
        <v>1499.4772949000001</v>
      </c>
      <c r="J779">
        <v>1451.5419922000001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287.24253499999998</v>
      </c>
      <c r="B780" s="1">
        <f>DATE(2011,2,12) + TIME(5,49,14)</f>
        <v>40586.242523148147</v>
      </c>
      <c r="C780">
        <v>80</v>
      </c>
      <c r="D780">
        <v>62.967033385999997</v>
      </c>
      <c r="E780">
        <v>50</v>
      </c>
      <c r="F780">
        <v>49.979438782000003</v>
      </c>
      <c r="G780">
        <v>1220.2454834</v>
      </c>
      <c r="H780">
        <v>1181.9348144999999</v>
      </c>
      <c r="I780">
        <v>1499.3942870999999</v>
      </c>
      <c r="J780">
        <v>1451.4592285000001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288.07485200000002</v>
      </c>
      <c r="B781" s="1">
        <f>DATE(2011,2,13) + TIME(1,47,47)</f>
        <v>40587.074849537035</v>
      </c>
      <c r="C781">
        <v>80</v>
      </c>
      <c r="D781">
        <v>62.803268433</v>
      </c>
      <c r="E781">
        <v>50</v>
      </c>
      <c r="F781">
        <v>49.979465484999999</v>
      </c>
      <c r="G781">
        <v>1219.9235839999999</v>
      </c>
      <c r="H781">
        <v>1181.4902344</v>
      </c>
      <c r="I781">
        <v>1499.3120117000001</v>
      </c>
      <c r="J781">
        <v>1451.3771973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288.90716900000001</v>
      </c>
      <c r="B782" s="1">
        <f>DATE(2011,2,13) + TIME(21,46,19)</f>
        <v>40587.907164351855</v>
      </c>
      <c r="C782">
        <v>80</v>
      </c>
      <c r="D782">
        <v>62.637989044000001</v>
      </c>
      <c r="E782">
        <v>50</v>
      </c>
      <c r="F782">
        <v>49.979496001999998</v>
      </c>
      <c r="G782">
        <v>1219.5988769999999</v>
      </c>
      <c r="H782">
        <v>1181.0411377</v>
      </c>
      <c r="I782">
        <v>1499.2304687999999</v>
      </c>
      <c r="J782">
        <v>1451.2957764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290.57180299999999</v>
      </c>
      <c r="B783" s="1">
        <f>DATE(2011,2,15) + TIME(13,43,23)</f>
        <v>40589.571793981479</v>
      </c>
      <c r="C783">
        <v>80</v>
      </c>
      <c r="D783">
        <v>62.442481995000001</v>
      </c>
      <c r="E783">
        <v>50</v>
      </c>
      <c r="F783">
        <v>49.979553223000003</v>
      </c>
      <c r="G783">
        <v>1219.2703856999999</v>
      </c>
      <c r="H783">
        <v>1180.5682373</v>
      </c>
      <c r="I783">
        <v>1499.1500243999999</v>
      </c>
      <c r="J783">
        <v>1451.2155762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292.24035600000002</v>
      </c>
      <c r="B784" s="1">
        <f>DATE(2011,2,17) + TIME(5,46,6)</f>
        <v>40591.240347222221</v>
      </c>
      <c r="C784">
        <v>80</v>
      </c>
      <c r="D784">
        <v>62.127147675000003</v>
      </c>
      <c r="E784">
        <v>50</v>
      </c>
      <c r="F784">
        <v>49.979606627999999</v>
      </c>
      <c r="G784">
        <v>1218.6132812000001</v>
      </c>
      <c r="H784">
        <v>1179.6728516000001</v>
      </c>
      <c r="I784">
        <v>1498.9912108999999</v>
      </c>
      <c r="J784">
        <v>1451.0570068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293.953284</v>
      </c>
      <c r="B785" s="1">
        <f>DATE(2011,2,18) + TIME(22,52,43)</f>
        <v>40592.953275462962</v>
      </c>
      <c r="C785">
        <v>80</v>
      </c>
      <c r="D785">
        <v>61.782245635999999</v>
      </c>
      <c r="E785">
        <v>50</v>
      </c>
      <c r="F785">
        <v>49.979663848999998</v>
      </c>
      <c r="G785">
        <v>1217.9371338000001</v>
      </c>
      <c r="H785">
        <v>1178.7329102000001</v>
      </c>
      <c r="I785">
        <v>1498.8337402</v>
      </c>
      <c r="J785">
        <v>1450.8999022999999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295.71911299999999</v>
      </c>
      <c r="B786" s="1">
        <f>DATE(2011,2,20) + TIME(17,15,31)</f>
        <v>40594.719108796293</v>
      </c>
      <c r="C786">
        <v>80</v>
      </c>
      <c r="D786">
        <v>61.41702652</v>
      </c>
      <c r="E786">
        <v>50</v>
      </c>
      <c r="F786">
        <v>49.979721069</v>
      </c>
      <c r="G786">
        <v>1217.2298584</v>
      </c>
      <c r="H786">
        <v>1177.7448730000001</v>
      </c>
      <c r="I786">
        <v>1498.6749268000001</v>
      </c>
      <c r="J786">
        <v>1450.7413329999999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297.520107</v>
      </c>
      <c r="B787" s="1">
        <f>DATE(2011,2,22) + TIME(12,28,57)</f>
        <v>40596.520104166666</v>
      </c>
      <c r="C787">
        <v>80</v>
      </c>
      <c r="D787">
        <v>61.031436919999997</v>
      </c>
      <c r="E787">
        <v>50</v>
      </c>
      <c r="F787">
        <v>49.979778289999999</v>
      </c>
      <c r="G787">
        <v>1216.4874268000001</v>
      </c>
      <c r="H787">
        <v>1176.7039795000001</v>
      </c>
      <c r="I787">
        <v>1498.5137939000001</v>
      </c>
      <c r="J787">
        <v>1450.5804443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299.32805100000002</v>
      </c>
      <c r="B788" s="1">
        <f>DATE(2011,2,24) + TIME(7,52,23)</f>
        <v>40598.328043981484</v>
      </c>
      <c r="C788">
        <v>80</v>
      </c>
      <c r="D788">
        <v>60.628608704000001</v>
      </c>
      <c r="E788">
        <v>50</v>
      </c>
      <c r="F788">
        <v>49.979839325</v>
      </c>
      <c r="G788">
        <v>1215.7163086</v>
      </c>
      <c r="H788">
        <v>1175.6190185999999</v>
      </c>
      <c r="I788">
        <v>1498.3521728999999</v>
      </c>
      <c r="J788">
        <v>1450.4191894999999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301.15290399999998</v>
      </c>
      <c r="B789" s="1">
        <f>DATE(2011,2,26) + TIME(3,40,10)</f>
        <v>40600.15289351852</v>
      </c>
      <c r="C789">
        <v>80</v>
      </c>
      <c r="D789">
        <v>60.212799072000003</v>
      </c>
      <c r="E789">
        <v>50</v>
      </c>
      <c r="F789">
        <v>49.979896545000003</v>
      </c>
      <c r="G789">
        <v>1214.9278564000001</v>
      </c>
      <c r="H789">
        <v>1174.5047606999999</v>
      </c>
      <c r="I789">
        <v>1498.1925048999999</v>
      </c>
      <c r="J789">
        <v>1450.2597656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303.00419900000003</v>
      </c>
      <c r="B790" s="1">
        <f>DATE(2011,2,28) + TIME(0,6,2)</f>
        <v>40602.004189814812</v>
      </c>
      <c r="C790">
        <v>80</v>
      </c>
      <c r="D790">
        <v>59.781913756999998</v>
      </c>
      <c r="E790">
        <v>50</v>
      </c>
      <c r="F790">
        <v>49.979957581000001</v>
      </c>
      <c r="G790">
        <v>1214.1180420000001</v>
      </c>
      <c r="H790">
        <v>1173.3558350000001</v>
      </c>
      <c r="I790">
        <v>1498.0339355000001</v>
      </c>
      <c r="J790">
        <v>1450.1015625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304</v>
      </c>
      <c r="B791" s="1">
        <f>DATE(2011,3,1) + TIME(0,0,0)</f>
        <v>40603</v>
      </c>
      <c r="C791">
        <v>80</v>
      </c>
      <c r="D791">
        <v>59.387271880999997</v>
      </c>
      <c r="E791">
        <v>50</v>
      </c>
      <c r="F791">
        <v>49.979984283</v>
      </c>
      <c r="G791">
        <v>1213.2849120999999</v>
      </c>
      <c r="H791">
        <v>1172.2054443</v>
      </c>
      <c r="I791">
        <v>1497.8759766000001</v>
      </c>
      <c r="J791">
        <v>1449.9437256000001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305.88910299999998</v>
      </c>
      <c r="B792" s="1">
        <f>DATE(2011,3,2) + TIME(21,20,18)</f>
        <v>40604.889097222222</v>
      </c>
      <c r="C792">
        <v>80</v>
      </c>
      <c r="D792">
        <v>59.063629149999997</v>
      </c>
      <c r="E792">
        <v>50</v>
      </c>
      <c r="F792">
        <v>49.980049133000001</v>
      </c>
      <c r="G792">
        <v>1212.8200684000001</v>
      </c>
      <c r="H792">
        <v>1171.4874268000001</v>
      </c>
      <c r="I792">
        <v>1497.7908935999999</v>
      </c>
      <c r="J792">
        <v>1449.8587646000001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307.81241399999999</v>
      </c>
      <c r="B793" s="1">
        <f>DATE(2011,3,4) + TIME(19,29,52)</f>
        <v>40606.812407407408</v>
      </c>
      <c r="C793">
        <v>80</v>
      </c>
      <c r="D793">
        <v>58.609207153</v>
      </c>
      <c r="E793">
        <v>50</v>
      </c>
      <c r="F793">
        <v>49.980106354</v>
      </c>
      <c r="G793">
        <v>1211.9505615</v>
      </c>
      <c r="H793">
        <v>1170.2576904</v>
      </c>
      <c r="I793">
        <v>1497.6339111</v>
      </c>
      <c r="J793">
        <v>1449.7020264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309.74095899999998</v>
      </c>
      <c r="B794" s="1">
        <f>DATE(2011,3,6) + TIME(17,46,58)</f>
        <v>40608.740949074076</v>
      </c>
      <c r="C794">
        <v>80</v>
      </c>
      <c r="D794">
        <v>58.118541718000003</v>
      </c>
      <c r="E794">
        <v>50</v>
      </c>
      <c r="F794">
        <v>49.980167389000002</v>
      </c>
      <c r="G794">
        <v>1211.0455322</v>
      </c>
      <c r="H794">
        <v>1168.9600829999999</v>
      </c>
      <c r="I794">
        <v>1497.4759521000001</v>
      </c>
      <c r="J794">
        <v>1449.5443115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311.68574000000001</v>
      </c>
      <c r="B795" s="1">
        <f>DATE(2011,3,8) + TIME(16,27,27)</f>
        <v>40610.685729166667</v>
      </c>
      <c r="C795">
        <v>80</v>
      </c>
      <c r="D795">
        <v>57.611282349</v>
      </c>
      <c r="E795">
        <v>50</v>
      </c>
      <c r="F795">
        <v>49.980228424000003</v>
      </c>
      <c r="G795">
        <v>1210.1225586</v>
      </c>
      <c r="H795">
        <v>1167.6290283000001</v>
      </c>
      <c r="I795">
        <v>1497.3199463000001</v>
      </c>
      <c r="J795">
        <v>1449.3885498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313.65810699999997</v>
      </c>
      <c r="B796" s="1">
        <f>DATE(2011,3,10) + TIME(15,47,40)</f>
        <v>40612.658101851855</v>
      </c>
      <c r="C796">
        <v>80</v>
      </c>
      <c r="D796">
        <v>57.087425232000001</v>
      </c>
      <c r="E796">
        <v>50</v>
      </c>
      <c r="F796">
        <v>49.980289458999998</v>
      </c>
      <c r="G796">
        <v>1209.1770019999999</v>
      </c>
      <c r="H796">
        <v>1166.2597656</v>
      </c>
      <c r="I796">
        <v>1497.1650391000001</v>
      </c>
      <c r="J796">
        <v>1449.2338867000001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315.669129</v>
      </c>
      <c r="B797" s="1">
        <f>DATE(2011,3,12) + TIME(16,3,32)</f>
        <v>40614.669120370374</v>
      </c>
      <c r="C797">
        <v>80</v>
      </c>
      <c r="D797">
        <v>56.544902802000003</v>
      </c>
      <c r="E797">
        <v>50</v>
      </c>
      <c r="F797">
        <v>49.980350494</v>
      </c>
      <c r="G797">
        <v>1208.2034911999999</v>
      </c>
      <c r="H797">
        <v>1164.8448486</v>
      </c>
      <c r="I797">
        <v>1497.010376</v>
      </c>
      <c r="J797">
        <v>1449.0794678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316.69424299999997</v>
      </c>
      <c r="B798" s="1">
        <f>DATE(2011,3,13) + TIME(16,39,42)</f>
        <v>40615.694236111114</v>
      </c>
      <c r="C798">
        <v>80</v>
      </c>
      <c r="D798">
        <v>56.049510955999999</v>
      </c>
      <c r="E798">
        <v>50</v>
      </c>
      <c r="F798">
        <v>49.980381012000002</v>
      </c>
      <c r="G798">
        <v>1207.1988524999999</v>
      </c>
      <c r="H798">
        <v>1163.4300536999999</v>
      </c>
      <c r="I798">
        <v>1496.8551024999999</v>
      </c>
      <c r="J798">
        <v>1448.9244385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318.14700299999998</v>
      </c>
      <c r="B799" s="1">
        <f>DATE(2011,3,15) + TIME(3,31,41)</f>
        <v>40617.147002314814</v>
      </c>
      <c r="C799">
        <v>80</v>
      </c>
      <c r="D799">
        <v>55.679367065000001</v>
      </c>
      <c r="E799">
        <v>50</v>
      </c>
      <c r="F799">
        <v>49.980426788000003</v>
      </c>
      <c r="G799">
        <v>1206.6699219</v>
      </c>
      <c r="H799">
        <v>1162.5979004000001</v>
      </c>
      <c r="I799">
        <v>1496.7756348</v>
      </c>
      <c r="J799">
        <v>1448.8449707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320.18633599999998</v>
      </c>
      <c r="B800" s="1">
        <f>DATE(2011,3,17) + TIME(4,28,19)</f>
        <v>40619.186331018522</v>
      </c>
      <c r="C800">
        <v>80</v>
      </c>
      <c r="D800">
        <v>55.244628906000003</v>
      </c>
      <c r="E800">
        <v>50</v>
      </c>
      <c r="F800">
        <v>49.980487822999997</v>
      </c>
      <c r="G800">
        <v>1205.9291992000001</v>
      </c>
      <c r="H800">
        <v>1161.5004882999999</v>
      </c>
      <c r="I800">
        <v>1496.6660156</v>
      </c>
      <c r="J800">
        <v>1448.7355957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322.24059399999999</v>
      </c>
      <c r="B801" s="1">
        <f>DATE(2011,3,19) + TIME(5,46,27)</f>
        <v>40621.240590277775</v>
      </c>
      <c r="C801">
        <v>80</v>
      </c>
      <c r="D801">
        <v>54.669181823999999</v>
      </c>
      <c r="E801">
        <v>50</v>
      </c>
      <c r="F801">
        <v>49.980548859000002</v>
      </c>
      <c r="G801">
        <v>1204.8798827999999</v>
      </c>
      <c r="H801">
        <v>1159.9743652</v>
      </c>
      <c r="I801">
        <v>1496.5137939000001</v>
      </c>
      <c r="J801">
        <v>1448.5834961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324.32303100000001</v>
      </c>
      <c r="B802" s="1">
        <f>DATE(2011,3,21) + TIME(7,45,9)</f>
        <v>40623.323020833333</v>
      </c>
      <c r="C802">
        <v>80</v>
      </c>
      <c r="D802">
        <v>54.060993195000002</v>
      </c>
      <c r="E802">
        <v>50</v>
      </c>
      <c r="F802">
        <v>49.980609893999997</v>
      </c>
      <c r="G802">
        <v>1203.8044434000001</v>
      </c>
      <c r="H802">
        <v>1158.3892822</v>
      </c>
      <c r="I802">
        <v>1496.3623047000001</v>
      </c>
      <c r="J802">
        <v>1448.432251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326.44525199999998</v>
      </c>
      <c r="B803" s="1">
        <f>DATE(2011,3,23) + TIME(10,41,9)</f>
        <v>40625.445243055554</v>
      </c>
      <c r="C803">
        <v>80</v>
      </c>
      <c r="D803">
        <v>53.432903289999999</v>
      </c>
      <c r="E803">
        <v>50</v>
      </c>
      <c r="F803">
        <v>49.980674743999998</v>
      </c>
      <c r="G803">
        <v>1202.7000731999999</v>
      </c>
      <c r="H803">
        <v>1156.7537841999999</v>
      </c>
      <c r="I803">
        <v>1496.2108154</v>
      </c>
      <c r="J803">
        <v>1448.2810059000001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328.61976700000002</v>
      </c>
      <c r="B804" s="1">
        <f>DATE(2011,3,25) + TIME(14,52,27)</f>
        <v>40627.619756944441</v>
      </c>
      <c r="C804">
        <v>80</v>
      </c>
      <c r="D804">
        <v>52.783260345000002</v>
      </c>
      <c r="E804">
        <v>50</v>
      </c>
      <c r="F804">
        <v>49.980739593999999</v>
      </c>
      <c r="G804">
        <v>1201.5609131000001</v>
      </c>
      <c r="H804">
        <v>1155.0601807</v>
      </c>
      <c r="I804">
        <v>1496.0587158000001</v>
      </c>
      <c r="J804">
        <v>1448.1289062000001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330.806038</v>
      </c>
      <c r="B805" s="1">
        <f>DATE(2011,3,27) + TIME(19,20,41)</f>
        <v>40629.806030092594</v>
      </c>
      <c r="C805">
        <v>80</v>
      </c>
      <c r="D805">
        <v>52.111896514999998</v>
      </c>
      <c r="E805">
        <v>50</v>
      </c>
      <c r="F805">
        <v>49.980800629000001</v>
      </c>
      <c r="G805">
        <v>1200.3804932</v>
      </c>
      <c r="H805">
        <v>1153.3006591999999</v>
      </c>
      <c r="I805">
        <v>1495.9049072</v>
      </c>
      <c r="J805">
        <v>1447.9753418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332.99949900000001</v>
      </c>
      <c r="B806" s="1">
        <f>DATE(2011,3,29) + TIME(23,59,16)</f>
        <v>40631.999490740738</v>
      </c>
      <c r="C806">
        <v>80</v>
      </c>
      <c r="D806">
        <v>51.427730560000001</v>
      </c>
      <c r="E806">
        <v>50</v>
      </c>
      <c r="F806">
        <v>49.980865479000002</v>
      </c>
      <c r="G806">
        <v>1199.1802978999999</v>
      </c>
      <c r="H806">
        <v>1151.5037841999999</v>
      </c>
      <c r="I806">
        <v>1495.7524414</v>
      </c>
      <c r="J806">
        <v>1447.8229980000001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335</v>
      </c>
      <c r="B807" s="1">
        <f>DATE(2011,4,1) + TIME(0,0,0)</f>
        <v>40634</v>
      </c>
      <c r="C807">
        <v>80</v>
      </c>
      <c r="D807">
        <v>50.744285583</v>
      </c>
      <c r="E807">
        <v>50</v>
      </c>
      <c r="F807">
        <v>49.980922698999997</v>
      </c>
      <c r="G807">
        <v>1197.9642334</v>
      </c>
      <c r="H807">
        <v>1149.6843262</v>
      </c>
      <c r="I807">
        <v>1495.6013184000001</v>
      </c>
      <c r="J807">
        <v>1447.6721190999999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337.21376199999997</v>
      </c>
      <c r="B808" s="1">
        <f>DATE(2011,4,3) + TIME(5,7,49)</f>
        <v>40636.213761574072</v>
      </c>
      <c r="C808">
        <v>80</v>
      </c>
      <c r="D808">
        <v>50.091281891000001</v>
      </c>
      <c r="E808">
        <v>50</v>
      </c>
      <c r="F808">
        <v>49.980987548999998</v>
      </c>
      <c r="G808">
        <v>1196.84375</v>
      </c>
      <c r="H808">
        <v>1147.9807129000001</v>
      </c>
      <c r="I808">
        <v>1495.4652100000001</v>
      </c>
      <c r="J808">
        <v>1447.5360106999999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339.501937</v>
      </c>
      <c r="B809" s="1">
        <f>DATE(2011,4,5) + TIME(12,2,47)</f>
        <v>40638.501932870371</v>
      </c>
      <c r="C809">
        <v>80</v>
      </c>
      <c r="D809">
        <v>49.387474060000002</v>
      </c>
      <c r="E809">
        <v>50</v>
      </c>
      <c r="F809">
        <v>49.981048584</v>
      </c>
      <c r="G809">
        <v>1195.5968018000001</v>
      </c>
      <c r="H809">
        <v>1146.0980225000001</v>
      </c>
      <c r="I809">
        <v>1495.3165283000001</v>
      </c>
      <c r="J809">
        <v>1447.3875731999999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341.827563</v>
      </c>
      <c r="B810" s="1">
        <f>DATE(2011,4,7) + TIME(19,51,41)</f>
        <v>40640.827557870369</v>
      </c>
      <c r="C810">
        <v>80</v>
      </c>
      <c r="D810">
        <v>48.652690886999999</v>
      </c>
      <c r="E810">
        <v>50</v>
      </c>
      <c r="F810">
        <v>49.981117249</v>
      </c>
      <c r="G810">
        <v>1194.2962646000001</v>
      </c>
      <c r="H810">
        <v>1144.1252440999999</v>
      </c>
      <c r="I810">
        <v>1495.1647949000001</v>
      </c>
      <c r="J810">
        <v>1447.2359618999999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344.15493700000002</v>
      </c>
      <c r="B811" s="1">
        <f>DATE(2011,4,10) + TIME(3,43,6)</f>
        <v>40643.154930555553</v>
      </c>
      <c r="C811">
        <v>80</v>
      </c>
      <c r="D811">
        <v>47.906051636000001</v>
      </c>
      <c r="E811">
        <v>50</v>
      </c>
      <c r="F811">
        <v>49.981178284000002</v>
      </c>
      <c r="G811">
        <v>1192.9655762</v>
      </c>
      <c r="H811">
        <v>1142.1000977000001</v>
      </c>
      <c r="I811">
        <v>1495.0124512</v>
      </c>
      <c r="J811">
        <v>1447.0837402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346.49813699999999</v>
      </c>
      <c r="B812" s="1">
        <f>DATE(2011,4,12) + TIME(11,57,19)</f>
        <v>40645.498136574075</v>
      </c>
      <c r="C812">
        <v>80</v>
      </c>
      <c r="D812">
        <v>47.151473998999997</v>
      </c>
      <c r="E812">
        <v>50</v>
      </c>
      <c r="F812">
        <v>49.981246947999999</v>
      </c>
      <c r="G812">
        <v>1191.6242675999999</v>
      </c>
      <c r="H812">
        <v>1140.0480957</v>
      </c>
      <c r="I812">
        <v>1494.8619385</v>
      </c>
      <c r="J812">
        <v>1446.9333495999999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348.87044300000002</v>
      </c>
      <c r="B813" s="1">
        <f>DATE(2011,4,14) + TIME(20,53,26)</f>
        <v>40647.870439814818</v>
      </c>
      <c r="C813">
        <v>80</v>
      </c>
      <c r="D813">
        <v>46.398155211999999</v>
      </c>
      <c r="E813">
        <v>50</v>
      </c>
      <c r="F813">
        <v>49.981307983000001</v>
      </c>
      <c r="G813">
        <v>1190.2679443</v>
      </c>
      <c r="H813">
        <v>1137.9676514</v>
      </c>
      <c r="I813">
        <v>1494.7120361</v>
      </c>
      <c r="J813">
        <v>1446.7835693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351.283637</v>
      </c>
      <c r="B814" s="1">
        <f>DATE(2011,4,17) + TIME(6,48,26)</f>
        <v>40650.283634259256</v>
      </c>
      <c r="C814">
        <v>80</v>
      </c>
      <c r="D814">
        <v>45.627220154</v>
      </c>
      <c r="E814">
        <v>50</v>
      </c>
      <c r="F814">
        <v>49.981376648000001</v>
      </c>
      <c r="G814">
        <v>1188.8878173999999</v>
      </c>
      <c r="H814">
        <v>1135.840332</v>
      </c>
      <c r="I814">
        <v>1494.5622559000001</v>
      </c>
      <c r="J814">
        <v>1446.6339111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352.50843099999997</v>
      </c>
      <c r="B815" s="1">
        <f>DATE(2011,4,18) + TIME(12,12,8)</f>
        <v>40651.508425925924</v>
      </c>
      <c r="C815">
        <v>80</v>
      </c>
      <c r="D815">
        <v>44.943218231000003</v>
      </c>
      <c r="E815">
        <v>50</v>
      </c>
      <c r="F815">
        <v>49.981407165999997</v>
      </c>
      <c r="G815">
        <v>1187.4738769999999</v>
      </c>
      <c r="H815">
        <v>1133.7281493999999</v>
      </c>
      <c r="I815">
        <v>1494.4121094</v>
      </c>
      <c r="J815">
        <v>1446.4838867000001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353.88233500000001</v>
      </c>
      <c r="B816" s="1">
        <f>DATE(2011,4,19) + TIME(21,10,33)</f>
        <v>40652.882326388892</v>
      </c>
      <c r="C816">
        <v>80</v>
      </c>
      <c r="D816">
        <v>44.471591949</v>
      </c>
      <c r="E816">
        <v>50</v>
      </c>
      <c r="F816">
        <v>49.981445311999998</v>
      </c>
      <c r="G816">
        <v>1186.7712402</v>
      </c>
      <c r="H816">
        <v>1132.583374</v>
      </c>
      <c r="I816">
        <v>1494.3345947</v>
      </c>
      <c r="J816">
        <v>1446.4063721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355.35160300000001</v>
      </c>
      <c r="B817" s="1">
        <f>DATE(2011,4,21) + TIME(8,26,18)</f>
        <v>40654.351597222223</v>
      </c>
      <c r="C817">
        <v>80</v>
      </c>
      <c r="D817">
        <v>44.025081634999999</v>
      </c>
      <c r="E817">
        <v>50</v>
      </c>
      <c r="F817">
        <v>49.981483459000003</v>
      </c>
      <c r="G817">
        <v>1185.9570312000001</v>
      </c>
      <c r="H817">
        <v>1131.2949219</v>
      </c>
      <c r="I817">
        <v>1494.2502440999999</v>
      </c>
      <c r="J817">
        <v>1446.3221435999999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356.54912999999999</v>
      </c>
      <c r="B818" s="1">
        <f>DATE(2011,4,22) + TIME(13,10,44)</f>
        <v>40655.549120370371</v>
      </c>
      <c r="C818">
        <v>80</v>
      </c>
      <c r="D818">
        <v>43.579811096</v>
      </c>
      <c r="E818">
        <v>50</v>
      </c>
      <c r="F818">
        <v>49.981517791999998</v>
      </c>
      <c r="G818">
        <v>1185.0966797000001</v>
      </c>
      <c r="H818">
        <v>1129.9726562000001</v>
      </c>
      <c r="I818">
        <v>1494.1605225000001</v>
      </c>
      <c r="J818">
        <v>1446.2325439000001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357.62312200000002</v>
      </c>
      <c r="B819" s="1">
        <f>DATE(2011,4,23) + TIME(14,57,17)</f>
        <v>40656.623113425929</v>
      </c>
      <c r="C819">
        <v>80</v>
      </c>
      <c r="D819">
        <v>43.198333740000002</v>
      </c>
      <c r="E819">
        <v>50</v>
      </c>
      <c r="F819">
        <v>49.981544495000001</v>
      </c>
      <c r="G819">
        <v>1184.4024658000001</v>
      </c>
      <c r="H819">
        <v>1128.8894043</v>
      </c>
      <c r="I819">
        <v>1494.0872803</v>
      </c>
      <c r="J819">
        <v>1446.1593018000001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358.697115</v>
      </c>
      <c r="B820" s="1">
        <f>DATE(2011,4,24) + TIME(16,43,50)</f>
        <v>40657.697106481479</v>
      </c>
      <c r="C820">
        <v>80</v>
      </c>
      <c r="D820">
        <v>42.85086441</v>
      </c>
      <c r="E820">
        <v>50</v>
      </c>
      <c r="F820">
        <v>49.981575012</v>
      </c>
      <c r="G820">
        <v>1183.7788086</v>
      </c>
      <c r="H820">
        <v>1127.9067382999999</v>
      </c>
      <c r="I820">
        <v>1494.0219727000001</v>
      </c>
      <c r="J820">
        <v>1446.0939940999999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359.77110699999997</v>
      </c>
      <c r="B821" s="1">
        <f>DATE(2011,4,25) + TIME(18,30,23)</f>
        <v>40658.771099537036</v>
      </c>
      <c r="C821">
        <v>80</v>
      </c>
      <c r="D821">
        <v>42.512928008999999</v>
      </c>
      <c r="E821">
        <v>50</v>
      </c>
      <c r="F821">
        <v>49.981601714999996</v>
      </c>
      <c r="G821">
        <v>1183.1553954999999</v>
      </c>
      <c r="H821">
        <v>1126.9300536999999</v>
      </c>
      <c r="I821">
        <v>1493.9571533000001</v>
      </c>
      <c r="J821">
        <v>1446.0292969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360.8451</v>
      </c>
      <c r="B822" s="1">
        <f>DATE(2011,4,26) + TIME(20,16,56)</f>
        <v>40659.845092592594</v>
      </c>
      <c r="C822">
        <v>80</v>
      </c>
      <c r="D822">
        <v>42.178462981999999</v>
      </c>
      <c r="E822">
        <v>50</v>
      </c>
      <c r="F822">
        <v>49.981632232999999</v>
      </c>
      <c r="G822">
        <v>1182.5322266000001</v>
      </c>
      <c r="H822">
        <v>1125.9534911999999</v>
      </c>
      <c r="I822">
        <v>1493.8925781</v>
      </c>
      <c r="J822">
        <v>1445.9647216999999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361.91909199999998</v>
      </c>
      <c r="B823" s="1">
        <f>DATE(2011,4,27) + TIME(22,3,29)</f>
        <v>40660.919085648151</v>
      </c>
      <c r="C823">
        <v>80</v>
      </c>
      <c r="D823">
        <v>41.846214293999999</v>
      </c>
      <c r="E823">
        <v>50</v>
      </c>
      <c r="F823">
        <v>49.981658936000002</v>
      </c>
      <c r="G823">
        <v>1181.909668</v>
      </c>
      <c r="H823">
        <v>1124.9765625</v>
      </c>
      <c r="I823">
        <v>1493.8283690999999</v>
      </c>
      <c r="J823">
        <v>1445.9005127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362.99308500000001</v>
      </c>
      <c r="B824" s="1">
        <f>DATE(2011,4,28) + TIME(23,50,2)</f>
        <v>40661.993078703701</v>
      </c>
      <c r="C824">
        <v>80</v>
      </c>
      <c r="D824">
        <v>41.515930175999998</v>
      </c>
      <c r="E824">
        <v>50</v>
      </c>
      <c r="F824">
        <v>49.981685638000002</v>
      </c>
      <c r="G824">
        <v>1181.2877197</v>
      </c>
      <c r="H824">
        <v>1123.9993896000001</v>
      </c>
      <c r="I824">
        <v>1493.7644043</v>
      </c>
      <c r="J824">
        <v>1445.8366699000001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363.99654199999998</v>
      </c>
      <c r="B825" s="1">
        <f>DATE(2011,4,29) + TIME(23,55,1)</f>
        <v>40662.996539351851</v>
      </c>
      <c r="C825">
        <v>80</v>
      </c>
      <c r="D825">
        <v>41.192924499999997</v>
      </c>
      <c r="E825">
        <v>50</v>
      </c>
      <c r="F825">
        <v>49.981712340999998</v>
      </c>
      <c r="G825">
        <v>1180.6674805</v>
      </c>
      <c r="H825">
        <v>1123.0295410000001</v>
      </c>
      <c r="I825">
        <v>1493.7006836</v>
      </c>
      <c r="J825">
        <v>1445.7730713000001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365</v>
      </c>
      <c r="B826" s="1">
        <f>DATE(2011,5,1) + TIME(0,0,0)</f>
        <v>40664</v>
      </c>
      <c r="C826">
        <v>80</v>
      </c>
      <c r="D826">
        <v>40.884098053000002</v>
      </c>
      <c r="E826">
        <v>50</v>
      </c>
      <c r="F826">
        <v>49.981739044000001</v>
      </c>
      <c r="G826">
        <v>1180.1044922000001</v>
      </c>
      <c r="H826">
        <v>1122.1534423999999</v>
      </c>
      <c r="I826">
        <v>1493.6409911999999</v>
      </c>
      <c r="J826">
        <v>1445.7133789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365.000001</v>
      </c>
      <c r="B827" s="1">
        <f>DATE(2011,5,1) + TIME(0,0,0)</f>
        <v>40664</v>
      </c>
      <c r="C827">
        <v>80</v>
      </c>
      <c r="D827">
        <v>40.884490966999998</v>
      </c>
      <c r="E827">
        <v>50</v>
      </c>
      <c r="F827">
        <v>49.981464385999999</v>
      </c>
      <c r="G827">
        <v>1240.2832031</v>
      </c>
      <c r="H827">
        <v>1182.3693848</v>
      </c>
      <c r="I827">
        <v>1443.5268555</v>
      </c>
      <c r="J827">
        <v>1395.5920410000001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365.00000399999999</v>
      </c>
      <c r="B828" s="1">
        <f>DATE(2011,5,1) + TIME(0,0,0)</f>
        <v>40664</v>
      </c>
      <c r="C828">
        <v>80</v>
      </c>
      <c r="D828">
        <v>40.885581969999997</v>
      </c>
      <c r="E828">
        <v>50</v>
      </c>
      <c r="F828">
        <v>49.980728149000001</v>
      </c>
      <c r="G828">
        <v>1246.2524414</v>
      </c>
      <c r="H828">
        <v>1188.5035399999999</v>
      </c>
      <c r="I828">
        <v>1437.6947021000001</v>
      </c>
      <c r="J828">
        <v>1389.7585449000001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365.00001300000002</v>
      </c>
      <c r="B829" s="1">
        <f>DATE(2011,5,1) + TIME(0,0,1)</f>
        <v>40664.000011574077</v>
      </c>
      <c r="C829">
        <v>80</v>
      </c>
      <c r="D829">
        <v>40.88835907</v>
      </c>
      <c r="E829">
        <v>50</v>
      </c>
      <c r="F829">
        <v>49.979076384999999</v>
      </c>
      <c r="G829">
        <v>1260.208374</v>
      </c>
      <c r="H829">
        <v>1202.7237548999999</v>
      </c>
      <c r="I829">
        <v>1424.6121826000001</v>
      </c>
      <c r="J829">
        <v>1376.6738281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365.00004000000001</v>
      </c>
      <c r="B830" s="1">
        <f>DATE(2011,5,1) + TIME(0,0,3)</f>
        <v>40664.000034722223</v>
      </c>
      <c r="C830">
        <v>80</v>
      </c>
      <c r="D830">
        <v>40.894573211999997</v>
      </c>
      <c r="E830">
        <v>50</v>
      </c>
      <c r="F830">
        <v>49.976322174000003</v>
      </c>
      <c r="G830">
        <v>1285.0069579999999</v>
      </c>
      <c r="H830">
        <v>1227.6981201000001</v>
      </c>
      <c r="I830">
        <v>1402.7540283000001</v>
      </c>
      <c r="J830">
        <v>1354.8135986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365.00012099999998</v>
      </c>
      <c r="B831" s="1">
        <f>DATE(2011,5,1) + TIME(0,0,10)</f>
        <v>40664.000115740739</v>
      </c>
      <c r="C831">
        <v>80</v>
      </c>
      <c r="D831">
        <v>40.908004761000001</v>
      </c>
      <c r="E831">
        <v>50</v>
      </c>
      <c r="F831">
        <v>49.972946167000003</v>
      </c>
      <c r="G831">
        <v>1316.8148193</v>
      </c>
      <c r="H831">
        <v>1259.4757079999999</v>
      </c>
      <c r="I831">
        <v>1376.0672606999999</v>
      </c>
      <c r="J831">
        <v>1328.1303711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365.00036399999999</v>
      </c>
      <c r="B832" s="1">
        <f>DATE(2011,5,1) + TIME(0,0,31)</f>
        <v>40664.000358796293</v>
      </c>
      <c r="C832">
        <v>80</v>
      </c>
      <c r="D832">
        <v>40.940876007</v>
      </c>
      <c r="E832">
        <v>50</v>
      </c>
      <c r="F832">
        <v>49.969436645999998</v>
      </c>
      <c r="G832">
        <v>1350.3422852000001</v>
      </c>
      <c r="H832">
        <v>1292.9127197</v>
      </c>
      <c r="I832">
        <v>1348.5782471</v>
      </c>
      <c r="J832">
        <v>1300.6478271000001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365.00109300000003</v>
      </c>
      <c r="B833" s="1">
        <f>DATE(2011,5,1) + TIME(0,1,34)</f>
        <v>40664.001087962963</v>
      </c>
      <c r="C833">
        <v>80</v>
      </c>
      <c r="D833">
        <v>41.031547545999999</v>
      </c>
      <c r="E833">
        <v>50</v>
      </c>
      <c r="F833">
        <v>49.965843200999998</v>
      </c>
      <c r="G833">
        <v>1384.3955077999999</v>
      </c>
      <c r="H833">
        <v>1326.8941649999999</v>
      </c>
      <c r="I833">
        <v>1321.0882568</v>
      </c>
      <c r="J833">
        <v>1273.1644286999999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365.00328000000002</v>
      </c>
      <c r="B834" s="1">
        <f>DATE(2011,5,1) + TIME(0,4,43)</f>
        <v>40664.003275462965</v>
      </c>
      <c r="C834">
        <v>80</v>
      </c>
      <c r="D834">
        <v>41.294624329000001</v>
      </c>
      <c r="E834">
        <v>50</v>
      </c>
      <c r="F834">
        <v>49.961948395</v>
      </c>
      <c r="G834">
        <v>1419.8253173999999</v>
      </c>
      <c r="H834">
        <v>1362.4265137</v>
      </c>
      <c r="I834">
        <v>1293.3905029</v>
      </c>
      <c r="J834">
        <v>1245.4696045000001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365.00984099999999</v>
      </c>
      <c r="B835" s="1">
        <f>DATE(2011,5,1) + TIME(0,14,10)</f>
        <v>40664.009837962964</v>
      </c>
      <c r="C835">
        <v>80</v>
      </c>
      <c r="D835">
        <v>42.061988831000001</v>
      </c>
      <c r="E835">
        <v>50</v>
      </c>
      <c r="F835">
        <v>49.957130432</v>
      </c>
      <c r="G835">
        <v>1457.5288086</v>
      </c>
      <c r="H835">
        <v>1400.8173827999999</v>
      </c>
      <c r="I835">
        <v>1264.6389160000001</v>
      </c>
      <c r="J835">
        <v>1216.7167969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365.01815800000003</v>
      </c>
      <c r="B836" s="1">
        <f>DATE(2011,5,1) + TIME(0,26,8)</f>
        <v>40664.018148148149</v>
      </c>
      <c r="C836">
        <v>80</v>
      </c>
      <c r="D836">
        <v>43.009056090999998</v>
      </c>
      <c r="E836">
        <v>50</v>
      </c>
      <c r="F836">
        <v>49.953311919999997</v>
      </c>
      <c r="G836">
        <v>1480.7832031</v>
      </c>
      <c r="H836">
        <v>1424.9888916</v>
      </c>
      <c r="I836">
        <v>1246.5329589999999</v>
      </c>
      <c r="J836">
        <v>1198.6087646000001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365.02667700000001</v>
      </c>
      <c r="B837" s="1">
        <f>DATE(2011,5,1) + TIME(0,38,24)</f>
        <v>40664.026666666665</v>
      </c>
      <c r="C837">
        <v>80</v>
      </c>
      <c r="D837">
        <v>43.954517365000001</v>
      </c>
      <c r="E837">
        <v>50</v>
      </c>
      <c r="F837">
        <v>49.950309752999999</v>
      </c>
      <c r="G837">
        <v>1494.7598877</v>
      </c>
      <c r="H837">
        <v>1439.8742675999999</v>
      </c>
      <c r="I837">
        <v>1235.2801514</v>
      </c>
      <c r="J837">
        <v>1187.3543701000001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365.03538700000001</v>
      </c>
      <c r="B838" s="1">
        <f>DATE(2011,5,1) + TIME(0,50,57)</f>
        <v>40664.035381944443</v>
      </c>
      <c r="C838">
        <v>80</v>
      </c>
      <c r="D838">
        <v>44.896484375</v>
      </c>
      <c r="E838">
        <v>50</v>
      </c>
      <c r="F838">
        <v>49.947742462000001</v>
      </c>
      <c r="G838">
        <v>1503.8070068</v>
      </c>
      <c r="H838">
        <v>1449.8082274999999</v>
      </c>
      <c r="I838">
        <v>1227.7977295000001</v>
      </c>
      <c r="J838">
        <v>1179.8706055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365.04429099999999</v>
      </c>
      <c r="B839" s="1">
        <f>DATE(2011,5,1) + TIME(1,3,46)</f>
        <v>40664.044282407405</v>
      </c>
      <c r="C839">
        <v>80</v>
      </c>
      <c r="D839">
        <v>45.834411621000001</v>
      </c>
      <c r="E839">
        <v>50</v>
      </c>
      <c r="F839">
        <v>49.945442200000002</v>
      </c>
      <c r="G839">
        <v>1509.8242187999999</v>
      </c>
      <c r="H839">
        <v>1456.6867675999999</v>
      </c>
      <c r="I839">
        <v>1222.7163086</v>
      </c>
      <c r="J839">
        <v>1174.7879639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365.05339600000002</v>
      </c>
      <c r="B840" s="1">
        <f>DATE(2011,5,1) + TIME(1,16,53)</f>
        <v>40664.053391203706</v>
      </c>
      <c r="C840">
        <v>80</v>
      </c>
      <c r="D840">
        <v>46.768066406000003</v>
      </c>
      <c r="E840">
        <v>50</v>
      </c>
      <c r="F840">
        <v>49.943317413000003</v>
      </c>
      <c r="G840">
        <v>1513.8254394999999</v>
      </c>
      <c r="H840">
        <v>1461.5233154</v>
      </c>
      <c r="I840">
        <v>1219.2575684000001</v>
      </c>
      <c r="J840">
        <v>1171.328125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365.06270899999998</v>
      </c>
      <c r="B841" s="1">
        <f>DATE(2011,5,1) + TIME(1,30,18)</f>
        <v>40664.062708333331</v>
      </c>
      <c r="C841">
        <v>80</v>
      </c>
      <c r="D841">
        <v>47.697170258</v>
      </c>
      <c r="E841">
        <v>50</v>
      </c>
      <c r="F841">
        <v>49.941303253000001</v>
      </c>
      <c r="G841">
        <v>1516.4256591999999</v>
      </c>
      <c r="H841">
        <v>1464.9333495999999</v>
      </c>
      <c r="I841">
        <v>1216.9202881000001</v>
      </c>
      <c r="J841">
        <v>1168.9899902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365.07224000000002</v>
      </c>
      <c r="B842" s="1">
        <f>DATE(2011,5,1) + TIME(1,44,1)</f>
        <v>40664.072233796294</v>
      </c>
      <c r="C842">
        <v>80</v>
      </c>
      <c r="D842">
        <v>48.621700287000003</v>
      </c>
      <c r="E842">
        <v>50</v>
      </c>
      <c r="F842">
        <v>49.939357758</v>
      </c>
      <c r="G842">
        <v>1518.0307617000001</v>
      </c>
      <c r="H842">
        <v>1467.3232422000001</v>
      </c>
      <c r="I842">
        <v>1215.3621826000001</v>
      </c>
      <c r="J842">
        <v>1167.4310303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365.08200199999999</v>
      </c>
      <c r="B843" s="1">
        <f>DATE(2011,5,1) + TIME(1,58,4)</f>
        <v>40664.081990740742</v>
      </c>
      <c r="C843">
        <v>80</v>
      </c>
      <c r="D843">
        <v>49.54164505</v>
      </c>
      <c r="E843">
        <v>50</v>
      </c>
      <c r="F843">
        <v>49.937446594000001</v>
      </c>
      <c r="G843">
        <v>1518.9207764</v>
      </c>
      <c r="H843">
        <v>1468.973999</v>
      </c>
      <c r="I843">
        <v>1214.3433838000001</v>
      </c>
      <c r="J843">
        <v>1166.4113769999999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365.09200499999997</v>
      </c>
      <c r="B844" s="1">
        <f>DATE(2011,5,1) + TIME(2,12,29)</f>
        <v>40664.092002314814</v>
      </c>
      <c r="C844">
        <v>80</v>
      </c>
      <c r="D844">
        <v>50.45671463</v>
      </c>
      <c r="E844">
        <v>50</v>
      </c>
      <c r="F844">
        <v>49.935546875</v>
      </c>
      <c r="G844">
        <v>1519.2952881000001</v>
      </c>
      <c r="H844">
        <v>1470.0858154</v>
      </c>
      <c r="I844">
        <v>1213.6953125</v>
      </c>
      <c r="J844">
        <v>1165.7624512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365.10226399999999</v>
      </c>
      <c r="B845" s="1">
        <f>DATE(2011,5,1) + TIME(2,27,15)</f>
        <v>40664.102256944447</v>
      </c>
      <c r="C845">
        <v>80</v>
      </c>
      <c r="D845">
        <v>51.366840363000001</v>
      </c>
      <c r="E845">
        <v>50</v>
      </c>
      <c r="F845">
        <v>49.933650970000002</v>
      </c>
      <c r="G845">
        <v>1519.2982178</v>
      </c>
      <c r="H845">
        <v>1470.8037108999999</v>
      </c>
      <c r="I845">
        <v>1213.2984618999999</v>
      </c>
      <c r="J845">
        <v>1165.3648682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365.11279200000001</v>
      </c>
      <c r="B846" s="1">
        <f>DATE(2011,5,1) + TIME(2,42,25)</f>
        <v>40664.11278935185</v>
      </c>
      <c r="C846">
        <v>80</v>
      </c>
      <c r="D846">
        <v>52.272163390999999</v>
      </c>
      <c r="E846">
        <v>50</v>
      </c>
      <c r="F846">
        <v>49.931735992</v>
      </c>
      <c r="G846">
        <v>1519.034668</v>
      </c>
      <c r="H846">
        <v>1471.2333983999999</v>
      </c>
      <c r="I846">
        <v>1213.0692139</v>
      </c>
      <c r="J846">
        <v>1165.1348877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365.123606</v>
      </c>
      <c r="B847" s="1">
        <f>DATE(2011,5,1) + TIME(2,57,59)</f>
        <v>40664.123599537037</v>
      </c>
      <c r="C847">
        <v>80</v>
      </c>
      <c r="D847">
        <v>53.172611236999998</v>
      </c>
      <c r="E847">
        <v>50</v>
      </c>
      <c r="F847">
        <v>49.929798126000001</v>
      </c>
      <c r="G847">
        <v>1518.5811768000001</v>
      </c>
      <c r="H847">
        <v>1471.4525146000001</v>
      </c>
      <c r="I847">
        <v>1212.9492187999999</v>
      </c>
      <c r="J847">
        <v>1165.0140381000001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365.13472100000001</v>
      </c>
      <c r="B848" s="1">
        <f>DATE(2011,5,1) + TIME(3,13,59)</f>
        <v>40664.134710648148</v>
      </c>
      <c r="C848">
        <v>80</v>
      </c>
      <c r="D848">
        <v>54.068119049000003</v>
      </c>
      <c r="E848">
        <v>50</v>
      </c>
      <c r="F848">
        <v>49.927833557</v>
      </c>
      <c r="G848">
        <v>1517.9940185999999</v>
      </c>
      <c r="H848">
        <v>1471.5179443</v>
      </c>
      <c r="I848">
        <v>1212.8983154</v>
      </c>
      <c r="J848">
        <v>1164.9622803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365.14615700000002</v>
      </c>
      <c r="B849" s="1">
        <f>DATE(2011,5,1) + TIME(3,30,27)</f>
        <v>40664.146145833336</v>
      </c>
      <c r="C849">
        <v>80</v>
      </c>
      <c r="D849">
        <v>54.958599091000004</v>
      </c>
      <c r="E849">
        <v>50</v>
      </c>
      <c r="F849">
        <v>49.925830841</v>
      </c>
      <c r="G849">
        <v>1517.3139647999999</v>
      </c>
      <c r="H849">
        <v>1471.4710693</v>
      </c>
      <c r="I849">
        <v>1212.8890381000001</v>
      </c>
      <c r="J849">
        <v>1164.9522704999999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365.15793400000001</v>
      </c>
      <c r="B850" s="1">
        <f>DATE(2011,5,1) + TIME(3,47,25)</f>
        <v>40664.15792824074</v>
      </c>
      <c r="C850">
        <v>80</v>
      </c>
      <c r="D850">
        <v>55.843975067000002</v>
      </c>
      <c r="E850">
        <v>50</v>
      </c>
      <c r="F850">
        <v>49.923786163000003</v>
      </c>
      <c r="G850">
        <v>1516.5709228999999</v>
      </c>
      <c r="H850">
        <v>1471.3427733999999</v>
      </c>
      <c r="I850">
        <v>1212.9034423999999</v>
      </c>
      <c r="J850">
        <v>1164.9658202999999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365.17007699999999</v>
      </c>
      <c r="B851" s="1">
        <f>DATE(2011,5,1) + TIME(4,4,54)</f>
        <v>40664.170069444444</v>
      </c>
      <c r="C851">
        <v>80</v>
      </c>
      <c r="D851">
        <v>56.724327086999999</v>
      </c>
      <c r="E851">
        <v>50</v>
      </c>
      <c r="F851">
        <v>49.921695708999998</v>
      </c>
      <c r="G851">
        <v>1515.7863769999999</v>
      </c>
      <c r="H851">
        <v>1471.1551514</v>
      </c>
      <c r="I851">
        <v>1212.9296875</v>
      </c>
      <c r="J851">
        <v>1164.9912108999999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365.18261100000001</v>
      </c>
      <c r="B852" s="1">
        <f>DATE(2011,5,1) + TIME(4,22,57)</f>
        <v>40664.182604166665</v>
      </c>
      <c r="C852">
        <v>80</v>
      </c>
      <c r="D852">
        <v>57.599620819000002</v>
      </c>
      <c r="E852">
        <v>50</v>
      </c>
      <c r="F852">
        <v>49.919551849000001</v>
      </c>
      <c r="G852">
        <v>1514.9760742000001</v>
      </c>
      <c r="H852">
        <v>1470.9244385</v>
      </c>
      <c r="I852">
        <v>1212.9603271000001</v>
      </c>
      <c r="J852">
        <v>1165.020874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365.195561</v>
      </c>
      <c r="B853" s="1">
        <f>DATE(2011,5,1) + TIME(4,41,36)</f>
        <v>40664.195555555554</v>
      </c>
      <c r="C853">
        <v>80</v>
      </c>
      <c r="D853">
        <v>58.469524384000003</v>
      </c>
      <c r="E853">
        <v>50</v>
      </c>
      <c r="F853">
        <v>49.917358397999998</v>
      </c>
      <c r="G853">
        <v>1514.1512451000001</v>
      </c>
      <c r="H853">
        <v>1470.6628418</v>
      </c>
      <c r="I853">
        <v>1212.9909668</v>
      </c>
      <c r="J853">
        <v>1165.0505370999999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365.208955</v>
      </c>
      <c r="B854" s="1">
        <f>DATE(2011,5,1) + TIME(5,0,53)</f>
        <v>40664.20894675926</v>
      </c>
      <c r="C854">
        <v>80</v>
      </c>
      <c r="D854">
        <v>59.333919524999999</v>
      </c>
      <c r="E854">
        <v>50</v>
      </c>
      <c r="F854">
        <v>49.915107726999999</v>
      </c>
      <c r="G854">
        <v>1513.3201904</v>
      </c>
      <c r="H854">
        <v>1470.3787841999999</v>
      </c>
      <c r="I854">
        <v>1213.0189209</v>
      </c>
      <c r="J854">
        <v>1165.0776367000001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365.22282799999999</v>
      </c>
      <c r="B855" s="1">
        <f>DATE(2011,5,1) + TIME(5,20,52)</f>
        <v>40664.222824074073</v>
      </c>
      <c r="C855">
        <v>80</v>
      </c>
      <c r="D855">
        <v>60.192531586000001</v>
      </c>
      <c r="E855">
        <v>50</v>
      </c>
      <c r="F855">
        <v>49.912792205999999</v>
      </c>
      <c r="G855">
        <v>1512.4887695</v>
      </c>
      <c r="H855">
        <v>1470.0787353999999</v>
      </c>
      <c r="I855">
        <v>1213.0433350000001</v>
      </c>
      <c r="J855">
        <v>1165.1010742000001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365.23721599999999</v>
      </c>
      <c r="B856" s="1">
        <f>DATE(2011,5,1) + TIME(5,41,35)</f>
        <v>40664.237210648149</v>
      </c>
      <c r="C856">
        <v>80</v>
      </c>
      <c r="D856">
        <v>61.044868469000001</v>
      </c>
      <c r="E856">
        <v>50</v>
      </c>
      <c r="F856">
        <v>49.910411834999998</v>
      </c>
      <c r="G856">
        <v>1511.6610106999999</v>
      </c>
      <c r="H856">
        <v>1469.7670897999999</v>
      </c>
      <c r="I856">
        <v>1213.0635986</v>
      </c>
      <c r="J856">
        <v>1165.1203613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365.252161</v>
      </c>
      <c r="B857" s="1">
        <f>DATE(2011,5,1) + TIME(6,3,6)</f>
        <v>40664.252152777779</v>
      </c>
      <c r="C857">
        <v>80</v>
      </c>
      <c r="D857">
        <v>61.891231537000003</v>
      </c>
      <c r="E857">
        <v>50</v>
      </c>
      <c r="F857">
        <v>49.907958983999997</v>
      </c>
      <c r="G857">
        <v>1510.8397216999999</v>
      </c>
      <c r="H857">
        <v>1469.4475098</v>
      </c>
      <c r="I857">
        <v>1213.0798339999999</v>
      </c>
      <c r="J857">
        <v>1165.1356201000001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365.26770800000003</v>
      </c>
      <c r="B858" s="1">
        <f>DATE(2011,5,1) + TIME(6,25,29)</f>
        <v>40664.267696759256</v>
      </c>
      <c r="C858">
        <v>80</v>
      </c>
      <c r="D858">
        <v>62.731437683000003</v>
      </c>
      <c r="E858">
        <v>50</v>
      </c>
      <c r="F858">
        <v>49.905426024999997</v>
      </c>
      <c r="G858">
        <v>1510.0267334</v>
      </c>
      <c r="H858">
        <v>1469.1220702999999</v>
      </c>
      <c r="I858">
        <v>1213.0924072</v>
      </c>
      <c r="J858">
        <v>1165.1472168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365.28390999999999</v>
      </c>
      <c r="B859" s="1">
        <f>DATE(2011,5,1) + TIME(6,48,49)</f>
        <v>40664.283900462964</v>
      </c>
      <c r="C859">
        <v>80</v>
      </c>
      <c r="D859">
        <v>63.565292358000001</v>
      </c>
      <c r="E859">
        <v>50</v>
      </c>
      <c r="F859">
        <v>49.902809142999999</v>
      </c>
      <c r="G859">
        <v>1509.2231445</v>
      </c>
      <c r="H859">
        <v>1468.7923584</v>
      </c>
      <c r="I859">
        <v>1213.1018065999999</v>
      </c>
      <c r="J859">
        <v>1165.1555175999999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365.30082499999997</v>
      </c>
      <c r="B860" s="1">
        <f>DATE(2011,5,1) + TIME(7,13,11)</f>
        <v>40664.300821759258</v>
      </c>
      <c r="C860">
        <v>80</v>
      </c>
      <c r="D860">
        <v>64.392578125</v>
      </c>
      <c r="E860">
        <v>50</v>
      </c>
      <c r="F860">
        <v>49.900100707999997</v>
      </c>
      <c r="G860">
        <v>1508.4298096</v>
      </c>
      <c r="H860">
        <v>1468.4595947</v>
      </c>
      <c r="I860">
        <v>1213.1085204999999</v>
      </c>
      <c r="J860">
        <v>1165.1610106999999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365.31852199999997</v>
      </c>
      <c r="B861" s="1">
        <f>DATE(2011,5,1) + TIME(7,38,40)</f>
        <v>40664.318518518521</v>
      </c>
      <c r="C861">
        <v>80</v>
      </c>
      <c r="D861">
        <v>65.213119507000002</v>
      </c>
      <c r="E861">
        <v>50</v>
      </c>
      <c r="F861">
        <v>49.897293091000002</v>
      </c>
      <c r="G861">
        <v>1507.6468506000001</v>
      </c>
      <c r="H861">
        <v>1468.1245117000001</v>
      </c>
      <c r="I861">
        <v>1213.1129149999999</v>
      </c>
      <c r="J861">
        <v>1165.1643065999999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365.33708899999999</v>
      </c>
      <c r="B862" s="1">
        <f>DATE(2011,5,1) + TIME(8,5,24)</f>
        <v>40664.337083333332</v>
      </c>
      <c r="C862">
        <v>80</v>
      </c>
      <c r="D862">
        <v>66.027267456000004</v>
      </c>
      <c r="E862">
        <v>50</v>
      </c>
      <c r="F862">
        <v>49.894371032999999</v>
      </c>
      <c r="G862">
        <v>1506.8739014</v>
      </c>
      <c r="H862">
        <v>1467.7871094</v>
      </c>
      <c r="I862">
        <v>1213.1154785000001</v>
      </c>
      <c r="J862">
        <v>1165.1656493999999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365.356605</v>
      </c>
      <c r="B863" s="1">
        <f>DATE(2011,5,1) + TIME(8,33,30)</f>
        <v>40664.35659722222</v>
      </c>
      <c r="C863">
        <v>80</v>
      </c>
      <c r="D863">
        <v>66.834045410000002</v>
      </c>
      <c r="E863">
        <v>50</v>
      </c>
      <c r="F863">
        <v>49.891330719000003</v>
      </c>
      <c r="G863">
        <v>1506.1110839999999</v>
      </c>
      <c r="H863">
        <v>1467.4477539</v>
      </c>
      <c r="I863">
        <v>1213.1165771000001</v>
      </c>
      <c r="J863">
        <v>1165.1655272999999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365.37717199999997</v>
      </c>
      <c r="B864" s="1">
        <f>DATE(2011,5,1) + TIME(9,3,7)</f>
        <v>40664.377164351848</v>
      </c>
      <c r="C864">
        <v>80</v>
      </c>
      <c r="D864">
        <v>67.633125304999993</v>
      </c>
      <c r="E864">
        <v>50</v>
      </c>
      <c r="F864">
        <v>49.888156891000001</v>
      </c>
      <c r="G864">
        <v>1505.3580322</v>
      </c>
      <c r="H864">
        <v>1467.1063231999999</v>
      </c>
      <c r="I864">
        <v>1213.1165771000001</v>
      </c>
      <c r="J864">
        <v>1165.1641846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365.39891</v>
      </c>
      <c r="B865" s="1">
        <f>DATE(2011,5,1) + TIME(9,34,25)</f>
        <v>40664.398900462962</v>
      </c>
      <c r="C865">
        <v>80</v>
      </c>
      <c r="D865">
        <v>68.424102782999995</v>
      </c>
      <c r="E865">
        <v>50</v>
      </c>
      <c r="F865">
        <v>49.884830475000001</v>
      </c>
      <c r="G865">
        <v>1504.6141356999999</v>
      </c>
      <c r="H865">
        <v>1466.7625731999999</v>
      </c>
      <c r="I865">
        <v>1213.1156006000001</v>
      </c>
      <c r="J865">
        <v>1165.1618652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365.42196100000001</v>
      </c>
      <c r="B866" s="1">
        <f>DATE(2011,5,1) + TIME(10,7,37)</f>
        <v>40664.421956018516</v>
      </c>
      <c r="C866">
        <v>80</v>
      </c>
      <c r="D866">
        <v>69.206527710000003</v>
      </c>
      <c r="E866">
        <v>50</v>
      </c>
      <c r="F866">
        <v>49.881343842</v>
      </c>
      <c r="G866">
        <v>1503.8789062000001</v>
      </c>
      <c r="H866">
        <v>1466.4158935999999</v>
      </c>
      <c r="I866">
        <v>1213.1137695</v>
      </c>
      <c r="J866">
        <v>1165.1586914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365.44648899999999</v>
      </c>
      <c r="B867" s="1">
        <f>DATE(2011,5,1) + TIME(10,42,56)</f>
        <v>40664.446481481478</v>
      </c>
      <c r="C867">
        <v>80</v>
      </c>
      <c r="D867">
        <v>69.979766846000004</v>
      </c>
      <c r="E867">
        <v>50</v>
      </c>
      <c r="F867">
        <v>49.877666472999998</v>
      </c>
      <c r="G867">
        <v>1503.1514893000001</v>
      </c>
      <c r="H867">
        <v>1466.0660399999999</v>
      </c>
      <c r="I867">
        <v>1213.1114502</v>
      </c>
      <c r="J867">
        <v>1165.1549072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365.47269799999998</v>
      </c>
      <c r="B868" s="1">
        <f>DATE(2011,5,1) + TIME(11,20,41)</f>
        <v>40664.472696759258</v>
      </c>
      <c r="C868">
        <v>80</v>
      </c>
      <c r="D868">
        <v>70.742744446000003</v>
      </c>
      <c r="E868">
        <v>50</v>
      </c>
      <c r="F868">
        <v>49.873783111999998</v>
      </c>
      <c r="G868">
        <v>1502.4310303</v>
      </c>
      <c r="H868">
        <v>1465.7119141000001</v>
      </c>
      <c r="I868">
        <v>1213.1086425999999</v>
      </c>
      <c r="J868">
        <v>1165.1503906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365.500832</v>
      </c>
      <c r="B869" s="1">
        <f>DATE(2011,5,1) + TIME(12,1,11)</f>
        <v>40664.500821759262</v>
      </c>
      <c r="C869">
        <v>80</v>
      </c>
      <c r="D869">
        <v>71.495338439999998</v>
      </c>
      <c r="E869">
        <v>50</v>
      </c>
      <c r="F869">
        <v>49.869655608999999</v>
      </c>
      <c r="G869">
        <v>1501.7165527</v>
      </c>
      <c r="H869">
        <v>1465.3529053</v>
      </c>
      <c r="I869">
        <v>1213.1052245999999</v>
      </c>
      <c r="J869">
        <v>1165.1453856999999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365.53119400000003</v>
      </c>
      <c r="B870" s="1">
        <f>DATE(2011,5,1) + TIME(12,44,55)</f>
        <v>40664.531192129631</v>
      </c>
      <c r="C870">
        <v>80</v>
      </c>
      <c r="D870">
        <v>72.236755371000001</v>
      </c>
      <c r="E870">
        <v>50</v>
      </c>
      <c r="F870">
        <v>49.865257262999997</v>
      </c>
      <c r="G870">
        <v>1501.0065918</v>
      </c>
      <c r="H870">
        <v>1464.987793</v>
      </c>
      <c r="I870">
        <v>1213.1015625</v>
      </c>
      <c r="J870">
        <v>1165.1398925999999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365.56415600000003</v>
      </c>
      <c r="B871" s="1">
        <f>DATE(2011,5,1) + TIME(13,32,23)</f>
        <v>40664.564155092594</v>
      </c>
      <c r="C871">
        <v>80</v>
      </c>
      <c r="D871">
        <v>72.966056824000006</v>
      </c>
      <c r="E871">
        <v>50</v>
      </c>
      <c r="F871">
        <v>49.860538482999999</v>
      </c>
      <c r="G871">
        <v>1500.2998047000001</v>
      </c>
      <c r="H871">
        <v>1464.6153564000001</v>
      </c>
      <c r="I871">
        <v>1213.0974120999999</v>
      </c>
      <c r="J871">
        <v>1165.1337891000001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365.60020400000002</v>
      </c>
      <c r="B872" s="1">
        <f>DATE(2011,5,1) + TIME(14,24,17)</f>
        <v>40664.60019675926</v>
      </c>
      <c r="C872">
        <v>80</v>
      </c>
      <c r="D872">
        <v>73.682296753000003</v>
      </c>
      <c r="E872">
        <v>50</v>
      </c>
      <c r="F872">
        <v>49.855449677000003</v>
      </c>
      <c r="G872">
        <v>1499.5946045000001</v>
      </c>
      <c r="H872">
        <v>1464.2337646000001</v>
      </c>
      <c r="I872">
        <v>1213.0927733999999</v>
      </c>
      <c r="J872">
        <v>1165.1271973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365.63676600000002</v>
      </c>
      <c r="B873" s="1">
        <f>DATE(2011,5,1) + TIME(15,16,56)</f>
        <v>40664.636759259258</v>
      </c>
      <c r="C873">
        <v>80</v>
      </c>
      <c r="D873">
        <v>74.333671570000007</v>
      </c>
      <c r="E873">
        <v>50</v>
      </c>
      <c r="F873">
        <v>49.850311279000003</v>
      </c>
      <c r="G873">
        <v>1498.9259033000001</v>
      </c>
      <c r="H873">
        <v>1463.8549805</v>
      </c>
      <c r="I873">
        <v>1213.0877685999999</v>
      </c>
      <c r="J873">
        <v>1165.1201172000001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365.673473</v>
      </c>
      <c r="B874" s="1">
        <f>DATE(2011,5,1) + TIME(16,9,48)</f>
        <v>40664.673472222225</v>
      </c>
      <c r="C874">
        <v>80</v>
      </c>
      <c r="D874">
        <v>74.919769286999994</v>
      </c>
      <c r="E874">
        <v>50</v>
      </c>
      <c r="F874">
        <v>49.845176696999999</v>
      </c>
      <c r="G874">
        <v>1498.3062743999999</v>
      </c>
      <c r="H874">
        <v>1463.4935303</v>
      </c>
      <c r="I874">
        <v>1213.0826416</v>
      </c>
      <c r="J874">
        <v>1165.1129149999999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365.71045700000002</v>
      </c>
      <c r="B875" s="1">
        <f>DATE(2011,5,1) + TIME(17,3,3)</f>
        <v>40664.710451388892</v>
      </c>
      <c r="C875">
        <v>80</v>
      </c>
      <c r="D875">
        <v>75.448181152000004</v>
      </c>
      <c r="E875">
        <v>50</v>
      </c>
      <c r="F875">
        <v>49.840026854999998</v>
      </c>
      <c r="G875">
        <v>1497.7310791</v>
      </c>
      <c r="H875">
        <v>1463.1491699000001</v>
      </c>
      <c r="I875">
        <v>1213.0773925999999</v>
      </c>
      <c r="J875">
        <v>1165.1057129000001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365.74782099999999</v>
      </c>
      <c r="B876" s="1">
        <f>DATE(2011,5,1) + TIME(17,56,51)</f>
        <v>40664.747812499998</v>
      </c>
      <c r="C876">
        <v>80</v>
      </c>
      <c r="D876">
        <v>75.925552367999998</v>
      </c>
      <c r="E876">
        <v>50</v>
      </c>
      <c r="F876">
        <v>49.834850310999997</v>
      </c>
      <c r="G876">
        <v>1497.1944579999999</v>
      </c>
      <c r="H876">
        <v>1462.8195800999999</v>
      </c>
      <c r="I876">
        <v>1213.0721435999999</v>
      </c>
      <c r="J876">
        <v>1165.0983887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365.78566999999998</v>
      </c>
      <c r="B877" s="1">
        <f>DATE(2011,5,1) + TIME(18,51,21)</f>
        <v>40664.78565972222</v>
      </c>
      <c r="C877">
        <v>80</v>
      </c>
      <c r="D877">
        <v>76.357414246000005</v>
      </c>
      <c r="E877">
        <v>50</v>
      </c>
      <c r="F877">
        <v>49.829631804999998</v>
      </c>
      <c r="G877">
        <v>1496.6914062000001</v>
      </c>
      <c r="H877">
        <v>1462.5029297000001</v>
      </c>
      <c r="I877">
        <v>1213.0668945</v>
      </c>
      <c r="J877">
        <v>1165.0909423999999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365.82411300000001</v>
      </c>
      <c r="B878" s="1">
        <f>DATE(2011,5,1) + TIME(19,46,43)</f>
        <v>40664.824108796296</v>
      </c>
      <c r="C878">
        <v>80</v>
      </c>
      <c r="D878">
        <v>76.748458862000007</v>
      </c>
      <c r="E878">
        <v>50</v>
      </c>
      <c r="F878">
        <v>49.824352263999998</v>
      </c>
      <c r="G878">
        <v>1496.2176514</v>
      </c>
      <c r="H878">
        <v>1462.1973877</v>
      </c>
      <c r="I878">
        <v>1213.0615233999999</v>
      </c>
      <c r="J878">
        <v>1165.0834961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365.86323700000003</v>
      </c>
      <c r="B879" s="1">
        <f>DATE(2011,5,1) + TIME(20,43,3)</f>
        <v>40664.863229166665</v>
      </c>
      <c r="C879">
        <v>80</v>
      </c>
      <c r="D879">
        <v>77.102554321</v>
      </c>
      <c r="E879">
        <v>50</v>
      </c>
      <c r="F879">
        <v>49.819011688000003</v>
      </c>
      <c r="G879">
        <v>1495.7697754000001</v>
      </c>
      <c r="H879">
        <v>1461.9013672000001</v>
      </c>
      <c r="I879">
        <v>1213.0560303</v>
      </c>
      <c r="J879">
        <v>1165.0759277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365.90314499999999</v>
      </c>
      <c r="B880" s="1">
        <f>DATE(2011,5,1) + TIME(21,40,31)</f>
        <v>40664.903136574074</v>
      </c>
      <c r="C880">
        <v>80</v>
      </c>
      <c r="D880">
        <v>77.423210143999995</v>
      </c>
      <c r="E880">
        <v>50</v>
      </c>
      <c r="F880">
        <v>49.813587189000003</v>
      </c>
      <c r="G880">
        <v>1495.3447266000001</v>
      </c>
      <c r="H880">
        <v>1461.6137695</v>
      </c>
      <c r="I880">
        <v>1213.0504149999999</v>
      </c>
      <c r="J880">
        <v>1165.0682373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365.94394299999999</v>
      </c>
      <c r="B881" s="1">
        <f>DATE(2011,5,1) + TIME(22,39,16)</f>
        <v>40664.943935185183</v>
      </c>
      <c r="C881">
        <v>80</v>
      </c>
      <c r="D881">
        <v>77.713500976999995</v>
      </c>
      <c r="E881">
        <v>50</v>
      </c>
      <c r="F881">
        <v>49.808067321999999</v>
      </c>
      <c r="G881">
        <v>1494.9396973</v>
      </c>
      <c r="H881">
        <v>1461.3334961</v>
      </c>
      <c r="I881">
        <v>1213.0447998</v>
      </c>
      <c r="J881">
        <v>1165.0603027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365.98574400000001</v>
      </c>
      <c r="B882" s="1">
        <f>DATE(2011,5,1) + TIME(23,39,28)</f>
        <v>40664.98574074074</v>
      </c>
      <c r="C882">
        <v>80</v>
      </c>
      <c r="D882">
        <v>77.976150512999993</v>
      </c>
      <c r="E882">
        <v>50</v>
      </c>
      <c r="F882">
        <v>49.802444457999997</v>
      </c>
      <c r="G882">
        <v>1494.5526123</v>
      </c>
      <c r="H882">
        <v>1461.0593262</v>
      </c>
      <c r="I882">
        <v>1213.0389404</v>
      </c>
      <c r="J882">
        <v>1165.0523682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366.02866799999998</v>
      </c>
      <c r="B883" s="1">
        <f>DATE(2011,5,2) + TIME(0,41,16)</f>
        <v>40665.028657407405</v>
      </c>
      <c r="C883">
        <v>80</v>
      </c>
      <c r="D883">
        <v>78.213562011999997</v>
      </c>
      <c r="E883">
        <v>50</v>
      </c>
      <c r="F883">
        <v>49.796699523999997</v>
      </c>
      <c r="G883">
        <v>1494.1810303</v>
      </c>
      <c r="H883">
        <v>1460.7902832</v>
      </c>
      <c r="I883">
        <v>1213.0330810999999</v>
      </c>
      <c r="J883">
        <v>1165.0440673999999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366.07284600000003</v>
      </c>
      <c r="B884" s="1">
        <f>DATE(2011,5,2) + TIME(1,44,53)</f>
        <v>40665.072835648149</v>
      </c>
      <c r="C884">
        <v>80</v>
      </c>
      <c r="D884">
        <v>78.427909850999995</v>
      </c>
      <c r="E884">
        <v>50</v>
      </c>
      <c r="F884">
        <v>49.790817261000001</v>
      </c>
      <c r="G884">
        <v>1493.8232422000001</v>
      </c>
      <c r="H884">
        <v>1460.5256348</v>
      </c>
      <c r="I884">
        <v>1213.0268555</v>
      </c>
      <c r="J884">
        <v>1165.0356445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366.11841900000002</v>
      </c>
      <c r="B885" s="1">
        <f>DATE(2011,5,2) + TIME(2,50,31)</f>
        <v>40665.118414351855</v>
      </c>
      <c r="C885">
        <v>80</v>
      </c>
      <c r="D885">
        <v>78.621139525999993</v>
      </c>
      <c r="E885">
        <v>50</v>
      </c>
      <c r="F885">
        <v>49.784782409999998</v>
      </c>
      <c r="G885">
        <v>1493.4775391000001</v>
      </c>
      <c r="H885">
        <v>1460.2645264</v>
      </c>
      <c r="I885">
        <v>1213.0206298999999</v>
      </c>
      <c r="J885">
        <v>1165.0268555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366.16554300000001</v>
      </c>
      <c r="B886" s="1">
        <f>DATE(2011,5,2) + TIME(3,58,22)</f>
        <v>40665.165532407409</v>
      </c>
      <c r="C886">
        <v>80</v>
      </c>
      <c r="D886">
        <v>78.795005798000005</v>
      </c>
      <c r="E886">
        <v>50</v>
      </c>
      <c r="F886">
        <v>49.778572083</v>
      </c>
      <c r="G886">
        <v>1493.1422118999999</v>
      </c>
      <c r="H886">
        <v>1460.0061035000001</v>
      </c>
      <c r="I886">
        <v>1213.0141602000001</v>
      </c>
      <c r="J886">
        <v>1165.0179443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366.21439500000002</v>
      </c>
      <c r="B887" s="1">
        <f>DATE(2011,5,2) + TIME(5,8,43)</f>
        <v>40665.214386574073</v>
      </c>
      <c r="C887">
        <v>80</v>
      </c>
      <c r="D887">
        <v>78.951110839999998</v>
      </c>
      <c r="E887">
        <v>50</v>
      </c>
      <c r="F887">
        <v>49.772174835000001</v>
      </c>
      <c r="G887">
        <v>1492.8156738</v>
      </c>
      <c r="H887">
        <v>1459.7495117000001</v>
      </c>
      <c r="I887">
        <v>1213.0073242000001</v>
      </c>
      <c r="J887">
        <v>1165.0086670000001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366.26520399999998</v>
      </c>
      <c r="B888" s="1">
        <f>DATE(2011,5,2) + TIME(6,21,53)</f>
        <v>40665.265196759261</v>
      </c>
      <c r="C888">
        <v>80</v>
      </c>
      <c r="D888">
        <v>79.090988159000005</v>
      </c>
      <c r="E888">
        <v>50</v>
      </c>
      <c r="F888">
        <v>49.765556334999999</v>
      </c>
      <c r="G888">
        <v>1492.4967041</v>
      </c>
      <c r="H888">
        <v>1459.4941406</v>
      </c>
      <c r="I888">
        <v>1213.0003661999999</v>
      </c>
      <c r="J888">
        <v>1164.9990233999999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366.31816099999998</v>
      </c>
      <c r="B889" s="1">
        <f>DATE(2011,5,2) + TIME(7,38,9)</f>
        <v>40665.318159722221</v>
      </c>
      <c r="C889">
        <v>80</v>
      </c>
      <c r="D889">
        <v>79.215866089000002</v>
      </c>
      <c r="E889">
        <v>50</v>
      </c>
      <c r="F889">
        <v>49.758697509999998</v>
      </c>
      <c r="G889">
        <v>1492.1837158000001</v>
      </c>
      <c r="H889">
        <v>1459.2388916</v>
      </c>
      <c r="I889">
        <v>1212.9931641000001</v>
      </c>
      <c r="J889">
        <v>1164.9890137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366.37352199999998</v>
      </c>
      <c r="B890" s="1">
        <f>DATE(2011,5,2) + TIME(8,57,52)</f>
        <v>40665.373518518521</v>
      </c>
      <c r="C890">
        <v>80</v>
      </c>
      <c r="D890">
        <v>79.326980590999995</v>
      </c>
      <c r="E890">
        <v>50</v>
      </c>
      <c r="F890">
        <v>49.751571654999999</v>
      </c>
      <c r="G890">
        <v>1491.8756103999999</v>
      </c>
      <c r="H890">
        <v>1458.9831543</v>
      </c>
      <c r="I890">
        <v>1212.9854736</v>
      </c>
      <c r="J890">
        <v>1164.9785156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366.43158199999999</v>
      </c>
      <c r="B891" s="1">
        <f>DATE(2011,5,2) + TIME(10,21,28)</f>
        <v>40665.431574074071</v>
      </c>
      <c r="C891">
        <v>80</v>
      </c>
      <c r="D891">
        <v>79.425468445000007</v>
      </c>
      <c r="E891">
        <v>50</v>
      </c>
      <c r="F891">
        <v>49.744144439999999</v>
      </c>
      <c r="G891">
        <v>1491.5708007999999</v>
      </c>
      <c r="H891">
        <v>1458.7261963000001</v>
      </c>
      <c r="I891">
        <v>1212.9775391000001</v>
      </c>
      <c r="J891">
        <v>1164.9676514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366.492549</v>
      </c>
      <c r="B892" s="1">
        <f>DATE(2011,5,2) + TIME(11,49,16)</f>
        <v>40665.492546296293</v>
      </c>
      <c r="C892">
        <v>80</v>
      </c>
      <c r="D892">
        <v>79.512207031000003</v>
      </c>
      <c r="E892">
        <v>50</v>
      </c>
      <c r="F892">
        <v>49.736392975000001</v>
      </c>
      <c r="G892">
        <v>1491.2684326000001</v>
      </c>
      <c r="H892">
        <v>1458.4670410000001</v>
      </c>
      <c r="I892">
        <v>1212.9692382999999</v>
      </c>
      <c r="J892">
        <v>1164.9561768000001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366.55622199999999</v>
      </c>
      <c r="B893" s="1">
        <f>DATE(2011,5,2) + TIME(13,20,57)</f>
        <v>40665.556215277778</v>
      </c>
      <c r="C893">
        <v>80</v>
      </c>
      <c r="D893">
        <v>79.587661742999998</v>
      </c>
      <c r="E893">
        <v>50</v>
      </c>
      <c r="F893">
        <v>49.728336333999998</v>
      </c>
      <c r="G893">
        <v>1490.9677733999999</v>
      </c>
      <c r="H893">
        <v>1458.2055664</v>
      </c>
      <c r="I893">
        <v>1212.9604492000001</v>
      </c>
      <c r="J893">
        <v>1164.9442139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366.62294800000001</v>
      </c>
      <c r="B894" s="1">
        <f>DATE(2011,5,2) + TIME(14,57,2)</f>
        <v>40665.622939814813</v>
      </c>
      <c r="C894">
        <v>80</v>
      </c>
      <c r="D894">
        <v>79.653015136999997</v>
      </c>
      <c r="E894">
        <v>50</v>
      </c>
      <c r="F894">
        <v>49.719940186000002</v>
      </c>
      <c r="G894">
        <v>1490.6695557</v>
      </c>
      <c r="H894">
        <v>1457.942749</v>
      </c>
      <c r="I894">
        <v>1212.9512939000001</v>
      </c>
      <c r="J894">
        <v>1164.9317627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366.69309800000002</v>
      </c>
      <c r="B895" s="1">
        <f>DATE(2011,5,2) + TIME(16,38,3)</f>
        <v>40665.693090277775</v>
      </c>
      <c r="C895">
        <v>80</v>
      </c>
      <c r="D895">
        <v>79.709320067999997</v>
      </c>
      <c r="E895">
        <v>50</v>
      </c>
      <c r="F895">
        <v>49.711158752000003</v>
      </c>
      <c r="G895">
        <v>1490.3726807</v>
      </c>
      <c r="H895">
        <v>1457.6777344</v>
      </c>
      <c r="I895">
        <v>1212.9416504000001</v>
      </c>
      <c r="J895">
        <v>1164.9185791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366.76710200000002</v>
      </c>
      <c r="B896" s="1">
        <f>DATE(2011,5,2) + TIME(18,24,37)</f>
        <v>40665.767094907409</v>
      </c>
      <c r="C896">
        <v>80</v>
      </c>
      <c r="D896">
        <v>79.757537842000005</v>
      </c>
      <c r="E896">
        <v>50</v>
      </c>
      <c r="F896">
        <v>49.701953887999998</v>
      </c>
      <c r="G896">
        <v>1490.0754394999999</v>
      </c>
      <c r="H896">
        <v>1457.4097899999999</v>
      </c>
      <c r="I896">
        <v>1212.9315185999999</v>
      </c>
      <c r="J896">
        <v>1164.9047852000001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366.84500600000001</v>
      </c>
      <c r="B897" s="1">
        <f>DATE(2011,5,2) + TIME(20,16,48)</f>
        <v>40665.845000000001</v>
      </c>
      <c r="C897">
        <v>80</v>
      </c>
      <c r="D897">
        <v>79.798339843999997</v>
      </c>
      <c r="E897">
        <v>50</v>
      </c>
      <c r="F897">
        <v>49.692314148000001</v>
      </c>
      <c r="G897">
        <v>1489.7769774999999</v>
      </c>
      <c r="H897">
        <v>1457.1378173999999</v>
      </c>
      <c r="I897">
        <v>1212.9208983999999</v>
      </c>
      <c r="J897">
        <v>1164.8902588000001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366.92293699999999</v>
      </c>
      <c r="B898" s="1">
        <f>DATE(2011,5,2) + TIME(22,9,1)</f>
        <v>40665.92292824074</v>
      </c>
      <c r="C898">
        <v>80</v>
      </c>
      <c r="D898">
        <v>79.831176757999998</v>
      </c>
      <c r="E898">
        <v>50</v>
      </c>
      <c r="F898">
        <v>49.682624816999997</v>
      </c>
      <c r="G898">
        <v>1489.4782714999999</v>
      </c>
      <c r="H898">
        <v>1456.8626709</v>
      </c>
      <c r="I898">
        <v>1212.9095459</v>
      </c>
      <c r="J898">
        <v>1164.8751221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367.00114000000002</v>
      </c>
      <c r="B899" s="1">
        <f>DATE(2011,5,3) + TIME(0,1,38)</f>
        <v>40666.001134259262</v>
      </c>
      <c r="C899">
        <v>80</v>
      </c>
      <c r="D899">
        <v>79.857681274000001</v>
      </c>
      <c r="E899">
        <v>50</v>
      </c>
      <c r="F899">
        <v>49.672874450999998</v>
      </c>
      <c r="G899">
        <v>1489.1921387</v>
      </c>
      <c r="H899">
        <v>1456.5974120999999</v>
      </c>
      <c r="I899">
        <v>1212.8981934000001</v>
      </c>
      <c r="J899">
        <v>1164.8599853999999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367.07988</v>
      </c>
      <c r="B900" s="1">
        <f>DATE(2011,5,3) + TIME(1,55,1)</f>
        <v>40666.079872685186</v>
      </c>
      <c r="C900">
        <v>80</v>
      </c>
      <c r="D900">
        <v>79.879119872999993</v>
      </c>
      <c r="E900">
        <v>50</v>
      </c>
      <c r="F900">
        <v>49.663047790999997</v>
      </c>
      <c r="G900">
        <v>1488.9167480000001</v>
      </c>
      <c r="H900">
        <v>1456.3406981999999</v>
      </c>
      <c r="I900">
        <v>1212.8868408000001</v>
      </c>
      <c r="J900">
        <v>1164.8446045000001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367.159358</v>
      </c>
      <c r="B901" s="1">
        <f>DATE(2011,5,3) + TIME(3,49,28)</f>
        <v>40666.159351851849</v>
      </c>
      <c r="C901">
        <v>80</v>
      </c>
      <c r="D901">
        <v>79.896499633999994</v>
      </c>
      <c r="E901">
        <v>50</v>
      </c>
      <c r="F901">
        <v>49.653129577999998</v>
      </c>
      <c r="G901">
        <v>1488.6501464999999</v>
      </c>
      <c r="H901">
        <v>1456.0909423999999</v>
      </c>
      <c r="I901">
        <v>1212.8753661999999</v>
      </c>
      <c r="J901">
        <v>1164.8292236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367.23978399999999</v>
      </c>
      <c r="B902" s="1">
        <f>DATE(2011,5,3) + TIME(5,45,17)</f>
        <v>40666.23978009259</v>
      </c>
      <c r="C902">
        <v>80</v>
      </c>
      <c r="D902">
        <v>79.910583496000001</v>
      </c>
      <c r="E902">
        <v>50</v>
      </c>
      <c r="F902">
        <v>49.643104553000001</v>
      </c>
      <c r="G902">
        <v>1488.3909911999999</v>
      </c>
      <c r="H902">
        <v>1455.847168</v>
      </c>
      <c r="I902">
        <v>1212.8637695</v>
      </c>
      <c r="J902">
        <v>1164.8137207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367.32137</v>
      </c>
      <c r="B903" s="1">
        <f>DATE(2011,5,3) + TIME(7,42,46)</f>
        <v>40666.32136574074</v>
      </c>
      <c r="C903">
        <v>80</v>
      </c>
      <c r="D903">
        <v>79.922019958000007</v>
      </c>
      <c r="E903">
        <v>50</v>
      </c>
      <c r="F903">
        <v>49.632953643999997</v>
      </c>
      <c r="G903">
        <v>1488.1379394999999</v>
      </c>
      <c r="H903">
        <v>1455.6082764</v>
      </c>
      <c r="I903">
        <v>1212.8520507999999</v>
      </c>
      <c r="J903">
        <v>1164.7979736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367.404336</v>
      </c>
      <c r="B904" s="1">
        <f>DATE(2011,5,3) + TIME(9,42,14)</f>
        <v>40666.404328703706</v>
      </c>
      <c r="C904">
        <v>80</v>
      </c>
      <c r="D904">
        <v>79.931297302000004</v>
      </c>
      <c r="E904">
        <v>50</v>
      </c>
      <c r="F904">
        <v>49.622653960999997</v>
      </c>
      <c r="G904">
        <v>1487.8898925999999</v>
      </c>
      <c r="H904">
        <v>1455.3736572</v>
      </c>
      <c r="I904">
        <v>1212.8402100000001</v>
      </c>
      <c r="J904">
        <v>1164.7819824000001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367.48890499999999</v>
      </c>
      <c r="B905" s="1">
        <f>DATE(2011,5,3) + TIME(11,44,1)</f>
        <v>40666.488900462966</v>
      </c>
      <c r="C905">
        <v>80</v>
      </c>
      <c r="D905">
        <v>79.938827515</v>
      </c>
      <c r="E905">
        <v>50</v>
      </c>
      <c r="F905">
        <v>49.612190247000001</v>
      </c>
      <c r="G905">
        <v>1487.6461182</v>
      </c>
      <c r="H905">
        <v>1455.1422118999999</v>
      </c>
      <c r="I905">
        <v>1212.828125</v>
      </c>
      <c r="J905">
        <v>1164.7657471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367.575312</v>
      </c>
      <c r="B906" s="1">
        <f>DATE(2011,5,3) + TIME(13,48,26)</f>
        <v>40666.575300925928</v>
      </c>
      <c r="C906">
        <v>80</v>
      </c>
      <c r="D906">
        <v>79.944931030000006</v>
      </c>
      <c r="E906">
        <v>50</v>
      </c>
      <c r="F906">
        <v>49.601531981999997</v>
      </c>
      <c r="G906">
        <v>1487.4053954999999</v>
      </c>
      <c r="H906">
        <v>1454.9134521000001</v>
      </c>
      <c r="I906">
        <v>1212.8157959</v>
      </c>
      <c r="J906">
        <v>1164.7491454999999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367.66381000000001</v>
      </c>
      <c r="B907" s="1">
        <f>DATE(2011,5,3) + TIME(15,55,53)</f>
        <v>40666.663807870369</v>
      </c>
      <c r="C907">
        <v>80</v>
      </c>
      <c r="D907">
        <v>79.949874878000003</v>
      </c>
      <c r="E907">
        <v>50</v>
      </c>
      <c r="F907">
        <v>49.590656281000001</v>
      </c>
      <c r="G907">
        <v>1487.1672363</v>
      </c>
      <c r="H907">
        <v>1454.6866454999999</v>
      </c>
      <c r="I907">
        <v>1212.8032227000001</v>
      </c>
      <c r="J907">
        <v>1164.7321777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367.75466899999998</v>
      </c>
      <c r="B908" s="1">
        <f>DATE(2011,5,3) + TIME(18,6,43)</f>
        <v>40666.754664351851</v>
      </c>
      <c r="C908">
        <v>80</v>
      </c>
      <c r="D908">
        <v>79.953880310000002</v>
      </c>
      <c r="E908">
        <v>50</v>
      </c>
      <c r="F908">
        <v>49.579532622999999</v>
      </c>
      <c r="G908">
        <v>1486.9306641000001</v>
      </c>
      <c r="H908">
        <v>1454.4610596</v>
      </c>
      <c r="I908">
        <v>1212.7904053</v>
      </c>
      <c r="J908">
        <v>1164.7148437999999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367.84818799999999</v>
      </c>
      <c r="B909" s="1">
        <f>DATE(2011,5,3) + TIME(20,21,23)</f>
        <v>40666.848182870373</v>
      </c>
      <c r="C909">
        <v>80</v>
      </c>
      <c r="D909">
        <v>79.957107543999996</v>
      </c>
      <c r="E909">
        <v>50</v>
      </c>
      <c r="F909">
        <v>49.568134307999998</v>
      </c>
      <c r="G909">
        <v>1486.6950684000001</v>
      </c>
      <c r="H909">
        <v>1454.2362060999999</v>
      </c>
      <c r="I909">
        <v>1212.7772216999999</v>
      </c>
      <c r="J909">
        <v>1164.6971435999999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367.94474000000002</v>
      </c>
      <c r="B910" s="1">
        <f>DATE(2011,5,3) + TIME(22,40,25)</f>
        <v>40666.944733796299</v>
      </c>
      <c r="C910">
        <v>80</v>
      </c>
      <c r="D910">
        <v>79.959716796999999</v>
      </c>
      <c r="E910">
        <v>50</v>
      </c>
      <c r="F910">
        <v>49.556419372999997</v>
      </c>
      <c r="G910">
        <v>1486.4597168</v>
      </c>
      <c r="H910">
        <v>1454.0113524999999</v>
      </c>
      <c r="I910">
        <v>1212.7635498</v>
      </c>
      <c r="J910">
        <v>1164.6788329999999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368.04467899999997</v>
      </c>
      <c r="B911" s="1">
        <f>DATE(2011,5,4) + TIME(1,4,20)</f>
        <v>40667.044675925928</v>
      </c>
      <c r="C911">
        <v>80</v>
      </c>
      <c r="D911">
        <v>79.961822510000005</v>
      </c>
      <c r="E911">
        <v>50</v>
      </c>
      <c r="F911">
        <v>49.544349670000003</v>
      </c>
      <c r="G911">
        <v>1486.2238769999999</v>
      </c>
      <c r="H911">
        <v>1453.7858887</v>
      </c>
      <c r="I911">
        <v>1212.7495117000001</v>
      </c>
      <c r="J911">
        <v>1164.6599120999999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368.14840400000003</v>
      </c>
      <c r="B912" s="1">
        <f>DATE(2011,5,4) + TIME(3,33,42)</f>
        <v>40667.148402777777</v>
      </c>
      <c r="C912">
        <v>80</v>
      </c>
      <c r="D912">
        <v>79.963516235</v>
      </c>
      <c r="E912">
        <v>50</v>
      </c>
      <c r="F912">
        <v>49.531883239999999</v>
      </c>
      <c r="G912">
        <v>1485.9868164</v>
      </c>
      <c r="H912">
        <v>1453.559082</v>
      </c>
      <c r="I912">
        <v>1212.7349853999999</v>
      </c>
      <c r="J912">
        <v>1164.6403809000001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368.25610599999999</v>
      </c>
      <c r="B913" s="1">
        <f>DATE(2011,5,4) + TIME(6,8,47)</f>
        <v>40667.256099537037</v>
      </c>
      <c r="C913">
        <v>80</v>
      </c>
      <c r="D913">
        <v>79.964866638000004</v>
      </c>
      <c r="E913">
        <v>50</v>
      </c>
      <c r="F913">
        <v>49.518997192</v>
      </c>
      <c r="G913">
        <v>1485.7480469</v>
      </c>
      <c r="H913">
        <v>1453.3305664</v>
      </c>
      <c r="I913">
        <v>1212.7199707</v>
      </c>
      <c r="J913">
        <v>1164.6201172000001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368.36811899999998</v>
      </c>
      <c r="B914" s="1">
        <f>DATE(2011,5,4) + TIME(8,50,5)</f>
        <v>40667.368113425924</v>
      </c>
      <c r="C914">
        <v>80</v>
      </c>
      <c r="D914">
        <v>79.965957642000006</v>
      </c>
      <c r="E914">
        <v>50</v>
      </c>
      <c r="F914">
        <v>49.505657196000001</v>
      </c>
      <c r="G914">
        <v>1485.5072021000001</v>
      </c>
      <c r="H914">
        <v>1453.0999756000001</v>
      </c>
      <c r="I914">
        <v>1212.7042236</v>
      </c>
      <c r="J914">
        <v>1164.598999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368.48500100000001</v>
      </c>
      <c r="B915" s="1">
        <f>DATE(2011,5,4) + TIME(11,38,24)</f>
        <v>40667.485000000001</v>
      </c>
      <c r="C915">
        <v>80</v>
      </c>
      <c r="D915">
        <v>79.966819763000004</v>
      </c>
      <c r="E915">
        <v>50</v>
      </c>
      <c r="F915">
        <v>49.491802216000004</v>
      </c>
      <c r="G915">
        <v>1485.2640381000001</v>
      </c>
      <c r="H915">
        <v>1452.8670654</v>
      </c>
      <c r="I915">
        <v>1212.6879882999999</v>
      </c>
      <c r="J915">
        <v>1164.5771483999999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368.60739100000001</v>
      </c>
      <c r="B916" s="1">
        <f>DATE(2011,5,4) + TIME(14,34,38)</f>
        <v>40667.60738425926</v>
      </c>
      <c r="C916">
        <v>80</v>
      </c>
      <c r="D916">
        <v>79.967521667</v>
      </c>
      <c r="E916">
        <v>50</v>
      </c>
      <c r="F916">
        <v>49.477371216000002</v>
      </c>
      <c r="G916">
        <v>1485.0177002</v>
      </c>
      <c r="H916">
        <v>1452.6311035000001</v>
      </c>
      <c r="I916">
        <v>1212.6708983999999</v>
      </c>
      <c r="J916">
        <v>1164.5543213000001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368.73323099999999</v>
      </c>
      <c r="B917" s="1">
        <f>DATE(2011,5,4) + TIME(17,35,51)</f>
        <v>40667.733229166668</v>
      </c>
      <c r="C917">
        <v>80</v>
      </c>
      <c r="D917">
        <v>79.968063353999995</v>
      </c>
      <c r="E917">
        <v>50</v>
      </c>
      <c r="F917">
        <v>49.462524414000001</v>
      </c>
      <c r="G917">
        <v>1484.7673339999999</v>
      </c>
      <c r="H917">
        <v>1452.3911132999999</v>
      </c>
      <c r="I917">
        <v>1212.6530762</v>
      </c>
      <c r="J917">
        <v>1164.5305175999999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368.85916900000001</v>
      </c>
      <c r="B918" s="1">
        <f>DATE(2011,5,4) + TIME(20,37,12)</f>
        <v>40667.859166666669</v>
      </c>
      <c r="C918">
        <v>80</v>
      </c>
      <c r="D918">
        <v>79.968482971</v>
      </c>
      <c r="E918">
        <v>50</v>
      </c>
      <c r="F918">
        <v>49.447559357000003</v>
      </c>
      <c r="G918">
        <v>1484.5174560999999</v>
      </c>
      <c r="H918">
        <v>1452.1517334</v>
      </c>
      <c r="I918">
        <v>1212.6347656</v>
      </c>
      <c r="J918">
        <v>1164.5062256000001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368.98560199999997</v>
      </c>
      <c r="B919" s="1">
        <f>DATE(2011,5,4) + TIME(23,39,16)</f>
        <v>40667.985601851855</v>
      </c>
      <c r="C919">
        <v>80</v>
      </c>
      <c r="D919">
        <v>79.968818665000001</v>
      </c>
      <c r="E919">
        <v>50</v>
      </c>
      <c r="F919">
        <v>49.432479858000001</v>
      </c>
      <c r="G919">
        <v>1484.2746582</v>
      </c>
      <c r="H919">
        <v>1451.9189452999999</v>
      </c>
      <c r="I919">
        <v>1212.6163329999999</v>
      </c>
      <c r="J919">
        <v>1164.4816894999999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369.11286999999999</v>
      </c>
      <c r="B920" s="1">
        <f>DATE(2011,5,5) + TIME(2,42,31)</f>
        <v>40668.112858796296</v>
      </c>
      <c r="C920">
        <v>80</v>
      </c>
      <c r="D920">
        <v>79.969078064000001</v>
      </c>
      <c r="E920">
        <v>50</v>
      </c>
      <c r="F920">
        <v>49.417282104000002</v>
      </c>
      <c r="G920">
        <v>1484.0377197</v>
      </c>
      <c r="H920">
        <v>1451.6917725000001</v>
      </c>
      <c r="I920">
        <v>1212.5977783000001</v>
      </c>
      <c r="J920">
        <v>1164.4571533000001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369.24132900000001</v>
      </c>
      <c r="B921" s="1">
        <f>DATE(2011,5,5) + TIME(5,47,30)</f>
        <v>40668.241319444445</v>
      </c>
      <c r="C921">
        <v>80</v>
      </c>
      <c r="D921">
        <v>79.969284058</v>
      </c>
      <c r="E921">
        <v>50</v>
      </c>
      <c r="F921">
        <v>49.401943207000002</v>
      </c>
      <c r="G921">
        <v>1483.8057861</v>
      </c>
      <c r="H921">
        <v>1451.4694824000001</v>
      </c>
      <c r="I921">
        <v>1212.5792236</v>
      </c>
      <c r="J921">
        <v>1164.4323730000001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369.37133299999999</v>
      </c>
      <c r="B922" s="1">
        <f>DATE(2011,5,5) + TIME(8,54,43)</f>
        <v>40668.371331018519</v>
      </c>
      <c r="C922">
        <v>80</v>
      </c>
      <c r="D922">
        <v>79.969451903999996</v>
      </c>
      <c r="E922">
        <v>50</v>
      </c>
      <c r="F922">
        <v>49.386444091999998</v>
      </c>
      <c r="G922">
        <v>1483.5778809000001</v>
      </c>
      <c r="H922">
        <v>1451.2509766000001</v>
      </c>
      <c r="I922">
        <v>1212.5604248</v>
      </c>
      <c r="J922">
        <v>1164.4072266000001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369.50323800000001</v>
      </c>
      <c r="B923" s="1">
        <f>DATE(2011,5,5) + TIME(12,4,39)</f>
        <v>40668.503229166665</v>
      </c>
      <c r="C923">
        <v>80</v>
      </c>
      <c r="D923">
        <v>79.969589232999994</v>
      </c>
      <c r="E923">
        <v>50</v>
      </c>
      <c r="F923">
        <v>49.370754241999997</v>
      </c>
      <c r="G923">
        <v>1483.3533935999999</v>
      </c>
      <c r="H923">
        <v>1451.0356445</v>
      </c>
      <c r="I923">
        <v>1212.5413818</v>
      </c>
      <c r="J923">
        <v>1164.3819579999999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369.63741399999998</v>
      </c>
      <c r="B924" s="1">
        <f>DATE(2011,5,5) + TIME(15,17,52)</f>
        <v>40668.637407407405</v>
      </c>
      <c r="C924">
        <v>80</v>
      </c>
      <c r="D924">
        <v>79.969703674000002</v>
      </c>
      <c r="E924">
        <v>50</v>
      </c>
      <c r="F924">
        <v>49.35484314</v>
      </c>
      <c r="G924">
        <v>1483.1314697</v>
      </c>
      <c r="H924">
        <v>1450.822876</v>
      </c>
      <c r="I924">
        <v>1212.5222168</v>
      </c>
      <c r="J924">
        <v>1164.3562012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369.77424600000001</v>
      </c>
      <c r="B925" s="1">
        <f>DATE(2011,5,5) + TIME(18,34,54)</f>
        <v>40668.774236111109</v>
      </c>
      <c r="C925">
        <v>80</v>
      </c>
      <c r="D925">
        <v>79.969795227000006</v>
      </c>
      <c r="E925">
        <v>50</v>
      </c>
      <c r="F925">
        <v>49.338672637999998</v>
      </c>
      <c r="G925">
        <v>1482.9113769999999</v>
      </c>
      <c r="H925">
        <v>1450.6118164</v>
      </c>
      <c r="I925">
        <v>1212.5025635</v>
      </c>
      <c r="J925">
        <v>1164.3300781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369.91414500000002</v>
      </c>
      <c r="B926" s="1">
        <f>DATE(2011,5,5) + TIME(21,56,22)</f>
        <v>40668.914143518516</v>
      </c>
      <c r="C926">
        <v>80</v>
      </c>
      <c r="D926">
        <v>79.969879149999997</v>
      </c>
      <c r="E926">
        <v>50</v>
      </c>
      <c r="F926">
        <v>49.322200774999999</v>
      </c>
      <c r="G926">
        <v>1482.6926269999999</v>
      </c>
      <c r="H926">
        <v>1450.4019774999999</v>
      </c>
      <c r="I926">
        <v>1212.4825439000001</v>
      </c>
      <c r="J926">
        <v>1164.3033447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370.05755499999998</v>
      </c>
      <c r="B927" s="1">
        <f>DATE(2011,5,6) + TIME(1,22,52)</f>
        <v>40669.057546296295</v>
      </c>
      <c r="C927">
        <v>80</v>
      </c>
      <c r="D927">
        <v>79.969940186000002</v>
      </c>
      <c r="E927">
        <v>50</v>
      </c>
      <c r="F927">
        <v>49.30538559</v>
      </c>
      <c r="G927">
        <v>1482.4744873</v>
      </c>
      <c r="H927">
        <v>1450.1926269999999</v>
      </c>
      <c r="I927">
        <v>1212.4621582</v>
      </c>
      <c r="J927">
        <v>1164.2761230000001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370.20498800000001</v>
      </c>
      <c r="B928" s="1">
        <f>DATE(2011,5,6) + TIME(4,55,11)</f>
        <v>40669.204988425925</v>
      </c>
      <c r="C928">
        <v>80</v>
      </c>
      <c r="D928">
        <v>79.970001221000004</v>
      </c>
      <c r="E928">
        <v>50</v>
      </c>
      <c r="F928">
        <v>49.288169861</v>
      </c>
      <c r="G928">
        <v>1482.2564697</v>
      </c>
      <c r="H928">
        <v>1449.9833983999999</v>
      </c>
      <c r="I928">
        <v>1212.4411620999999</v>
      </c>
      <c r="J928">
        <v>1164.2481689000001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370.35704099999998</v>
      </c>
      <c r="B929" s="1">
        <f>DATE(2011,5,6) + TIME(8,34,8)</f>
        <v>40669.357037037036</v>
      </c>
      <c r="C929">
        <v>80</v>
      </c>
      <c r="D929">
        <v>79.970046996999997</v>
      </c>
      <c r="E929">
        <v>50</v>
      </c>
      <c r="F929">
        <v>49.270500183000003</v>
      </c>
      <c r="G929">
        <v>1482.0377197</v>
      </c>
      <c r="H929">
        <v>1449.7735596</v>
      </c>
      <c r="I929">
        <v>1212.4196777</v>
      </c>
      <c r="J929">
        <v>1164.2193603999999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370.51327600000002</v>
      </c>
      <c r="B930" s="1">
        <f>DATE(2011,5,6) + TIME(12,19,7)</f>
        <v>40669.513275462959</v>
      </c>
      <c r="C930">
        <v>80</v>
      </c>
      <c r="D930">
        <v>79.970085143999995</v>
      </c>
      <c r="E930">
        <v>50</v>
      </c>
      <c r="F930">
        <v>49.252388000000003</v>
      </c>
      <c r="G930">
        <v>1481.817749</v>
      </c>
      <c r="H930">
        <v>1449.5625</v>
      </c>
      <c r="I930">
        <v>1212.3974608999999</v>
      </c>
      <c r="J930">
        <v>1164.1898193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370.67420199999998</v>
      </c>
      <c r="B931" s="1">
        <f>DATE(2011,5,6) + TIME(16,10,51)</f>
        <v>40669.674201388887</v>
      </c>
      <c r="C931">
        <v>80</v>
      </c>
      <c r="D931">
        <v>79.970115661999998</v>
      </c>
      <c r="E931">
        <v>50</v>
      </c>
      <c r="F931">
        <v>49.233798981</v>
      </c>
      <c r="G931">
        <v>1481.597168</v>
      </c>
      <c r="H931">
        <v>1449.3507079999999</v>
      </c>
      <c r="I931">
        <v>1212.3746338000001</v>
      </c>
      <c r="J931">
        <v>1164.1593018000001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370.84041400000001</v>
      </c>
      <c r="B932" s="1">
        <f>DATE(2011,5,6) + TIME(20,10,11)</f>
        <v>40669.840405092589</v>
      </c>
      <c r="C932">
        <v>80</v>
      </c>
      <c r="D932">
        <v>79.970146178999997</v>
      </c>
      <c r="E932">
        <v>50</v>
      </c>
      <c r="F932">
        <v>49.214668273999997</v>
      </c>
      <c r="G932">
        <v>1481.3756103999999</v>
      </c>
      <c r="H932">
        <v>1449.1380615</v>
      </c>
      <c r="I932">
        <v>1212.3510742000001</v>
      </c>
      <c r="J932">
        <v>1164.1279297000001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371.01255800000001</v>
      </c>
      <c r="B933" s="1">
        <f>DATE(2011,5,7) + TIME(0,18,4)</f>
        <v>40670.012546296297</v>
      </c>
      <c r="C933">
        <v>80</v>
      </c>
      <c r="D933">
        <v>79.970169067</v>
      </c>
      <c r="E933">
        <v>50</v>
      </c>
      <c r="F933">
        <v>49.194938659999998</v>
      </c>
      <c r="G933">
        <v>1481.1523437999999</v>
      </c>
      <c r="H933">
        <v>1448.9235839999999</v>
      </c>
      <c r="I933">
        <v>1212.3269043</v>
      </c>
      <c r="J933">
        <v>1164.0955810999999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371.18724600000002</v>
      </c>
      <c r="B934" s="1">
        <f>DATE(2011,5,7) + TIME(4,29,38)</f>
        <v>40670.187245370369</v>
      </c>
      <c r="C934">
        <v>80</v>
      </c>
      <c r="D934">
        <v>79.970191955999994</v>
      </c>
      <c r="E934">
        <v>50</v>
      </c>
      <c r="F934">
        <v>49.174850464000002</v>
      </c>
      <c r="G934">
        <v>1480.9267577999999</v>
      </c>
      <c r="H934">
        <v>1448.7070312000001</v>
      </c>
      <c r="I934">
        <v>1212.3016356999999</v>
      </c>
      <c r="J934">
        <v>1164.0622559000001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371.362345</v>
      </c>
      <c r="B935" s="1">
        <f>DATE(2011,5,7) + TIME(8,41,46)</f>
        <v>40670.362337962964</v>
      </c>
      <c r="C935">
        <v>80</v>
      </c>
      <c r="D935">
        <v>79.970207213999998</v>
      </c>
      <c r="E935">
        <v>50</v>
      </c>
      <c r="F935">
        <v>49.154594420999999</v>
      </c>
      <c r="G935">
        <v>1480.7034911999999</v>
      </c>
      <c r="H935">
        <v>1448.4924315999999</v>
      </c>
      <c r="I935">
        <v>1212.276001</v>
      </c>
      <c r="J935">
        <v>1164.0283202999999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371.53832299999999</v>
      </c>
      <c r="B936" s="1">
        <f>DATE(2011,5,7) + TIME(12,55,11)</f>
        <v>40670.538321759261</v>
      </c>
      <c r="C936">
        <v>80</v>
      </c>
      <c r="D936">
        <v>79.970222473000007</v>
      </c>
      <c r="E936">
        <v>50</v>
      </c>
      <c r="F936">
        <v>49.134189606</v>
      </c>
      <c r="G936">
        <v>1480.4848632999999</v>
      </c>
      <c r="H936">
        <v>1448.2824707</v>
      </c>
      <c r="I936">
        <v>1212.2503661999999</v>
      </c>
      <c r="J936">
        <v>1163.9942627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371.71567199999998</v>
      </c>
      <c r="B937" s="1">
        <f>DATE(2011,5,7) + TIME(17,10,34)</f>
        <v>40670.715671296297</v>
      </c>
      <c r="C937">
        <v>80</v>
      </c>
      <c r="D937">
        <v>79.970230103000006</v>
      </c>
      <c r="E937">
        <v>50</v>
      </c>
      <c r="F937">
        <v>49.113632201999998</v>
      </c>
      <c r="G937">
        <v>1480.2703856999999</v>
      </c>
      <c r="H937">
        <v>1448.0762939000001</v>
      </c>
      <c r="I937">
        <v>1212.2246094</v>
      </c>
      <c r="J937">
        <v>1163.9600829999999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371.89487600000001</v>
      </c>
      <c r="B938" s="1">
        <f>DATE(2011,5,7) + TIME(21,28,37)</f>
        <v>40670.894872685189</v>
      </c>
      <c r="C938">
        <v>80</v>
      </c>
      <c r="D938">
        <v>79.970245360999996</v>
      </c>
      <c r="E938">
        <v>50</v>
      </c>
      <c r="F938">
        <v>49.092895507999998</v>
      </c>
      <c r="G938">
        <v>1480.0592041</v>
      </c>
      <c r="H938">
        <v>1447.8732910000001</v>
      </c>
      <c r="I938">
        <v>1212.1986084</v>
      </c>
      <c r="J938">
        <v>1163.9255370999999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372.07642600000003</v>
      </c>
      <c r="B939" s="1">
        <f>DATE(2011,5,8) + TIME(1,50,3)</f>
        <v>40671.076423611114</v>
      </c>
      <c r="C939">
        <v>80</v>
      </c>
      <c r="D939">
        <v>79.970252990999995</v>
      </c>
      <c r="E939">
        <v>50</v>
      </c>
      <c r="F939">
        <v>49.071945190000001</v>
      </c>
      <c r="G939">
        <v>1479.8505858999999</v>
      </c>
      <c r="H939">
        <v>1447.6727295000001</v>
      </c>
      <c r="I939">
        <v>1212.1723632999999</v>
      </c>
      <c r="J939">
        <v>1163.890625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372.26082700000001</v>
      </c>
      <c r="B940" s="1">
        <f>DATE(2011,5,8) + TIME(6,15,35)</f>
        <v>40671.260821759257</v>
      </c>
      <c r="C940">
        <v>80</v>
      </c>
      <c r="D940">
        <v>79.970260620000005</v>
      </c>
      <c r="E940">
        <v>50</v>
      </c>
      <c r="F940">
        <v>49.050739288000003</v>
      </c>
      <c r="G940">
        <v>1479.6439209</v>
      </c>
      <c r="H940">
        <v>1447.473999</v>
      </c>
      <c r="I940">
        <v>1212.145874</v>
      </c>
      <c r="J940">
        <v>1163.8553466999999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372.4486</v>
      </c>
      <c r="B941" s="1">
        <f>DATE(2011,5,8) + TIME(10,45,59)</f>
        <v>40671.448599537034</v>
      </c>
      <c r="C941">
        <v>80</v>
      </c>
      <c r="D941">
        <v>79.970268250000004</v>
      </c>
      <c r="E941">
        <v>50</v>
      </c>
      <c r="F941">
        <v>49.029228209999999</v>
      </c>
      <c r="G941">
        <v>1479.4387207</v>
      </c>
      <c r="H941">
        <v>1447.2764893000001</v>
      </c>
      <c r="I941">
        <v>1212.1187743999999</v>
      </c>
      <c r="J941">
        <v>1163.8193358999999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372.64030700000001</v>
      </c>
      <c r="B942" s="1">
        <f>DATE(2011,5,8) + TIME(15,22,2)</f>
        <v>40671.640300925923</v>
      </c>
      <c r="C942">
        <v>80</v>
      </c>
      <c r="D942">
        <v>79.970268250000004</v>
      </c>
      <c r="E942">
        <v>50</v>
      </c>
      <c r="F942">
        <v>49.007358551000003</v>
      </c>
      <c r="G942">
        <v>1479.2341309000001</v>
      </c>
      <c r="H942">
        <v>1447.0797118999999</v>
      </c>
      <c r="I942">
        <v>1212.0913086</v>
      </c>
      <c r="J942">
        <v>1163.7828368999999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372.83655499999998</v>
      </c>
      <c r="B943" s="1">
        <f>DATE(2011,5,8) + TIME(20,4,38)</f>
        <v>40671.836550925924</v>
      </c>
      <c r="C943">
        <v>80</v>
      </c>
      <c r="D943">
        <v>79.970275878999999</v>
      </c>
      <c r="E943">
        <v>50</v>
      </c>
      <c r="F943">
        <v>48.985069275000001</v>
      </c>
      <c r="G943">
        <v>1479.0297852000001</v>
      </c>
      <c r="H943">
        <v>1446.8830565999999</v>
      </c>
      <c r="I943">
        <v>1212.0632324000001</v>
      </c>
      <c r="J943">
        <v>1163.7454834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373.03806200000002</v>
      </c>
      <c r="B944" s="1">
        <f>DATE(2011,5,9) + TIME(0,54,48)</f>
        <v>40672.038055555553</v>
      </c>
      <c r="C944">
        <v>80</v>
      </c>
      <c r="D944">
        <v>79.970283507999994</v>
      </c>
      <c r="E944">
        <v>50</v>
      </c>
      <c r="F944">
        <v>48.962295531999999</v>
      </c>
      <c r="G944">
        <v>1478.8251952999999</v>
      </c>
      <c r="H944">
        <v>1446.6860352000001</v>
      </c>
      <c r="I944">
        <v>1212.0345459</v>
      </c>
      <c r="J944">
        <v>1163.7072754000001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373.24560700000001</v>
      </c>
      <c r="B945" s="1">
        <f>DATE(2011,5,9) + TIME(5,53,40)</f>
        <v>40672.24560185185</v>
      </c>
      <c r="C945">
        <v>80</v>
      </c>
      <c r="D945">
        <v>79.970283507999994</v>
      </c>
      <c r="E945">
        <v>50</v>
      </c>
      <c r="F945">
        <v>48.938961028999998</v>
      </c>
      <c r="G945">
        <v>1478.6195068</v>
      </c>
      <c r="H945">
        <v>1446.4879149999999</v>
      </c>
      <c r="I945">
        <v>1212.0050048999999</v>
      </c>
      <c r="J945">
        <v>1163.6679687999999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373.45908800000001</v>
      </c>
      <c r="B946" s="1">
        <f>DATE(2011,5,9) + TIME(11,1,5)</f>
        <v>40672.459085648145</v>
      </c>
      <c r="C946">
        <v>80</v>
      </c>
      <c r="D946">
        <v>79.970291137999993</v>
      </c>
      <c r="E946">
        <v>50</v>
      </c>
      <c r="F946">
        <v>48.915042876999998</v>
      </c>
      <c r="G946">
        <v>1478.4122314000001</v>
      </c>
      <c r="H946">
        <v>1446.2883300999999</v>
      </c>
      <c r="I946">
        <v>1211.9746094</v>
      </c>
      <c r="J946">
        <v>1163.6275635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373.67825499999998</v>
      </c>
      <c r="B947" s="1">
        <f>DATE(2011,5,9) + TIME(16,16,41)</f>
        <v>40672.678252314814</v>
      </c>
      <c r="C947">
        <v>80</v>
      </c>
      <c r="D947">
        <v>79.970291137999993</v>
      </c>
      <c r="E947">
        <v>50</v>
      </c>
      <c r="F947">
        <v>48.890544890999998</v>
      </c>
      <c r="G947">
        <v>1478.2034911999999</v>
      </c>
      <c r="H947">
        <v>1446.0872803</v>
      </c>
      <c r="I947">
        <v>1211.9433594</v>
      </c>
      <c r="J947">
        <v>1163.5860596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373.904022</v>
      </c>
      <c r="B948" s="1">
        <f>DATE(2011,5,9) + TIME(21,41,47)</f>
        <v>40672.904016203705</v>
      </c>
      <c r="C948">
        <v>80</v>
      </c>
      <c r="D948">
        <v>79.970298767000003</v>
      </c>
      <c r="E948">
        <v>50</v>
      </c>
      <c r="F948">
        <v>48.865406036000003</v>
      </c>
      <c r="G948">
        <v>1477.9938964999999</v>
      </c>
      <c r="H948">
        <v>1445.8852539</v>
      </c>
      <c r="I948">
        <v>1211.9112548999999</v>
      </c>
      <c r="J948">
        <v>1163.543457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374.13503600000001</v>
      </c>
      <c r="B949" s="1">
        <f>DATE(2011,5,10) + TIME(3,14,27)</f>
        <v>40673.135034722225</v>
      </c>
      <c r="C949">
        <v>80</v>
      </c>
      <c r="D949">
        <v>79.970298767000003</v>
      </c>
      <c r="E949">
        <v>50</v>
      </c>
      <c r="F949">
        <v>48.839698792</v>
      </c>
      <c r="G949">
        <v>1477.7825928</v>
      </c>
      <c r="H949">
        <v>1445.6815185999999</v>
      </c>
      <c r="I949">
        <v>1211.8781738</v>
      </c>
      <c r="J949">
        <v>1163.4995117000001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374.36638199999999</v>
      </c>
      <c r="B950" s="1">
        <f>DATE(2011,5,10) + TIME(8,47,35)</f>
        <v>40673.366377314815</v>
      </c>
      <c r="C950">
        <v>80</v>
      </c>
      <c r="D950">
        <v>79.970298767000003</v>
      </c>
      <c r="E950">
        <v>50</v>
      </c>
      <c r="F950">
        <v>48.813762664999999</v>
      </c>
      <c r="G950">
        <v>1477.5710449000001</v>
      </c>
      <c r="H950">
        <v>1445.4775391000001</v>
      </c>
      <c r="I950">
        <v>1211.8442382999999</v>
      </c>
      <c r="J950">
        <v>1163.4548339999999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374.59869700000002</v>
      </c>
      <c r="B951" s="1">
        <f>DATE(2011,5,10) + TIME(14,22,7)</f>
        <v>40673.598692129628</v>
      </c>
      <c r="C951">
        <v>80</v>
      </c>
      <c r="D951">
        <v>79.970306395999998</v>
      </c>
      <c r="E951">
        <v>50</v>
      </c>
      <c r="F951">
        <v>48.787662505999997</v>
      </c>
      <c r="G951">
        <v>1477.3635254000001</v>
      </c>
      <c r="H951">
        <v>1445.2774658000001</v>
      </c>
      <c r="I951">
        <v>1211.8103027</v>
      </c>
      <c r="J951">
        <v>1163.4099120999999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374.83263399999998</v>
      </c>
      <c r="B952" s="1">
        <f>DATE(2011,5,10) + TIME(19,58,59)</f>
        <v>40673.832627314812</v>
      </c>
      <c r="C952">
        <v>80</v>
      </c>
      <c r="D952">
        <v>79.970306395999998</v>
      </c>
      <c r="E952">
        <v>50</v>
      </c>
      <c r="F952">
        <v>48.761405945</v>
      </c>
      <c r="G952">
        <v>1477.1594238</v>
      </c>
      <c r="H952">
        <v>1445.0805664</v>
      </c>
      <c r="I952">
        <v>1211.7761230000001</v>
      </c>
      <c r="J952">
        <v>1163.3647461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375.06884100000002</v>
      </c>
      <c r="B953" s="1">
        <f>DATE(2011,5,11) + TIME(1,39,7)</f>
        <v>40674.068831018521</v>
      </c>
      <c r="C953">
        <v>80</v>
      </c>
      <c r="D953">
        <v>79.970314025999997</v>
      </c>
      <c r="E953">
        <v>50</v>
      </c>
      <c r="F953">
        <v>48.734962463000002</v>
      </c>
      <c r="G953">
        <v>1476.9582519999999</v>
      </c>
      <c r="H953">
        <v>1444.8863524999999</v>
      </c>
      <c r="I953">
        <v>1211.7418213000001</v>
      </c>
      <c r="J953">
        <v>1163.3192139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375.30797000000001</v>
      </c>
      <c r="B954" s="1">
        <f>DATE(2011,5,11) + TIME(7,23,28)</f>
        <v>40674.307962962965</v>
      </c>
      <c r="C954">
        <v>80</v>
      </c>
      <c r="D954">
        <v>79.970314025999997</v>
      </c>
      <c r="E954">
        <v>50</v>
      </c>
      <c r="F954">
        <v>48.708293914999999</v>
      </c>
      <c r="G954">
        <v>1476.7591553</v>
      </c>
      <c r="H954">
        <v>1444.6940918</v>
      </c>
      <c r="I954">
        <v>1211.7071533000001</v>
      </c>
      <c r="J954">
        <v>1163.2733154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375.55069300000002</v>
      </c>
      <c r="B955" s="1">
        <f>DATE(2011,5,11) + TIME(13,12,59)</f>
        <v>40674.550682870373</v>
      </c>
      <c r="C955">
        <v>80</v>
      </c>
      <c r="D955">
        <v>79.970321655000006</v>
      </c>
      <c r="E955">
        <v>50</v>
      </c>
      <c r="F955">
        <v>48.681346892999997</v>
      </c>
      <c r="G955">
        <v>1476.5615233999999</v>
      </c>
      <c r="H955">
        <v>1444.5032959</v>
      </c>
      <c r="I955">
        <v>1211.6719971</v>
      </c>
      <c r="J955">
        <v>1163.2266846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375.79771599999998</v>
      </c>
      <c r="B956" s="1">
        <f>DATE(2011,5,11) + TIME(19,8,42)</f>
        <v>40674.797708333332</v>
      </c>
      <c r="C956">
        <v>80</v>
      </c>
      <c r="D956">
        <v>79.970321655000006</v>
      </c>
      <c r="E956">
        <v>50</v>
      </c>
      <c r="F956">
        <v>48.654056549000003</v>
      </c>
      <c r="G956">
        <v>1476.3648682</v>
      </c>
      <c r="H956">
        <v>1444.3133545000001</v>
      </c>
      <c r="I956">
        <v>1211.6364745999999</v>
      </c>
      <c r="J956">
        <v>1163.1795654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376.04978299999999</v>
      </c>
      <c r="B957" s="1">
        <f>DATE(2011,5,12) + TIME(1,11,41)</f>
        <v>40675.049780092595</v>
      </c>
      <c r="C957">
        <v>80</v>
      </c>
      <c r="D957">
        <v>79.970329285000005</v>
      </c>
      <c r="E957">
        <v>50</v>
      </c>
      <c r="F957">
        <v>48.626350403000004</v>
      </c>
      <c r="G957">
        <v>1476.1685791</v>
      </c>
      <c r="H957">
        <v>1444.1236572</v>
      </c>
      <c r="I957">
        <v>1211.6002197</v>
      </c>
      <c r="J957">
        <v>1163.1314697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376.307704</v>
      </c>
      <c r="B958" s="1">
        <f>DATE(2011,5,12) + TIME(7,23,5)</f>
        <v>40675.307696759257</v>
      </c>
      <c r="C958">
        <v>80</v>
      </c>
      <c r="D958">
        <v>79.970329285000005</v>
      </c>
      <c r="E958">
        <v>50</v>
      </c>
      <c r="F958">
        <v>48.598152161000002</v>
      </c>
      <c r="G958">
        <v>1475.972168</v>
      </c>
      <c r="H958">
        <v>1443.9338379000001</v>
      </c>
      <c r="I958">
        <v>1211.5632324000001</v>
      </c>
      <c r="J958">
        <v>1163.0823975000001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376.57246600000002</v>
      </c>
      <c r="B959" s="1">
        <f>DATE(2011,5,12) + TIME(13,44,21)</f>
        <v>40675.572465277779</v>
      </c>
      <c r="C959">
        <v>80</v>
      </c>
      <c r="D959">
        <v>79.970336914000001</v>
      </c>
      <c r="E959">
        <v>50</v>
      </c>
      <c r="F959">
        <v>48.569374084000003</v>
      </c>
      <c r="G959">
        <v>1475.7751464999999</v>
      </c>
      <c r="H959">
        <v>1443.7432861</v>
      </c>
      <c r="I959">
        <v>1211.5252685999999</v>
      </c>
      <c r="J959">
        <v>1163.0322266000001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376.84505899999999</v>
      </c>
      <c r="B960" s="1">
        <f>DATE(2011,5,12) + TIME(20,16,53)</f>
        <v>40675.845057870371</v>
      </c>
      <c r="C960">
        <v>80</v>
      </c>
      <c r="D960">
        <v>79.970336914000001</v>
      </c>
      <c r="E960">
        <v>50</v>
      </c>
      <c r="F960">
        <v>48.539920807000001</v>
      </c>
      <c r="G960">
        <v>1475.5767822</v>
      </c>
      <c r="H960">
        <v>1443.5513916</v>
      </c>
      <c r="I960">
        <v>1211.4864502</v>
      </c>
      <c r="J960">
        <v>1162.9807129000001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377.123535</v>
      </c>
      <c r="B961" s="1">
        <f>DATE(2011,5,13) + TIME(2,57,53)</f>
        <v>40676.123530092591</v>
      </c>
      <c r="C961">
        <v>80</v>
      </c>
      <c r="D961">
        <v>79.970344542999996</v>
      </c>
      <c r="E961">
        <v>50</v>
      </c>
      <c r="F961">
        <v>48.509868621999999</v>
      </c>
      <c r="G961">
        <v>1475.3764647999999</v>
      </c>
      <c r="H961">
        <v>1443.3575439000001</v>
      </c>
      <c r="I961">
        <v>1211.4464111</v>
      </c>
      <c r="J961">
        <v>1162.9278564000001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377.40829600000001</v>
      </c>
      <c r="B962" s="1">
        <f>DATE(2011,5,13) + TIME(9,47,56)</f>
        <v>40676.40828703704</v>
      </c>
      <c r="C962">
        <v>80</v>
      </c>
      <c r="D962">
        <v>79.970352172999995</v>
      </c>
      <c r="E962">
        <v>50</v>
      </c>
      <c r="F962">
        <v>48.479213715</v>
      </c>
      <c r="G962">
        <v>1475.1756591999999</v>
      </c>
      <c r="H962">
        <v>1443.1633300999999</v>
      </c>
      <c r="I962">
        <v>1211.4055175999999</v>
      </c>
      <c r="J962">
        <v>1162.8737793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377.69921199999999</v>
      </c>
      <c r="B963" s="1">
        <f>DATE(2011,5,13) + TIME(16,46,51)</f>
        <v>40676.699201388888</v>
      </c>
      <c r="C963">
        <v>80</v>
      </c>
      <c r="D963">
        <v>79.970352172999995</v>
      </c>
      <c r="E963">
        <v>50</v>
      </c>
      <c r="F963">
        <v>48.447975159000002</v>
      </c>
      <c r="G963">
        <v>1474.9743652</v>
      </c>
      <c r="H963">
        <v>1442.9683838000001</v>
      </c>
      <c r="I963">
        <v>1211.3636475000001</v>
      </c>
      <c r="J963">
        <v>1162.8183594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377.99056200000001</v>
      </c>
      <c r="B964" s="1">
        <f>DATE(2011,5,13) + TIME(23,46,24)</f>
        <v>40676.990555555552</v>
      </c>
      <c r="C964">
        <v>80</v>
      </c>
      <c r="D964">
        <v>79.970359802000004</v>
      </c>
      <c r="E964">
        <v>50</v>
      </c>
      <c r="F964">
        <v>48.416484832999998</v>
      </c>
      <c r="G964">
        <v>1474.7727050999999</v>
      </c>
      <c r="H964">
        <v>1442.7730713000001</v>
      </c>
      <c r="I964">
        <v>1211.3208007999999</v>
      </c>
      <c r="J964">
        <v>1162.7620850000001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378.28313800000001</v>
      </c>
      <c r="B965" s="1">
        <f>DATE(2011,5,14) + TIME(6,47,43)</f>
        <v>40677.283136574071</v>
      </c>
      <c r="C965">
        <v>80</v>
      </c>
      <c r="D965">
        <v>79.970367432000003</v>
      </c>
      <c r="E965">
        <v>50</v>
      </c>
      <c r="F965">
        <v>48.384841919000003</v>
      </c>
      <c r="G965">
        <v>1474.5745850000001</v>
      </c>
      <c r="H965">
        <v>1442.5810547000001</v>
      </c>
      <c r="I965">
        <v>1211.277832</v>
      </c>
      <c r="J965">
        <v>1162.7054443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378.57775099999998</v>
      </c>
      <c r="B966" s="1">
        <f>DATE(2011,5,14) + TIME(13,51,57)</f>
        <v>40677.577743055554</v>
      </c>
      <c r="C966">
        <v>80</v>
      </c>
      <c r="D966">
        <v>79.970375060999999</v>
      </c>
      <c r="E966">
        <v>50</v>
      </c>
      <c r="F966">
        <v>48.353057861000003</v>
      </c>
      <c r="G966">
        <v>1474.3792725000001</v>
      </c>
      <c r="H966">
        <v>1442.3918457</v>
      </c>
      <c r="I966">
        <v>1211.2348632999999</v>
      </c>
      <c r="J966">
        <v>1162.6486815999999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378.87520699999999</v>
      </c>
      <c r="B967" s="1">
        <f>DATE(2011,5,14) + TIME(21,0,17)</f>
        <v>40677.875196759262</v>
      </c>
      <c r="C967">
        <v>80</v>
      </c>
      <c r="D967">
        <v>79.970375060999999</v>
      </c>
      <c r="E967">
        <v>50</v>
      </c>
      <c r="F967">
        <v>48.321098327999998</v>
      </c>
      <c r="G967">
        <v>1474.1861572</v>
      </c>
      <c r="H967">
        <v>1442.2047118999999</v>
      </c>
      <c r="I967">
        <v>1211.1914062000001</v>
      </c>
      <c r="J967">
        <v>1162.5914307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379.17632400000002</v>
      </c>
      <c r="B968" s="1">
        <f>DATE(2011,5,15) + TIME(4,13,54)</f>
        <v>40678.176319444443</v>
      </c>
      <c r="C968">
        <v>80</v>
      </c>
      <c r="D968">
        <v>79.970382689999994</v>
      </c>
      <c r="E968">
        <v>50</v>
      </c>
      <c r="F968">
        <v>48.288902282999999</v>
      </c>
      <c r="G968">
        <v>1473.994751</v>
      </c>
      <c r="H968">
        <v>1442.019043</v>
      </c>
      <c r="I968">
        <v>1211.1475829999999</v>
      </c>
      <c r="J968">
        <v>1162.5335693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379.48194799999999</v>
      </c>
      <c r="B969" s="1">
        <f>DATE(2011,5,15) + TIME(11,34,0)</f>
        <v>40678.481944444444</v>
      </c>
      <c r="C969">
        <v>80</v>
      </c>
      <c r="D969">
        <v>79.970390320000007</v>
      </c>
      <c r="E969">
        <v>50</v>
      </c>
      <c r="F969">
        <v>48.256401062000002</v>
      </c>
      <c r="G969">
        <v>1473.8045654</v>
      </c>
      <c r="H969">
        <v>1441.8345947</v>
      </c>
      <c r="I969">
        <v>1211.1032714999999</v>
      </c>
      <c r="J969">
        <v>1162.4749756000001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379.79297000000003</v>
      </c>
      <c r="B970" s="1">
        <f>DATE(2011,5,15) + TIME(19,1,52)</f>
        <v>40678.792962962965</v>
      </c>
      <c r="C970">
        <v>80</v>
      </c>
      <c r="D970">
        <v>79.970397949000002</v>
      </c>
      <c r="E970">
        <v>50</v>
      </c>
      <c r="F970">
        <v>48.223518372000001</v>
      </c>
      <c r="G970">
        <v>1473.6148682</v>
      </c>
      <c r="H970">
        <v>1441.6505127</v>
      </c>
      <c r="I970">
        <v>1211.0582274999999</v>
      </c>
      <c r="J970">
        <v>1162.4156493999999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380.11034000000001</v>
      </c>
      <c r="B971" s="1">
        <f>DATE(2011,5,16) + TIME(2,38,53)</f>
        <v>40679.110335648147</v>
      </c>
      <c r="C971">
        <v>80</v>
      </c>
      <c r="D971">
        <v>79.970405579000001</v>
      </c>
      <c r="E971">
        <v>50</v>
      </c>
      <c r="F971">
        <v>48.190162659000002</v>
      </c>
      <c r="G971">
        <v>1473.425293</v>
      </c>
      <c r="H971">
        <v>1441.4664307</v>
      </c>
      <c r="I971">
        <v>1211.0124512</v>
      </c>
      <c r="J971">
        <v>1162.3551024999999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380.43508600000001</v>
      </c>
      <c r="B972" s="1">
        <f>DATE(2011,5,16) + TIME(10,26,31)</f>
        <v>40679.435081018521</v>
      </c>
      <c r="C972">
        <v>80</v>
      </c>
      <c r="D972">
        <v>79.970413207999997</v>
      </c>
      <c r="E972">
        <v>50</v>
      </c>
      <c r="F972">
        <v>48.156238555999998</v>
      </c>
      <c r="G972">
        <v>1473.2352295000001</v>
      </c>
      <c r="H972">
        <v>1441.2818603999999</v>
      </c>
      <c r="I972">
        <v>1210.9656981999999</v>
      </c>
      <c r="J972">
        <v>1162.293457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380.768485</v>
      </c>
      <c r="B973" s="1">
        <f>DATE(2011,5,16) + TIME(18,26,37)</f>
        <v>40679.768483796295</v>
      </c>
      <c r="C973">
        <v>80</v>
      </c>
      <c r="D973">
        <v>79.970420837000006</v>
      </c>
      <c r="E973">
        <v>50</v>
      </c>
      <c r="F973">
        <v>48.121639252000001</v>
      </c>
      <c r="G973">
        <v>1473.0441894999999</v>
      </c>
      <c r="H973">
        <v>1441.0963135</v>
      </c>
      <c r="I973">
        <v>1210.9177245999999</v>
      </c>
      <c r="J973">
        <v>1162.2302245999999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381.11176699999999</v>
      </c>
      <c r="B974" s="1">
        <f>DATE(2011,5,17) + TIME(2,40,56)</f>
        <v>40680.111759259256</v>
      </c>
      <c r="C974">
        <v>80</v>
      </c>
      <c r="D974">
        <v>79.970428467000005</v>
      </c>
      <c r="E974">
        <v>50</v>
      </c>
      <c r="F974">
        <v>48.086246490000001</v>
      </c>
      <c r="G974">
        <v>1472.8515625</v>
      </c>
      <c r="H974">
        <v>1440.9091797000001</v>
      </c>
      <c r="I974">
        <v>1210.8685303</v>
      </c>
      <c r="J974">
        <v>1162.1654053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381.46185300000002</v>
      </c>
      <c r="B975" s="1">
        <f>DATE(2011,5,17) + TIME(11,5,4)</f>
        <v>40680.461851851855</v>
      </c>
      <c r="C975">
        <v>80</v>
      </c>
      <c r="D975">
        <v>79.970436096</v>
      </c>
      <c r="E975">
        <v>50</v>
      </c>
      <c r="F975">
        <v>48.050167084000002</v>
      </c>
      <c r="G975">
        <v>1472.6566161999999</v>
      </c>
      <c r="H975">
        <v>1440.7197266000001</v>
      </c>
      <c r="I975">
        <v>1210.8178711</v>
      </c>
      <c r="J975">
        <v>1162.0987548999999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381.81665199999998</v>
      </c>
      <c r="B976" s="1">
        <f>DATE(2011,5,17) + TIME(19,35,58)</f>
        <v>40680.816643518519</v>
      </c>
      <c r="C976">
        <v>80</v>
      </c>
      <c r="D976">
        <v>79.970443725999999</v>
      </c>
      <c r="E976">
        <v>50</v>
      </c>
      <c r="F976">
        <v>48.013553619</v>
      </c>
      <c r="G976">
        <v>1472.4614257999999</v>
      </c>
      <c r="H976">
        <v>1440.5299072</v>
      </c>
      <c r="I976">
        <v>1210.7661132999999</v>
      </c>
      <c r="J976">
        <v>1162.0307617000001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382.17202400000002</v>
      </c>
      <c r="B977" s="1">
        <f>DATE(2011,5,18) + TIME(4,7,42)</f>
        <v>40681.172013888892</v>
      </c>
      <c r="C977">
        <v>80</v>
      </c>
      <c r="D977">
        <v>79.970458984000004</v>
      </c>
      <c r="E977">
        <v>50</v>
      </c>
      <c r="F977">
        <v>47.976711272999999</v>
      </c>
      <c r="G977">
        <v>1472.2670897999999</v>
      </c>
      <c r="H977">
        <v>1440.3408202999999</v>
      </c>
      <c r="I977">
        <v>1210.7136230000001</v>
      </c>
      <c r="J977">
        <v>1161.9619141000001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382.52895100000001</v>
      </c>
      <c r="B978" s="1">
        <f>DATE(2011,5,18) + TIME(12,41,41)</f>
        <v>40681.528946759259</v>
      </c>
      <c r="C978">
        <v>80</v>
      </c>
      <c r="D978">
        <v>79.970466614000003</v>
      </c>
      <c r="E978">
        <v>50</v>
      </c>
      <c r="F978">
        <v>47.939743042000003</v>
      </c>
      <c r="G978">
        <v>1472.0756836</v>
      </c>
      <c r="H978">
        <v>1440.1546631000001</v>
      </c>
      <c r="I978">
        <v>1210.6610106999999</v>
      </c>
      <c r="J978">
        <v>1161.8928223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382.88842</v>
      </c>
      <c r="B979" s="1">
        <f>DATE(2011,5,18) + TIME(21,19,19)</f>
        <v>40681.888414351852</v>
      </c>
      <c r="C979">
        <v>80</v>
      </c>
      <c r="D979">
        <v>79.970474242999998</v>
      </c>
      <c r="E979">
        <v>50</v>
      </c>
      <c r="F979">
        <v>47.902648925999998</v>
      </c>
      <c r="G979">
        <v>1471.8868408000001</v>
      </c>
      <c r="H979">
        <v>1439.9708252</v>
      </c>
      <c r="I979">
        <v>1210.6081543</v>
      </c>
      <c r="J979">
        <v>1161.8233643000001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383.25142</v>
      </c>
      <c r="B980" s="1">
        <f>DATE(2011,5,19) + TIME(6,2,2)</f>
        <v>40682.25141203704</v>
      </c>
      <c r="C980">
        <v>80</v>
      </c>
      <c r="D980">
        <v>79.970481872999997</v>
      </c>
      <c r="E980">
        <v>50</v>
      </c>
      <c r="F980">
        <v>47.865383147999999</v>
      </c>
      <c r="G980">
        <v>1471.6998291</v>
      </c>
      <c r="H980">
        <v>1439.7888184000001</v>
      </c>
      <c r="I980">
        <v>1210.5548096</v>
      </c>
      <c r="J980">
        <v>1161.753418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383.61895900000002</v>
      </c>
      <c r="B981" s="1">
        <f>DATE(2011,5,19) + TIME(14,51,18)</f>
        <v>40682.618958333333</v>
      </c>
      <c r="C981">
        <v>80</v>
      </c>
      <c r="D981">
        <v>79.970489502000007</v>
      </c>
      <c r="E981">
        <v>50</v>
      </c>
      <c r="F981">
        <v>47.827869415000002</v>
      </c>
      <c r="G981">
        <v>1471.5141602000001</v>
      </c>
      <c r="H981">
        <v>1439.6080322</v>
      </c>
      <c r="I981">
        <v>1210.5009766000001</v>
      </c>
      <c r="J981">
        <v>1161.6826172000001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383.99208199999998</v>
      </c>
      <c r="B982" s="1">
        <f>DATE(2011,5,19) + TIME(23,48,35)</f>
        <v>40682.992071759261</v>
      </c>
      <c r="C982">
        <v>80</v>
      </c>
      <c r="D982">
        <v>79.970504761000001</v>
      </c>
      <c r="E982">
        <v>50</v>
      </c>
      <c r="F982">
        <v>47.790012359999999</v>
      </c>
      <c r="G982">
        <v>1471.3293457</v>
      </c>
      <c r="H982">
        <v>1439.4278564000001</v>
      </c>
      <c r="I982">
        <v>1210.4465332</v>
      </c>
      <c r="J982">
        <v>1161.6110839999999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384.371894</v>
      </c>
      <c r="B983" s="1">
        <f>DATE(2011,5,20) + TIME(8,55,31)</f>
        <v>40683.371886574074</v>
      </c>
      <c r="C983">
        <v>80</v>
      </c>
      <c r="D983">
        <v>79.970512389999996</v>
      </c>
      <c r="E983">
        <v>50</v>
      </c>
      <c r="F983">
        <v>47.751720427999999</v>
      </c>
      <c r="G983">
        <v>1471.1447754000001</v>
      </c>
      <c r="H983">
        <v>1439.2480469</v>
      </c>
      <c r="I983">
        <v>1210.3911132999999</v>
      </c>
      <c r="J983">
        <v>1161.5383300999999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384.75958300000002</v>
      </c>
      <c r="B984" s="1">
        <f>DATE(2011,5,20) + TIME(18,13,47)</f>
        <v>40683.759571759256</v>
      </c>
      <c r="C984">
        <v>80</v>
      </c>
      <c r="D984">
        <v>79.970520019999995</v>
      </c>
      <c r="E984">
        <v>50</v>
      </c>
      <c r="F984">
        <v>47.712882995999998</v>
      </c>
      <c r="G984">
        <v>1470.9599608999999</v>
      </c>
      <c r="H984">
        <v>1439.0678711</v>
      </c>
      <c r="I984">
        <v>1210.3347168</v>
      </c>
      <c r="J984">
        <v>1161.4642334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385.15644300000002</v>
      </c>
      <c r="B985" s="1">
        <f>DATE(2011,5,21) + TIME(3,45,16)</f>
        <v>40684.156435185185</v>
      </c>
      <c r="C985">
        <v>80</v>
      </c>
      <c r="D985">
        <v>79.970535278</v>
      </c>
      <c r="E985">
        <v>50</v>
      </c>
      <c r="F985">
        <v>47.673385619999998</v>
      </c>
      <c r="G985">
        <v>1470.7744141000001</v>
      </c>
      <c r="H985">
        <v>1438.8869629000001</v>
      </c>
      <c r="I985">
        <v>1210.2770995999999</v>
      </c>
      <c r="J985">
        <v>1161.3885498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385.56411600000001</v>
      </c>
      <c r="B986" s="1">
        <f>DATE(2011,5,21) + TIME(13,32,19)</f>
        <v>40684.564108796294</v>
      </c>
      <c r="C986">
        <v>80</v>
      </c>
      <c r="D986">
        <v>79.970542907999999</v>
      </c>
      <c r="E986">
        <v>50</v>
      </c>
      <c r="F986">
        <v>47.633094788000001</v>
      </c>
      <c r="G986">
        <v>1470.5876464999999</v>
      </c>
      <c r="H986">
        <v>1438.7047118999999</v>
      </c>
      <c r="I986">
        <v>1210.2180175999999</v>
      </c>
      <c r="J986">
        <v>1161.3111572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385.98200500000002</v>
      </c>
      <c r="B987" s="1">
        <f>DATE(2011,5,21) + TIME(23,34,5)</f>
        <v>40684.982002314813</v>
      </c>
      <c r="C987">
        <v>80</v>
      </c>
      <c r="D987">
        <v>79.970558166999993</v>
      </c>
      <c r="E987">
        <v>50</v>
      </c>
      <c r="F987">
        <v>47.591964722</v>
      </c>
      <c r="G987">
        <v>1470.3988036999999</v>
      </c>
      <c r="H987">
        <v>1438.5205077999999</v>
      </c>
      <c r="I987">
        <v>1210.1572266000001</v>
      </c>
      <c r="J987">
        <v>1161.2315673999999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386.403325</v>
      </c>
      <c r="B988" s="1">
        <f>DATE(2011,5,22) + TIME(9,40,47)</f>
        <v>40685.403321759259</v>
      </c>
      <c r="C988">
        <v>80</v>
      </c>
      <c r="D988">
        <v>79.970565796000002</v>
      </c>
      <c r="E988">
        <v>50</v>
      </c>
      <c r="F988">
        <v>47.550285338999998</v>
      </c>
      <c r="G988">
        <v>1470.2086182</v>
      </c>
      <c r="H988">
        <v>1438.3347168</v>
      </c>
      <c r="I988">
        <v>1210.0948486</v>
      </c>
      <c r="J988">
        <v>1161.1500243999999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386.82937099999998</v>
      </c>
      <c r="B989" s="1">
        <f>DATE(2011,5,22) + TIME(19,54,17)</f>
        <v>40685.829363425924</v>
      </c>
      <c r="C989">
        <v>80</v>
      </c>
      <c r="D989">
        <v>79.970581054999997</v>
      </c>
      <c r="E989">
        <v>50</v>
      </c>
      <c r="F989">
        <v>47.508201599000003</v>
      </c>
      <c r="G989">
        <v>1470.0198975000001</v>
      </c>
      <c r="H989">
        <v>1438.1505127</v>
      </c>
      <c r="I989">
        <v>1210.0319824000001</v>
      </c>
      <c r="J989">
        <v>1161.067749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387.257362</v>
      </c>
      <c r="B990" s="1">
        <f>DATE(2011,5,23) + TIME(6,10,36)</f>
        <v>40686.257361111115</v>
      </c>
      <c r="C990">
        <v>80</v>
      </c>
      <c r="D990">
        <v>79.970596313000001</v>
      </c>
      <c r="E990">
        <v>50</v>
      </c>
      <c r="F990">
        <v>47.465885161999999</v>
      </c>
      <c r="G990">
        <v>1469.8321533000001</v>
      </c>
      <c r="H990">
        <v>1437.9671631000001</v>
      </c>
      <c r="I990">
        <v>1209.9682617000001</v>
      </c>
      <c r="J990">
        <v>1160.9844971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387.68773599999997</v>
      </c>
      <c r="B991" s="1">
        <f>DATE(2011,5,23) + TIME(16,30,20)</f>
        <v>40686.687731481485</v>
      </c>
      <c r="C991">
        <v>80</v>
      </c>
      <c r="D991">
        <v>79.970603943</v>
      </c>
      <c r="E991">
        <v>50</v>
      </c>
      <c r="F991">
        <v>47.423435210999997</v>
      </c>
      <c r="G991">
        <v>1469.6466064000001</v>
      </c>
      <c r="H991">
        <v>1437.7858887</v>
      </c>
      <c r="I991">
        <v>1209.9041748</v>
      </c>
      <c r="J991">
        <v>1160.9006348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388.121668</v>
      </c>
      <c r="B992" s="1">
        <f>DATE(2011,5,24) + TIME(2,55,12)</f>
        <v>40687.121666666666</v>
      </c>
      <c r="C992">
        <v>80</v>
      </c>
      <c r="D992">
        <v>79.970619201999995</v>
      </c>
      <c r="E992">
        <v>50</v>
      </c>
      <c r="F992">
        <v>47.380832671999997</v>
      </c>
      <c r="G992">
        <v>1469.4630127</v>
      </c>
      <c r="H992">
        <v>1437.6064452999999</v>
      </c>
      <c r="I992">
        <v>1209.8397216999999</v>
      </c>
      <c r="J992">
        <v>1160.8162841999999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388.56034499999998</v>
      </c>
      <c r="B993" s="1">
        <f>DATE(2011,5,24) + TIME(13,26,53)</f>
        <v>40687.560335648152</v>
      </c>
      <c r="C993">
        <v>80</v>
      </c>
      <c r="D993">
        <v>79.970634459999999</v>
      </c>
      <c r="E993">
        <v>50</v>
      </c>
      <c r="F993">
        <v>47.338005066000001</v>
      </c>
      <c r="G993">
        <v>1469.2807617000001</v>
      </c>
      <c r="H993">
        <v>1437.4282227000001</v>
      </c>
      <c r="I993">
        <v>1209.7745361</v>
      </c>
      <c r="J993">
        <v>1160.7312012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389.004998</v>
      </c>
      <c r="B994" s="1">
        <f>DATE(2011,5,25) + TIME(0,7,11)</f>
        <v>40688.004988425928</v>
      </c>
      <c r="C994">
        <v>80</v>
      </c>
      <c r="D994">
        <v>79.970642089999998</v>
      </c>
      <c r="E994">
        <v>50</v>
      </c>
      <c r="F994">
        <v>47.294857024999999</v>
      </c>
      <c r="G994">
        <v>1469.0994873</v>
      </c>
      <c r="H994">
        <v>1437.2509766000001</v>
      </c>
      <c r="I994">
        <v>1209.7086182</v>
      </c>
      <c r="J994">
        <v>1160.6450195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389.45691299999999</v>
      </c>
      <c r="B995" s="1">
        <f>DATE(2011,5,25) + TIME(10,57,57)</f>
        <v>40688.456909722219</v>
      </c>
      <c r="C995">
        <v>80</v>
      </c>
      <c r="D995">
        <v>79.970657349000007</v>
      </c>
      <c r="E995">
        <v>50</v>
      </c>
      <c r="F995">
        <v>47.251281738000003</v>
      </c>
      <c r="G995">
        <v>1468.9185791</v>
      </c>
      <c r="H995">
        <v>1437.0739745999999</v>
      </c>
      <c r="I995">
        <v>1209.6418457</v>
      </c>
      <c r="J995">
        <v>1160.5576172000001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389.917464</v>
      </c>
      <c r="B996" s="1">
        <f>DATE(2011,5,25) + TIME(22,1,8)</f>
        <v>40688.917453703703</v>
      </c>
      <c r="C996">
        <v>80</v>
      </c>
      <c r="D996">
        <v>79.970672606999997</v>
      </c>
      <c r="E996">
        <v>50</v>
      </c>
      <c r="F996">
        <v>47.207160950000002</v>
      </c>
      <c r="G996">
        <v>1468.7375488</v>
      </c>
      <c r="H996">
        <v>1436.8967285000001</v>
      </c>
      <c r="I996">
        <v>1209.5737305</v>
      </c>
      <c r="J996">
        <v>1160.4686279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390.38814100000002</v>
      </c>
      <c r="B997" s="1">
        <f>DATE(2011,5,26) + TIME(9,18,55)</f>
        <v>40689.388136574074</v>
      </c>
      <c r="C997">
        <v>80</v>
      </c>
      <c r="D997">
        <v>79.970687866000006</v>
      </c>
      <c r="E997">
        <v>50</v>
      </c>
      <c r="F997">
        <v>47.162364959999998</v>
      </c>
      <c r="G997">
        <v>1468.5557861</v>
      </c>
      <c r="H997">
        <v>1436.7189940999999</v>
      </c>
      <c r="I997">
        <v>1209.5042725000001</v>
      </c>
      <c r="J997">
        <v>1160.3779297000001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390.86769500000003</v>
      </c>
      <c r="B998" s="1">
        <f>DATE(2011,5,26) + TIME(20,49,28)</f>
        <v>40689.867685185185</v>
      </c>
      <c r="C998">
        <v>80</v>
      </c>
      <c r="D998">
        <v>79.970703125</v>
      </c>
      <c r="E998">
        <v>50</v>
      </c>
      <c r="F998">
        <v>47.11687088</v>
      </c>
      <c r="G998">
        <v>1468.3730469</v>
      </c>
      <c r="H998">
        <v>1436.5400391000001</v>
      </c>
      <c r="I998">
        <v>1209.4331055</v>
      </c>
      <c r="J998">
        <v>1160.2850341999999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391.35138799999999</v>
      </c>
      <c r="B999" s="1">
        <f>DATE(2011,5,27) + TIME(8,25,59)</f>
        <v>40690.351377314815</v>
      </c>
      <c r="C999">
        <v>80</v>
      </c>
      <c r="D999">
        <v>79.970718383999994</v>
      </c>
      <c r="E999">
        <v>50</v>
      </c>
      <c r="F999">
        <v>47.070877074999999</v>
      </c>
      <c r="G999">
        <v>1468.1896973</v>
      </c>
      <c r="H999">
        <v>1436.3603516000001</v>
      </c>
      <c r="I999">
        <v>1209.3605957</v>
      </c>
      <c r="J999">
        <v>1160.1905518000001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391.84067099999999</v>
      </c>
      <c r="B1000" s="1">
        <f>DATE(2011,5,27) + TIME(20,10,33)</f>
        <v>40690.84065972222</v>
      </c>
      <c r="C1000">
        <v>80</v>
      </c>
      <c r="D1000">
        <v>79.970733643000003</v>
      </c>
      <c r="E1000">
        <v>50</v>
      </c>
      <c r="F1000">
        <v>47.024494171000001</v>
      </c>
      <c r="G1000">
        <v>1468.0075684000001</v>
      </c>
      <c r="H1000">
        <v>1436.1818848</v>
      </c>
      <c r="I1000">
        <v>1209.2872314000001</v>
      </c>
      <c r="J1000">
        <v>1160.0948486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392.33699899999999</v>
      </c>
      <c r="B1001" s="1">
        <f>DATE(2011,5,28) + TIME(8,5,16)</f>
        <v>40691.33699074074</v>
      </c>
      <c r="C1001">
        <v>80</v>
      </c>
      <c r="D1001">
        <v>79.970748900999993</v>
      </c>
      <c r="E1001">
        <v>50</v>
      </c>
      <c r="F1001">
        <v>46.977680206000002</v>
      </c>
      <c r="G1001">
        <v>1467.8261719</v>
      </c>
      <c r="H1001">
        <v>1436.0041504000001</v>
      </c>
      <c r="I1001">
        <v>1209.2128906</v>
      </c>
      <c r="J1001">
        <v>1159.9979248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392.83791300000001</v>
      </c>
      <c r="B1002" s="1">
        <f>DATE(2011,5,28) + TIME(20,6,35)</f>
        <v>40691.837905092594</v>
      </c>
      <c r="C1002">
        <v>80</v>
      </c>
      <c r="D1002">
        <v>79.970764160000002</v>
      </c>
      <c r="E1002">
        <v>50</v>
      </c>
      <c r="F1002">
        <v>46.930492401000002</v>
      </c>
      <c r="G1002">
        <v>1467.6448975000001</v>
      </c>
      <c r="H1002">
        <v>1435.8265381000001</v>
      </c>
      <c r="I1002">
        <v>1209.1373291</v>
      </c>
      <c r="J1002">
        <v>1159.8995361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393.34229099999999</v>
      </c>
      <c r="B1003" s="1">
        <f>DATE(2011,5,29) + TIME(8,12,53)</f>
        <v>40692.342280092591</v>
      </c>
      <c r="C1003">
        <v>80</v>
      </c>
      <c r="D1003">
        <v>79.970779418999996</v>
      </c>
      <c r="E1003">
        <v>50</v>
      </c>
      <c r="F1003">
        <v>46.883049010999997</v>
      </c>
      <c r="G1003">
        <v>1467.4647216999999</v>
      </c>
      <c r="H1003">
        <v>1435.6497803</v>
      </c>
      <c r="I1003">
        <v>1209.0610352000001</v>
      </c>
      <c r="J1003">
        <v>1159.8000488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393.85153000000003</v>
      </c>
      <c r="B1004" s="1">
        <f>DATE(2011,5,29) + TIME(20,26,12)</f>
        <v>40692.851527777777</v>
      </c>
      <c r="C1004">
        <v>80</v>
      </c>
      <c r="D1004">
        <v>79.970794678000004</v>
      </c>
      <c r="E1004">
        <v>50</v>
      </c>
      <c r="F1004">
        <v>46.835357666</v>
      </c>
      <c r="G1004">
        <v>1467.2860106999999</v>
      </c>
      <c r="H1004">
        <v>1435.4746094</v>
      </c>
      <c r="I1004">
        <v>1208.9838867000001</v>
      </c>
      <c r="J1004">
        <v>1159.699707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394.367052</v>
      </c>
      <c r="B1005" s="1">
        <f>DATE(2011,5,30) + TIME(8,48,33)</f>
        <v>40693.367048611108</v>
      </c>
      <c r="C1005">
        <v>80</v>
      </c>
      <c r="D1005">
        <v>79.970809936999999</v>
      </c>
      <c r="E1005">
        <v>50</v>
      </c>
      <c r="F1005">
        <v>46.787345885999997</v>
      </c>
      <c r="G1005">
        <v>1467.1082764</v>
      </c>
      <c r="H1005">
        <v>1435.3001709</v>
      </c>
      <c r="I1005">
        <v>1208.9060059000001</v>
      </c>
      <c r="J1005">
        <v>1159.5981445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394.89033999999998</v>
      </c>
      <c r="B1006" s="1">
        <f>DATE(2011,5,30) + TIME(21,22,5)</f>
        <v>40693.890335648146</v>
      </c>
      <c r="C1006">
        <v>80</v>
      </c>
      <c r="D1006">
        <v>79.970825195000003</v>
      </c>
      <c r="E1006">
        <v>50</v>
      </c>
      <c r="F1006">
        <v>46.738903045999997</v>
      </c>
      <c r="G1006">
        <v>1466.9310303</v>
      </c>
      <c r="H1006">
        <v>1435.1260986</v>
      </c>
      <c r="I1006">
        <v>1208.8269043</v>
      </c>
      <c r="J1006">
        <v>1159.4952393000001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395.42296299999998</v>
      </c>
      <c r="B1007" s="1">
        <f>DATE(2011,5,31) + TIME(10,9,4)</f>
        <v>40694.422962962963</v>
      </c>
      <c r="C1007">
        <v>80</v>
      </c>
      <c r="D1007">
        <v>79.970840453999998</v>
      </c>
      <c r="E1007">
        <v>50</v>
      </c>
      <c r="F1007">
        <v>46.689907073999997</v>
      </c>
      <c r="G1007">
        <v>1466.7536620999999</v>
      </c>
      <c r="H1007">
        <v>1434.9520264</v>
      </c>
      <c r="I1007">
        <v>1208.7464600000001</v>
      </c>
      <c r="J1007">
        <v>1159.3905029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395.96661999999998</v>
      </c>
      <c r="B1008" s="1">
        <f>DATE(2011,5,31) + TIME(23,11,55)</f>
        <v>40694.966608796298</v>
      </c>
      <c r="C1008">
        <v>80</v>
      </c>
      <c r="D1008">
        <v>79.970863342000001</v>
      </c>
      <c r="E1008">
        <v>50</v>
      </c>
      <c r="F1008">
        <v>46.640216827000003</v>
      </c>
      <c r="G1008">
        <v>1466.5758057</v>
      </c>
      <c r="H1008">
        <v>1434.7774658000001</v>
      </c>
      <c r="I1008">
        <v>1208.6644286999999</v>
      </c>
      <c r="J1008">
        <v>1159.2835693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396</v>
      </c>
      <c r="B1009" s="1">
        <f>DATE(2011,6,1) + TIME(0,0,0)</f>
        <v>40695</v>
      </c>
      <c r="C1009">
        <v>80</v>
      </c>
      <c r="D1009">
        <v>79.970840453999998</v>
      </c>
      <c r="E1009">
        <v>50</v>
      </c>
      <c r="F1009">
        <v>46.632987976000003</v>
      </c>
      <c r="G1009">
        <v>1466.4224853999999</v>
      </c>
      <c r="H1009">
        <v>1434.6271973</v>
      </c>
      <c r="I1009">
        <v>1208.5858154</v>
      </c>
      <c r="J1009">
        <v>1159.2070312000001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396.548317</v>
      </c>
      <c r="B1010" s="1">
        <f>DATE(2011,6,1) + TIME(13,9,34)</f>
        <v>40695.548310185186</v>
      </c>
      <c r="C1010">
        <v>80</v>
      </c>
      <c r="D1010">
        <v>79.970878600999995</v>
      </c>
      <c r="E1010">
        <v>50</v>
      </c>
      <c r="F1010">
        <v>46.585285186999997</v>
      </c>
      <c r="G1010">
        <v>1466.3843993999999</v>
      </c>
      <c r="H1010">
        <v>1434.5893555</v>
      </c>
      <c r="I1010">
        <v>1208.574707</v>
      </c>
      <c r="J1010">
        <v>1159.1661377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397.102486</v>
      </c>
      <c r="B1011" s="1">
        <f>DATE(2011,6,2) + TIME(2,27,34)</f>
        <v>40696.102476851855</v>
      </c>
      <c r="C1011">
        <v>80</v>
      </c>
      <c r="D1011">
        <v>79.970893860000004</v>
      </c>
      <c r="E1011">
        <v>50</v>
      </c>
      <c r="F1011">
        <v>46.535621642999999</v>
      </c>
      <c r="G1011">
        <v>1466.208374</v>
      </c>
      <c r="H1011">
        <v>1434.4163818</v>
      </c>
      <c r="I1011">
        <v>1208.4903564000001</v>
      </c>
      <c r="J1011">
        <v>1159.0570068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397.66378700000001</v>
      </c>
      <c r="B1012" s="1">
        <f>DATE(2011,6,2) + TIME(15,55,51)</f>
        <v>40696.663784722223</v>
      </c>
      <c r="C1012">
        <v>80</v>
      </c>
      <c r="D1012">
        <v>79.970916747999993</v>
      </c>
      <c r="E1012">
        <v>50</v>
      </c>
      <c r="F1012">
        <v>46.484931946000003</v>
      </c>
      <c r="G1012">
        <v>1466.0314940999999</v>
      </c>
      <c r="H1012">
        <v>1434.2425536999999</v>
      </c>
      <c r="I1012">
        <v>1208.4042969</v>
      </c>
      <c r="J1012">
        <v>1158.9453125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398.23390499999999</v>
      </c>
      <c r="B1013" s="1">
        <f>DATE(2011,6,3) + TIME(5,36,49)</f>
        <v>40697.233900462961</v>
      </c>
      <c r="C1013">
        <v>80</v>
      </c>
      <c r="D1013">
        <v>79.970932007000002</v>
      </c>
      <c r="E1013">
        <v>50</v>
      </c>
      <c r="F1013">
        <v>46.433498383</v>
      </c>
      <c r="G1013">
        <v>1465.8548584</v>
      </c>
      <c r="H1013">
        <v>1434.0689697</v>
      </c>
      <c r="I1013">
        <v>1208.3168945</v>
      </c>
      <c r="J1013">
        <v>1158.8316649999999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398.81412899999998</v>
      </c>
      <c r="B1014" s="1">
        <f>DATE(2011,6,3) + TIME(19,32,20)</f>
        <v>40697.814120370371</v>
      </c>
      <c r="C1014">
        <v>80</v>
      </c>
      <c r="D1014">
        <v>79.970954895000006</v>
      </c>
      <c r="E1014">
        <v>50</v>
      </c>
      <c r="F1014">
        <v>46.381355286000002</v>
      </c>
      <c r="G1014">
        <v>1465.6781006000001</v>
      </c>
      <c r="H1014">
        <v>1433.8951416</v>
      </c>
      <c r="I1014">
        <v>1208.2279053</v>
      </c>
      <c r="J1014">
        <v>1158.7159423999999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399.39952399999999</v>
      </c>
      <c r="B1015" s="1">
        <f>DATE(2011,6,4) + TIME(9,35,18)</f>
        <v>40698.399513888886</v>
      </c>
      <c r="C1015">
        <v>80</v>
      </c>
      <c r="D1015">
        <v>79.970970154</v>
      </c>
      <c r="E1015">
        <v>50</v>
      </c>
      <c r="F1015">
        <v>46.328647613999998</v>
      </c>
      <c r="G1015">
        <v>1465.5007324000001</v>
      </c>
      <c r="H1015">
        <v>1433.7205810999999</v>
      </c>
      <c r="I1015">
        <v>1208.1369629000001</v>
      </c>
      <c r="J1015">
        <v>1158.5979004000001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399.990274</v>
      </c>
      <c r="B1016" s="1">
        <f>DATE(2011,6,4) + TIME(23,45,59)</f>
        <v>40698.990266203706</v>
      </c>
      <c r="C1016">
        <v>80</v>
      </c>
      <c r="D1016">
        <v>79.970993042000003</v>
      </c>
      <c r="E1016">
        <v>50</v>
      </c>
      <c r="F1016">
        <v>46.275547027999998</v>
      </c>
      <c r="G1016">
        <v>1465.3243408000001</v>
      </c>
      <c r="H1016">
        <v>1433.5471190999999</v>
      </c>
      <c r="I1016">
        <v>1208.0450439000001</v>
      </c>
      <c r="J1016">
        <v>1158.4785156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400.58805000000001</v>
      </c>
      <c r="B1017" s="1">
        <f>DATE(2011,6,5) + TIME(14,6,47)</f>
        <v>40699.588043981479</v>
      </c>
      <c r="C1017">
        <v>80</v>
      </c>
      <c r="D1017">
        <v>79.971008300999998</v>
      </c>
      <c r="E1017">
        <v>50</v>
      </c>
      <c r="F1017">
        <v>46.222053528000004</v>
      </c>
      <c r="G1017">
        <v>1465.1488036999999</v>
      </c>
      <c r="H1017">
        <v>1433.3743896000001</v>
      </c>
      <c r="I1017">
        <v>1207.9519043</v>
      </c>
      <c r="J1017">
        <v>1158.3575439000001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401.19458600000002</v>
      </c>
      <c r="B1018" s="1">
        <f>DATE(2011,6,6) + TIME(4,40,12)</f>
        <v>40700.19458333333</v>
      </c>
      <c r="C1018">
        <v>80</v>
      </c>
      <c r="D1018">
        <v>79.971031189000001</v>
      </c>
      <c r="E1018">
        <v>50</v>
      </c>
      <c r="F1018">
        <v>46.168071746999999</v>
      </c>
      <c r="G1018">
        <v>1464.9737548999999</v>
      </c>
      <c r="H1018">
        <v>1433.2020264</v>
      </c>
      <c r="I1018">
        <v>1207.8574219</v>
      </c>
      <c r="J1018">
        <v>1158.2347411999999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401.80493200000001</v>
      </c>
      <c r="B1019" s="1">
        <f>DATE(2011,6,6) + TIME(19,19,6)</f>
        <v>40700.804930555554</v>
      </c>
      <c r="C1019">
        <v>80</v>
      </c>
      <c r="D1019">
        <v>79.971046447999996</v>
      </c>
      <c r="E1019">
        <v>50</v>
      </c>
      <c r="F1019">
        <v>46.113685607999997</v>
      </c>
      <c r="G1019">
        <v>1464.7985839999999</v>
      </c>
      <c r="H1019">
        <v>1433.0295410000001</v>
      </c>
      <c r="I1019">
        <v>1207.7612305</v>
      </c>
      <c r="J1019">
        <v>1158.1097411999999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402.41946000000002</v>
      </c>
      <c r="B1020" s="1">
        <f>DATE(2011,6,7) + TIME(10,4,1)</f>
        <v>40701.419456018521</v>
      </c>
      <c r="C1020">
        <v>80</v>
      </c>
      <c r="D1020">
        <v>79.971069335999999</v>
      </c>
      <c r="E1020">
        <v>50</v>
      </c>
      <c r="F1020">
        <v>46.059032440000003</v>
      </c>
      <c r="G1020">
        <v>1464.6247559000001</v>
      </c>
      <c r="H1020">
        <v>1432.8583983999999</v>
      </c>
      <c r="I1020">
        <v>1207.6640625</v>
      </c>
      <c r="J1020">
        <v>1157.9836425999999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403.03988199999998</v>
      </c>
      <c r="B1021" s="1">
        <f>DATE(2011,6,8) + TIME(0,57,25)</f>
        <v>40702.039872685185</v>
      </c>
      <c r="C1021">
        <v>80</v>
      </c>
      <c r="D1021">
        <v>79.971092224000003</v>
      </c>
      <c r="E1021">
        <v>50</v>
      </c>
      <c r="F1021">
        <v>46.004104613999999</v>
      </c>
      <c r="G1021">
        <v>1464.4522704999999</v>
      </c>
      <c r="H1021">
        <v>1432.6883545000001</v>
      </c>
      <c r="I1021">
        <v>1207.565918</v>
      </c>
      <c r="J1021">
        <v>1157.8560791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403.667959</v>
      </c>
      <c r="B1022" s="1">
        <f>DATE(2011,6,8) + TIME(16,1,51)</f>
        <v>40702.667951388888</v>
      </c>
      <c r="C1022">
        <v>80</v>
      </c>
      <c r="D1022">
        <v>79.971107482999997</v>
      </c>
      <c r="E1022">
        <v>50</v>
      </c>
      <c r="F1022">
        <v>45.948791503999999</v>
      </c>
      <c r="G1022">
        <v>1464.2803954999999</v>
      </c>
      <c r="H1022">
        <v>1432.519043</v>
      </c>
      <c r="I1022">
        <v>1207.4664307</v>
      </c>
      <c r="J1022">
        <v>1157.7268065999999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404.30551500000001</v>
      </c>
      <c r="B1023" s="1">
        <f>DATE(2011,6,9) + TIME(7,19,56)</f>
        <v>40703.305509259262</v>
      </c>
      <c r="C1023">
        <v>80</v>
      </c>
      <c r="D1023">
        <v>79.971130371000001</v>
      </c>
      <c r="E1023">
        <v>50</v>
      </c>
      <c r="F1023">
        <v>45.892955780000001</v>
      </c>
      <c r="G1023">
        <v>1464.1087646000001</v>
      </c>
      <c r="H1023">
        <v>1432.3499756000001</v>
      </c>
      <c r="I1023">
        <v>1207.3652344</v>
      </c>
      <c r="J1023">
        <v>1157.5953368999999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404.95449200000002</v>
      </c>
      <c r="B1024" s="1">
        <f>DATE(2011,6,9) + TIME(22,54,28)</f>
        <v>40703.95449074074</v>
      </c>
      <c r="C1024">
        <v>80</v>
      </c>
      <c r="D1024">
        <v>79.971153259000005</v>
      </c>
      <c r="E1024">
        <v>50</v>
      </c>
      <c r="F1024">
        <v>45.836441039999997</v>
      </c>
      <c r="G1024">
        <v>1463.9370117000001</v>
      </c>
      <c r="H1024">
        <v>1432.1805420000001</v>
      </c>
      <c r="I1024">
        <v>1207.262207</v>
      </c>
      <c r="J1024">
        <v>1157.4614257999999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405.61712899999998</v>
      </c>
      <c r="B1025" s="1">
        <f>DATE(2011,6,10) + TIME(14,48,39)</f>
        <v>40704.617118055554</v>
      </c>
      <c r="C1025">
        <v>80</v>
      </c>
      <c r="D1025">
        <v>79.971176146999994</v>
      </c>
      <c r="E1025">
        <v>50</v>
      </c>
      <c r="F1025">
        <v>45.779075622999997</v>
      </c>
      <c r="G1025">
        <v>1463.7645264</v>
      </c>
      <c r="H1025">
        <v>1432.0104980000001</v>
      </c>
      <c r="I1025">
        <v>1207.1569824000001</v>
      </c>
      <c r="J1025">
        <v>1157.3245850000001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406.28805199999999</v>
      </c>
      <c r="B1026" s="1">
        <f>DATE(2011,6,11) + TIME(6,54,47)</f>
        <v>40705.288043981483</v>
      </c>
      <c r="C1026">
        <v>80</v>
      </c>
      <c r="D1026">
        <v>79.971199036000002</v>
      </c>
      <c r="E1026">
        <v>50</v>
      </c>
      <c r="F1026">
        <v>45.720893859999997</v>
      </c>
      <c r="G1026">
        <v>1463.5908202999999</v>
      </c>
      <c r="H1026">
        <v>1431.8392334</v>
      </c>
      <c r="I1026">
        <v>1207.0489502</v>
      </c>
      <c r="J1026">
        <v>1157.1843262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406.96189500000003</v>
      </c>
      <c r="B1027" s="1">
        <f>DATE(2011,6,11) + TIME(23,5,7)</f>
        <v>40705.961886574078</v>
      </c>
      <c r="C1027">
        <v>80</v>
      </c>
      <c r="D1027">
        <v>79.971221924000005</v>
      </c>
      <c r="E1027">
        <v>50</v>
      </c>
      <c r="F1027">
        <v>45.662220001000001</v>
      </c>
      <c r="G1027">
        <v>1463.4173584</v>
      </c>
      <c r="H1027">
        <v>1431.6679687999999</v>
      </c>
      <c r="I1027">
        <v>1206.9390868999999</v>
      </c>
      <c r="J1027">
        <v>1157.0417480000001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407.63748199999998</v>
      </c>
      <c r="B1028" s="1">
        <f>DATE(2011,6,12) + TIME(15,17,58)</f>
        <v>40706.637476851851</v>
      </c>
      <c r="C1028">
        <v>80</v>
      </c>
      <c r="D1028">
        <v>79.971244811999995</v>
      </c>
      <c r="E1028">
        <v>50</v>
      </c>
      <c r="F1028">
        <v>45.603340148999997</v>
      </c>
      <c r="G1028">
        <v>1463.2453613</v>
      </c>
      <c r="H1028">
        <v>1431.4984131000001</v>
      </c>
      <c r="I1028">
        <v>1206.828125</v>
      </c>
      <c r="J1028">
        <v>1156.8977050999999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408.316666</v>
      </c>
      <c r="B1029" s="1">
        <f>DATE(2011,6,13) + TIME(7,35,59)</f>
        <v>40707.316655092596</v>
      </c>
      <c r="C1029">
        <v>80</v>
      </c>
      <c r="D1029">
        <v>79.971267699999999</v>
      </c>
      <c r="E1029">
        <v>50</v>
      </c>
      <c r="F1029">
        <v>45.544334411999998</v>
      </c>
      <c r="G1029">
        <v>1463.0753173999999</v>
      </c>
      <c r="H1029">
        <v>1431.3305664</v>
      </c>
      <c r="I1029">
        <v>1206.7164307</v>
      </c>
      <c r="J1029">
        <v>1156.7525635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409.00128999999998</v>
      </c>
      <c r="B1030" s="1">
        <f>DATE(2011,6,14) + TIME(0,1,51)</f>
        <v>40708.001284722224</v>
      </c>
      <c r="C1030">
        <v>80</v>
      </c>
      <c r="D1030">
        <v>79.971282959000007</v>
      </c>
      <c r="E1030">
        <v>50</v>
      </c>
      <c r="F1030">
        <v>45.485111236999998</v>
      </c>
      <c r="G1030">
        <v>1462.9066161999999</v>
      </c>
      <c r="H1030">
        <v>1431.1639404</v>
      </c>
      <c r="I1030">
        <v>1206.6036377</v>
      </c>
      <c r="J1030">
        <v>1156.6058350000001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409.69323300000002</v>
      </c>
      <c r="B1031" s="1">
        <f>DATE(2011,6,14) + TIME(16,38,15)</f>
        <v>40708.693229166667</v>
      </c>
      <c r="C1031">
        <v>80</v>
      </c>
      <c r="D1031">
        <v>79.971305846999996</v>
      </c>
      <c r="E1031">
        <v>50</v>
      </c>
      <c r="F1031">
        <v>45.425537108999997</v>
      </c>
      <c r="G1031">
        <v>1462.7388916</v>
      </c>
      <c r="H1031">
        <v>1430.9982910000001</v>
      </c>
      <c r="I1031">
        <v>1206.4893798999999</v>
      </c>
      <c r="J1031">
        <v>1156.4571533000001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410.39445000000001</v>
      </c>
      <c r="B1032" s="1">
        <f>DATE(2011,6,15) + TIME(9,28,0)</f>
        <v>40709.394444444442</v>
      </c>
      <c r="C1032">
        <v>80</v>
      </c>
      <c r="D1032">
        <v>79.971336364999999</v>
      </c>
      <c r="E1032">
        <v>50</v>
      </c>
      <c r="F1032">
        <v>45.365447998</v>
      </c>
      <c r="G1032">
        <v>1462.5714111</v>
      </c>
      <c r="H1032">
        <v>1430.8328856999999</v>
      </c>
      <c r="I1032">
        <v>1206.3731689000001</v>
      </c>
      <c r="J1032">
        <v>1156.3061522999999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411.10698400000001</v>
      </c>
      <c r="B1033" s="1">
        <f>DATE(2011,6,16) + TIME(2,34,3)</f>
        <v>40710.106979166667</v>
      </c>
      <c r="C1033">
        <v>80</v>
      </c>
      <c r="D1033">
        <v>79.971359253000003</v>
      </c>
      <c r="E1033">
        <v>50</v>
      </c>
      <c r="F1033">
        <v>45.304676055999998</v>
      </c>
      <c r="G1033">
        <v>1462.4040527</v>
      </c>
      <c r="H1033">
        <v>1430.6676024999999</v>
      </c>
      <c r="I1033">
        <v>1206.2548827999999</v>
      </c>
      <c r="J1033">
        <v>1156.1520995999999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411.83302600000002</v>
      </c>
      <c r="B1034" s="1">
        <f>DATE(2011,6,16) + TIME(19,59,33)</f>
        <v>40710.833020833335</v>
      </c>
      <c r="C1034">
        <v>80</v>
      </c>
      <c r="D1034">
        <v>79.971382141000007</v>
      </c>
      <c r="E1034">
        <v>50</v>
      </c>
      <c r="F1034">
        <v>45.243038177000003</v>
      </c>
      <c r="G1034">
        <v>1462.2360839999999</v>
      </c>
      <c r="H1034">
        <v>1430.5015868999999</v>
      </c>
      <c r="I1034">
        <v>1206.1340332</v>
      </c>
      <c r="J1034">
        <v>1155.994751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412.57125000000002</v>
      </c>
      <c r="B1035" s="1">
        <f>DATE(2011,6,17) + TIME(13,42,36)</f>
        <v>40711.571250000001</v>
      </c>
      <c r="C1035">
        <v>80</v>
      </c>
      <c r="D1035">
        <v>79.971405028999996</v>
      </c>
      <c r="E1035">
        <v>50</v>
      </c>
      <c r="F1035">
        <v>45.180438995000003</v>
      </c>
      <c r="G1035">
        <v>1462.0672606999999</v>
      </c>
      <c r="H1035">
        <v>1430.3347168</v>
      </c>
      <c r="I1035">
        <v>1206.0101318</v>
      </c>
      <c r="J1035">
        <v>1155.8334961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413.316239</v>
      </c>
      <c r="B1036" s="1">
        <f>DATE(2011,6,18) + TIME(7,35,23)</f>
        <v>40712.316238425927</v>
      </c>
      <c r="C1036">
        <v>80</v>
      </c>
      <c r="D1036">
        <v>79.971427917</v>
      </c>
      <c r="E1036">
        <v>50</v>
      </c>
      <c r="F1036">
        <v>45.117034912000001</v>
      </c>
      <c r="G1036">
        <v>1461.8977050999999</v>
      </c>
      <c r="H1036">
        <v>1430.1672363</v>
      </c>
      <c r="I1036">
        <v>1205.8833007999999</v>
      </c>
      <c r="J1036">
        <v>1155.668457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414.061712</v>
      </c>
      <c r="B1037" s="1">
        <f>DATE(2011,6,19) + TIME(1,28,51)</f>
        <v>40713.061701388891</v>
      </c>
      <c r="C1037">
        <v>80</v>
      </c>
      <c r="D1037">
        <v>79.971450806000007</v>
      </c>
      <c r="E1037">
        <v>50</v>
      </c>
      <c r="F1037">
        <v>45.053203582999998</v>
      </c>
      <c r="G1037">
        <v>1461.7288818</v>
      </c>
      <c r="H1037">
        <v>1430.0003661999999</v>
      </c>
      <c r="I1037">
        <v>1205.7546387</v>
      </c>
      <c r="J1037">
        <v>1155.5008545000001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414.81024200000002</v>
      </c>
      <c r="B1038" s="1">
        <f>DATE(2011,6,19) + TIME(19,26,44)</f>
        <v>40713.810231481482</v>
      </c>
      <c r="C1038">
        <v>80</v>
      </c>
      <c r="D1038">
        <v>79.971481323000006</v>
      </c>
      <c r="E1038">
        <v>50</v>
      </c>
      <c r="F1038">
        <v>44.989185333000002</v>
      </c>
      <c r="G1038">
        <v>1461.5621338000001</v>
      </c>
      <c r="H1038">
        <v>1429.8353271000001</v>
      </c>
      <c r="I1038">
        <v>1205.6248779</v>
      </c>
      <c r="J1038">
        <v>1155.3317870999999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415.563984</v>
      </c>
      <c r="B1039" s="1">
        <f>DATE(2011,6,20) + TIME(13,32,8)</f>
        <v>40714.563981481479</v>
      </c>
      <c r="C1039">
        <v>80</v>
      </c>
      <c r="D1039">
        <v>79.971504210999996</v>
      </c>
      <c r="E1039">
        <v>50</v>
      </c>
      <c r="F1039">
        <v>44.924911498999997</v>
      </c>
      <c r="G1039">
        <v>1461.3968506000001</v>
      </c>
      <c r="H1039">
        <v>1429.671875</v>
      </c>
      <c r="I1039">
        <v>1205.4938964999999</v>
      </c>
      <c r="J1039">
        <v>1155.1608887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416.32473099999999</v>
      </c>
      <c r="B1040" s="1">
        <f>DATE(2011,6,21) + TIME(7,47,36)</f>
        <v>40715.32472222222</v>
      </c>
      <c r="C1040">
        <v>80</v>
      </c>
      <c r="D1040">
        <v>79.971527100000003</v>
      </c>
      <c r="E1040">
        <v>50</v>
      </c>
      <c r="F1040">
        <v>44.860237122000001</v>
      </c>
      <c r="G1040">
        <v>1461.2324219</v>
      </c>
      <c r="H1040">
        <v>1429.5092772999999</v>
      </c>
      <c r="I1040">
        <v>1205.3610839999999</v>
      </c>
      <c r="J1040">
        <v>1154.9874268000001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417.094044</v>
      </c>
      <c r="B1041" s="1">
        <f>DATE(2011,6,22) + TIME(2,15,25)</f>
        <v>40716.094039351854</v>
      </c>
      <c r="C1041">
        <v>80</v>
      </c>
      <c r="D1041">
        <v>79.971557617000002</v>
      </c>
      <c r="E1041">
        <v>50</v>
      </c>
      <c r="F1041">
        <v>44.795009612999998</v>
      </c>
      <c r="G1041">
        <v>1461.0686035000001</v>
      </c>
      <c r="H1041">
        <v>1429.347168</v>
      </c>
      <c r="I1041">
        <v>1205.2260742000001</v>
      </c>
      <c r="J1041">
        <v>1154.8111572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417.87406399999998</v>
      </c>
      <c r="B1042" s="1">
        <f>DATE(2011,6,22) + TIME(20,58,39)</f>
        <v>40716.874062499999</v>
      </c>
      <c r="C1042">
        <v>80</v>
      </c>
      <c r="D1042">
        <v>79.971580505000006</v>
      </c>
      <c r="E1042">
        <v>50</v>
      </c>
      <c r="F1042">
        <v>44.729064940999997</v>
      </c>
      <c r="G1042">
        <v>1460.9050293</v>
      </c>
      <c r="H1042">
        <v>1429.1851807</v>
      </c>
      <c r="I1042">
        <v>1205.0886230000001</v>
      </c>
      <c r="J1042">
        <v>1154.6313477000001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418.66705200000001</v>
      </c>
      <c r="B1043" s="1">
        <f>DATE(2011,6,23) + TIME(16,0,33)</f>
        <v>40717.667048611111</v>
      </c>
      <c r="C1043">
        <v>80</v>
      </c>
      <c r="D1043">
        <v>79.971603393999999</v>
      </c>
      <c r="E1043">
        <v>50</v>
      </c>
      <c r="F1043">
        <v>44.662212371999999</v>
      </c>
      <c r="G1043">
        <v>1460.7412108999999</v>
      </c>
      <c r="H1043">
        <v>1429.0230713000001</v>
      </c>
      <c r="I1043">
        <v>1204.9482422000001</v>
      </c>
      <c r="J1043">
        <v>1154.4477539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419.46875399999999</v>
      </c>
      <c r="B1044" s="1">
        <f>DATE(2011,6,24) + TIME(11,15,0)</f>
        <v>40718.46875</v>
      </c>
      <c r="C1044">
        <v>80</v>
      </c>
      <c r="D1044">
        <v>79.971633910999998</v>
      </c>
      <c r="E1044">
        <v>50</v>
      </c>
      <c r="F1044">
        <v>44.594417571999998</v>
      </c>
      <c r="G1044">
        <v>1460.5766602000001</v>
      </c>
      <c r="H1044">
        <v>1428.8602295000001</v>
      </c>
      <c r="I1044">
        <v>1204.8044434000001</v>
      </c>
      <c r="J1044">
        <v>1154.2595214999999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420.28004099999998</v>
      </c>
      <c r="B1045" s="1">
        <f>DATE(2011,6,25) + TIME(6,43,15)</f>
        <v>40719.280034722222</v>
      </c>
      <c r="C1045">
        <v>80</v>
      </c>
      <c r="D1045">
        <v>79.971656799000002</v>
      </c>
      <c r="E1045">
        <v>50</v>
      </c>
      <c r="F1045">
        <v>44.525775908999996</v>
      </c>
      <c r="G1045">
        <v>1460.4124756000001</v>
      </c>
      <c r="H1045">
        <v>1428.6976318</v>
      </c>
      <c r="I1045">
        <v>1204.6579589999999</v>
      </c>
      <c r="J1045">
        <v>1154.0675048999999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421.09629699999999</v>
      </c>
      <c r="B1046" s="1">
        <f>DATE(2011,6,26) + TIME(2,18,40)</f>
        <v>40720.096296296295</v>
      </c>
      <c r="C1046">
        <v>80</v>
      </c>
      <c r="D1046">
        <v>79.971687317000004</v>
      </c>
      <c r="E1046">
        <v>50</v>
      </c>
      <c r="F1046">
        <v>44.456394195999998</v>
      </c>
      <c r="G1046">
        <v>1460.2484131000001</v>
      </c>
      <c r="H1046">
        <v>1428.5350341999999</v>
      </c>
      <c r="I1046">
        <v>1204.5084228999999</v>
      </c>
      <c r="J1046">
        <v>1153.871582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421.914535</v>
      </c>
      <c r="B1047" s="1">
        <f>DATE(2011,6,26) + TIME(21,56,55)</f>
        <v>40720.914525462962</v>
      </c>
      <c r="C1047">
        <v>80</v>
      </c>
      <c r="D1047">
        <v>79.971710204999994</v>
      </c>
      <c r="E1047">
        <v>50</v>
      </c>
      <c r="F1047">
        <v>44.386524199999997</v>
      </c>
      <c r="G1047">
        <v>1460.0852050999999</v>
      </c>
      <c r="H1047">
        <v>1428.3734131000001</v>
      </c>
      <c r="I1047">
        <v>1204.3568115</v>
      </c>
      <c r="J1047">
        <v>1153.6726074000001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422.73727000000002</v>
      </c>
      <c r="B1048" s="1">
        <f>DATE(2011,6,27) + TIME(17,41,40)</f>
        <v>40721.737268518518</v>
      </c>
      <c r="C1048">
        <v>80</v>
      </c>
      <c r="D1048">
        <v>79.971740722999996</v>
      </c>
      <c r="E1048">
        <v>50</v>
      </c>
      <c r="F1048">
        <v>44.316265106000003</v>
      </c>
      <c r="G1048">
        <v>1459.9237060999999</v>
      </c>
      <c r="H1048">
        <v>1428.2133789</v>
      </c>
      <c r="I1048">
        <v>1204.2034911999999</v>
      </c>
      <c r="J1048">
        <v>1153.4711914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423.56726600000002</v>
      </c>
      <c r="B1049" s="1">
        <f>DATE(2011,6,28) + TIME(13,36,51)</f>
        <v>40722.567256944443</v>
      </c>
      <c r="C1049">
        <v>80</v>
      </c>
      <c r="D1049">
        <v>79.971763611</v>
      </c>
      <c r="E1049">
        <v>50</v>
      </c>
      <c r="F1049">
        <v>44.245475769000002</v>
      </c>
      <c r="G1049">
        <v>1459.7633057</v>
      </c>
      <c r="H1049">
        <v>1428.0544434000001</v>
      </c>
      <c r="I1049">
        <v>1204.0480957</v>
      </c>
      <c r="J1049">
        <v>1153.2666016000001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424.40672599999999</v>
      </c>
      <c r="B1050" s="1">
        <f>DATE(2011,6,29) + TIME(9,45,41)</f>
        <v>40723.406724537039</v>
      </c>
      <c r="C1050">
        <v>80</v>
      </c>
      <c r="D1050">
        <v>79.971794127999999</v>
      </c>
      <c r="E1050">
        <v>50</v>
      </c>
      <c r="F1050">
        <v>44.173954010000003</v>
      </c>
      <c r="G1050">
        <v>1459.6033935999999</v>
      </c>
      <c r="H1050">
        <v>1427.8959961</v>
      </c>
      <c r="I1050">
        <v>1203.8898925999999</v>
      </c>
      <c r="J1050">
        <v>1153.0581055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425.257946</v>
      </c>
      <c r="B1051" s="1">
        <f>DATE(2011,6,30) + TIME(6,11,26)</f>
        <v>40724.257939814815</v>
      </c>
      <c r="C1051">
        <v>80</v>
      </c>
      <c r="D1051">
        <v>79.971824646000002</v>
      </c>
      <c r="E1051">
        <v>50</v>
      </c>
      <c r="F1051">
        <v>44.101474762000002</v>
      </c>
      <c r="G1051">
        <v>1459.4434814000001</v>
      </c>
      <c r="H1051">
        <v>1427.7375488</v>
      </c>
      <c r="I1051">
        <v>1203.7285156</v>
      </c>
      <c r="J1051">
        <v>1152.8452147999999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426</v>
      </c>
      <c r="B1052" s="1">
        <f>DATE(2011,7,1) + TIME(0,0,0)</f>
        <v>40725</v>
      </c>
      <c r="C1052">
        <v>80</v>
      </c>
      <c r="D1052">
        <v>79.971847534000005</v>
      </c>
      <c r="E1052">
        <v>50</v>
      </c>
      <c r="F1052">
        <v>44.031196594000001</v>
      </c>
      <c r="G1052">
        <v>1459.2834473</v>
      </c>
      <c r="H1052">
        <v>1427.5788574000001</v>
      </c>
      <c r="I1052">
        <v>1203.5631103999999</v>
      </c>
      <c r="J1052">
        <v>1152.6293945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426.859487</v>
      </c>
      <c r="B1053" s="1">
        <f>DATE(2011,7,1) + TIME(20,37,39)</f>
        <v>40725.859479166669</v>
      </c>
      <c r="C1053">
        <v>80</v>
      </c>
      <c r="D1053">
        <v>79.971878051999994</v>
      </c>
      <c r="E1053">
        <v>50</v>
      </c>
      <c r="F1053">
        <v>43.961872100999997</v>
      </c>
      <c r="G1053">
        <v>1459.1450195</v>
      </c>
      <c r="H1053">
        <v>1427.4416504000001</v>
      </c>
      <c r="I1053">
        <v>1203.4178466999999</v>
      </c>
      <c r="J1053">
        <v>1152.4333495999999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427.73852099999999</v>
      </c>
      <c r="B1054" s="1">
        <f>DATE(2011,7,2) + TIME(17,43,28)</f>
        <v>40726.738518518519</v>
      </c>
      <c r="C1054">
        <v>80</v>
      </c>
      <c r="D1054">
        <v>79.971900939999998</v>
      </c>
      <c r="E1054">
        <v>50</v>
      </c>
      <c r="F1054">
        <v>43.888217926000003</v>
      </c>
      <c r="G1054">
        <v>1458.9871826000001</v>
      </c>
      <c r="H1054">
        <v>1427.2850341999999</v>
      </c>
      <c r="I1054">
        <v>1203.2481689000001</v>
      </c>
      <c r="J1054">
        <v>1152.2095947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428.62755199999998</v>
      </c>
      <c r="B1055" s="1">
        <f>DATE(2011,7,3) + TIME(15,3,40)</f>
        <v>40727.627546296295</v>
      </c>
      <c r="C1055">
        <v>80</v>
      </c>
      <c r="D1055">
        <v>79.971931458</v>
      </c>
      <c r="E1055">
        <v>50</v>
      </c>
      <c r="F1055">
        <v>43.812152863000001</v>
      </c>
      <c r="G1055">
        <v>1458.8275146000001</v>
      </c>
      <c r="H1055">
        <v>1427.1265868999999</v>
      </c>
      <c r="I1055">
        <v>1203.072876</v>
      </c>
      <c r="J1055">
        <v>1151.9776611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429.51863300000002</v>
      </c>
      <c r="B1056" s="1">
        <f>DATE(2011,7,4) + TIME(12,26,49)</f>
        <v>40728.518622685187</v>
      </c>
      <c r="C1056">
        <v>80</v>
      </c>
      <c r="D1056">
        <v>79.971961974999999</v>
      </c>
      <c r="E1056">
        <v>50</v>
      </c>
      <c r="F1056">
        <v>43.734764099000003</v>
      </c>
      <c r="G1056">
        <v>1458.6678466999999</v>
      </c>
      <c r="H1056">
        <v>1426.9682617000001</v>
      </c>
      <c r="I1056">
        <v>1202.8936768000001</v>
      </c>
      <c r="J1056">
        <v>1151.7399902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430.41410500000001</v>
      </c>
      <c r="B1057" s="1">
        <f>DATE(2011,7,5) + TIME(9,56,18)</f>
        <v>40729.414097222223</v>
      </c>
      <c r="C1057">
        <v>80</v>
      </c>
      <c r="D1057">
        <v>79.971992493000002</v>
      </c>
      <c r="E1057">
        <v>50</v>
      </c>
      <c r="F1057">
        <v>43.656589508000003</v>
      </c>
      <c r="G1057">
        <v>1458.5096435999999</v>
      </c>
      <c r="H1057">
        <v>1426.8112793</v>
      </c>
      <c r="I1057">
        <v>1202.7122803</v>
      </c>
      <c r="J1057">
        <v>1151.4987793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431.31697800000001</v>
      </c>
      <c r="B1058" s="1">
        <f>DATE(2011,7,6) + TIME(7,36,26)</f>
        <v>40730.316967592589</v>
      </c>
      <c r="C1058">
        <v>80</v>
      </c>
      <c r="D1058">
        <v>79.972023010000001</v>
      </c>
      <c r="E1058">
        <v>50</v>
      </c>
      <c r="F1058">
        <v>43.577594757</v>
      </c>
      <c r="G1058">
        <v>1458.3524170000001</v>
      </c>
      <c r="H1058">
        <v>1426.6553954999999</v>
      </c>
      <c r="I1058">
        <v>1202.5279541</v>
      </c>
      <c r="J1058">
        <v>1151.253418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432.23020200000002</v>
      </c>
      <c r="B1059" s="1">
        <f>DATE(2011,7,7) + TIME(5,31,29)</f>
        <v>40731.230196759258</v>
      </c>
      <c r="C1059">
        <v>80</v>
      </c>
      <c r="D1059">
        <v>79.972045898000005</v>
      </c>
      <c r="E1059">
        <v>50</v>
      </c>
      <c r="F1059">
        <v>43.497562408</v>
      </c>
      <c r="G1059">
        <v>1458.1959228999999</v>
      </c>
      <c r="H1059">
        <v>1426.4998779</v>
      </c>
      <c r="I1059">
        <v>1202.3402100000001</v>
      </c>
      <c r="J1059">
        <v>1151.0028076000001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433.14942100000002</v>
      </c>
      <c r="B1060" s="1">
        <f>DATE(2011,7,8) + TIME(3,35,9)</f>
        <v>40732.149409722224</v>
      </c>
      <c r="C1060">
        <v>80</v>
      </c>
      <c r="D1060">
        <v>79.972076415999993</v>
      </c>
      <c r="E1060">
        <v>50</v>
      </c>
      <c r="F1060">
        <v>43.416389465000002</v>
      </c>
      <c r="G1060">
        <v>1458.0393065999999</v>
      </c>
      <c r="H1060">
        <v>1426.3446045000001</v>
      </c>
      <c r="I1060">
        <v>1202.1483154</v>
      </c>
      <c r="J1060">
        <v>1150.7463379000001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434.07686799999999</v>
      </c>
      <c r="B1061" s="1">
        <f>DATE(2011,7,9) + TIME(1,50,41)</f>
        <v>40733.076863425929</v>
      </c>
      <c r="C1061">
        <v>80</v>
      </c>
      <c r="D1061">
        <v>79.972106933999996</v>
      </c>
      <c r="E1061">
        <v>50</v>
      </c>
      <c r="F1061">
        <v>43.334140777999998</v>
      </c>
      <c r="G1061">
        <v>1457.8835449000001</v>
      </c>
      <c r="H1061">
        <v>1426.1899414</v>
      </c>
      <c r="I1061">
        <v>1201.9530029</v>
      </c>
      <c r="J1061">
        <v>1150.4847411999999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435.015557</v>
      </c>
      <c r="B1062" s="1">
        <f>DATE(2011,7,10) + TIME(0,22,24)</f>
        <v>40734.015555555554</v>
      </c>
      <c r="C1062">
        <v>80</v>
      </c>
      <c r="D1062">
        <v>79.972137450999995</v>
      </c>
      <c r="E1062">
        <v>50</v>
      </c>
      <c r="F1062">
        <v>43.250637054000002</v>
      </c>
      <c r="G1062">
        <v>1457.7282714999999</v>
      </c>
      <c r="H1062">
        <v>1426.0356445</v>
      </c>
      <c r="I1062">
        <v>1201.7536620999999</v>
      </c>
      <c r="J1062">
        <v>1150.2174072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435.96773000000002</v>
      </c>
      <c r="B1063" s="1">
        <f>DATE(2011,7,10) + TIME(23,13,31)</f>
        <v>40734.967719907407</v>
      </c>
      <c r="C1063">
        <v>80</v>
      </c>
      <c r="D1063">
        <v>79.972167968999997</v>
      </c>
      <c r="E1063">
        <v>50</v>
      </c>
      <c r="F1063">
        <v>43.165618895999998</v>
      </c>
      <c r="G1063">
        <v>1457.572876</v>
      </c>
      <c r="H1063">
        <v>1425.8813477000001</v>
      </c>
      <c r="I1063">
        <v>1201.5496826000001</v>
      </c>
      <c r="J1063">
        <v>1149.9431152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436.93319300000002</v>
      </c>
      <c r="B1064" s="1">
        <f>DATE(2011,7,11) + TIME(22,23,47)</f>
        <v>40735.933182870373</v>
      </c>
      <c r="C1064">
        <v>80</v>
      </c>
      <c r="D1064">
        <v>79.972198485999996</v>
      </c>
      <c r="E1064">
        <v>50</v>
      </c>
      <c r="F1064">
        <v>43.078895568999997</v>
      </c>
      <c r="G1064">
        <v>1457.4169922000001</v>
      </c>
      <c r="H1064">
        <v>1425.7265625</v>
      </c>
      <c r="I1064">
        <v>1201.340332</v>
      </c>
      <c r="J1064">
        <v>1149.6611327999999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437.90147000000002</v>
      </c>
      <c r="B1065" s="1">
        <f>DATE(2011,7,12) + TIME(21,38,7)</f>
        <v>40736.901469907411</v>
      </c>
      <c r="C1065">
        <v>80</v>
      </c>
      <c r="D1065">
        <v>79.972229003999999</v>
      </c>
      <c r="E1065">
        <v>50</v>
      </c>
      <c r="F1065">
        <v>42.990627289000003</v>
      </c>
      <c r="G1065">
        <v>1457.2607422000001</v>
      </c>
      <c r="H1065">
        <v>1425.5714111</v>
      </c>
      <c r="I1065">
        <v>1201.1254882999999</v>
      </c>
      <c r="J1065">
        <v>1149.3714600000001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438.87330200000002</v>
      </c>
      <c r="B1066" s="1">
        <f>DATE(2011,7,13) + TIME(20,57,33)</f>
        <v>40737.873298611114</v>
      </c>
      <c r="C1066">
        <v>80</v>
      </c>
      <c r="D1066">
        <v>79.972259520999998</v>
      </c>
      <c r="E1066">
        <v>50</v>
      </c>
      <c r="F1066">
        <v>42.901252747000001</v>
      </c>
      <c r="G1066">
        <v>1457.105957</v>
      </c>
      <c r="H1066">
        <v>1425.4176024999999</v>
      </c>
      <c r="I1066">
        <v>1200.9074707</v>
      </c>
      <c r="J1066">
        <v>1149.0766602000001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439.84853399999997</v>
      </c>
      <c r="B1067" s="1">
        <f>DATE(2011,7,14) + TIME(20,21,53)</f>
        <v>40738.848530092589</v>
      </c>
      <c r="C1067">
        <v>80</v>
      </c>
      <c r="D1067">
        <v>79.972290039000001</v>
      </c>
      <c r="E1067">
        <v>50</v>
      </c>
      <c r="F1067">
        <v>42.810836792000003</v>
      </c>
      <c r="G1067">
        <v>1456.9521483999999</v>
      </c>
      <c r="H1067">
        <v>1425.2647704999999</v>
      </c>
      <c r="I1067">
        <v>1200.6859131000001</v>
      </c>
      <c r="J1067">
        <v>1148.7763672000001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440.82974000000002</v>
      </c>
      <c r="B1068" s="1">
        <f>DATE(2011,7,15) + TIME(19,54,49)</f>
        <v>40739.829733796294</v>
      </c>
      <c r="C1068">
        <v>80</v>
      </c>
      <c r="D1068">
        <v>79.972328185999999</v>
      </c>
      <c r="E1068">
        <v>50</v>
      </c>
      <c r="F1068">
        <v>42.719310759999999</v>
      </c>
      <c r="G1068">
        <v>1456.7996826000001</v>
      </c>
      <c r="H1068">
        <v>1425.1132812000001</v>
      </c>
      <c r="I1068">
        <v>1200.4609375</v>
      </c>
      <c r="J1068">
        <v>1148.4707031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441.81902600000001</v>
      </c>
      <c r="B1069" s="1">
        <f>DATE(2011,7,16) + TIME(19,39,23)</f>
        <v>40740.819016203706</v>
      </c>
      <c r="C1069">
        <v>80</v>
      </c>
      <c r="D1069">
        <v>79.972358704000001</v>
      </c>
      <c r="E1069">
        <v>50</v>
      </c>
      <c r="F1069">
        <v>42.626453400000003</v>
      </c>
      <c r="G1069">
        <v>1456.6479492000001</v>
      </c>
      <c r="H1069">
        <v>1424.9625243999999</v>
      </c>
      <c r="I1069">
        <v>1200.2316894999999</v>
      </c>
      <c r="J1069">
        <v>1148.1585693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442.818915</v>
      </c>
      <c r="B1070" s="1">
        <f>DATE(2011,7,17) + TIME(19,39,14)</f>
        <v>40741.818912037037</v>
      </c>
      <c r="C1070">
        <v>80</v>
      </c>
      <c r="D1070">
        <v>79.972389221</v>
      </c>
      <c r="E1070">
        <v>50</v>
      </c>
      <c r="F1070">
        <v>42.532009125000002</v>
      </c>
      <c r="G1070">
        <v>1456.4967041</v>
      </c>
      <c r="H1070">
        <v>1424.8121338000001</v>
      </c>
      <c r="I1070">
        <v>1199.9976807</v>
      </c>
      <c r="J1070">
        <v>1147.8393555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443.83220599999999</v>
      </c>
      <c r="B1071" s="1">
        <f>DATE(2011,7,18) + TIME(19,58,22)</f>
        <v>40742.832199074073</v>
      </c>
      <c r="C1071">
        <v>80</v>
      </c>
      <c r="D1071">
        <v>79.972419739000003</v>
      </c>
      <c r="E1071">
        <v>50</v>
      </c>
      <c r="F1071">
        <v>42.435695647999999</v>
      </c>
      <c r="G1071">
        <v>1456.3455810999999</v>
      </c>
      <c r="H1071">
        <v>1424.6618652</v>
      </c>
      <c r="I1071">
        <v>1199.7583007999999</v>
      </c>
      <c r="J1071">
        <v>1147.5117187999999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444.863091</v>
      </c>
      <c r="B1072" s="1">
        <f>DATE(2011,7,19) + TIME(20,42,51)</f>
        <v>40743.86309027778</v>
      </c>
      <c r="C1072">
        <v>80</v>
      </c>
      <c r="D1072">
        <v>79.972450256000002</v>
      </c>
      <c r="E1072">
        <v>50</v>
      </c>
      <c r="F1072">
        <v>42.337154388000002</v>
      </c>
      <c r="G1072">
        <v>1456.1939697</v>
      </c>
      <c r="H1072">
        <v>1424.5112305</v>
      </c>
      <c r="I1072">
        <v>1199.5124512</v>
      </c>
      <c r="J1072">
        <v>1147.1746826000001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445.89532800000001</v>
      </c>
      <c r="B1073" s="1">
        <f>DATE(2011,7,20) + TIME(21,29,16)</f>
        <v>40744.895324074074</v>
      </c>
      <c r="C1073">
        <v>80</v>
      </c>
      <c r="D1073">
        <v>79.972480774000005</v>
      </c>
      <c r="E1073">
        <v>50</v>
      </c>
      <c r="F1073">
        <v>42.236423492</v>
      </c>
      <c r="G1073">
        <v>1456.041626</v>
      </c>
      <c r="H1073">
        <v>1424.3597411999999</v>
      </c>
      <c r="I1073">
        <v>1199.2592772999999</v>
      </c>
      <c r="J1073">
        <v>1146.8270264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446.928382</v>
      </c>
      <c r="B1074" s="1">
        <f>DATE(2011,7,21) + TIME(22,16,52)</f>
        <v>40745.928379629629</v>
      </c>
      <c r="C1074">
        <v>80</v>
      </c>
      <c r="D1074">
        <v>79.972518921000002</v>
      </c>
      <c r="E1074">
        <v>50</v>
      </c>
      <c r="F1074">
        <v>42.134277343999997</v>
      </c>
      <c r="G1074">
        <v>1455.890625</v>
      </c>
      <c r="H1074">
        <v>1424.2095947</v>
      </c>
      <c r="I1074">
        <v>1199.0023193</v>
      </c>
      <c r="J1074">
        <v>1146.4730225000001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447.96496200000001</v>
      </c>
      <c r="B1075" s="1">
        <f>DATE(2011,7,22) + TIME(23,9,32)</f>
        <v>40746.964953703704</v>
      </c>
      <c r="C1075">
        <v>80</v>
      </c>
      <c r="D1075">
        <v>79.972549438000001</v>
      </c>
      <c r="E1075">
        <v>50</v>
      </c>
      <c r="F1075">
        <v>42.030853270999998</v>
      </c>
      <c r="G1075">
        <v>1455.7412108999999</v>
      </c>
      <c r="H1075">
        <v>1424.0610352000001</v>
      </c>
      <c r="I1075">
        <v>1198.7416992000001</v>
      </c>
      <c r="J1075">
        <v>1146.1131591999999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449.00769600000001</v>
      </c>
      <c r="B1076" s="1">
        <f>DATE(2011,7,24) + TIME(0,11,4)</f>
        <v>40748.007685185185</v>
      </c>
      <c r="C1076">
        <v>80</v>
      </c>
      <c r="D1076">
        <v>79.972579956000004</v>
      </c>
      <c r="E1076">
        <v>50</v>
      </c>
      <c r="F1076">
        <v>41.925945282000001</v>
      </c>
      <c r="G1076">
        <v>1455.5930175999999</v>
      </c>
      <c r="H1076">
        <v>1423.9135742000001</v>
      </c>
      <c r="I1076">
        <v>1198.4769286999999</v>
      </c>
      <c r="J1076">
        <v>1145.7463379000001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450.059304</v>
      </c>
      <c r="B1077" s="1">
        <f>DATE(2011,7,25) + TIME(1,25,23)</f>
        <v>40749.059293981481</v>
      </c>
      <c r="C1077">
        <v>80</v>
      </c>
      <c r="D1077">
        <v>79.972610474000007</v>
      </c>
      <c r="E1077">
        <v>50</v>
      </c>
      <c r="F1077">
        <v>41.819263458000002</v>
      </c>
      <c r="G1077">
        <v>1455.4454346</v>
      </c>
      <c r="H1077">
        <v>1423.7668457</v>
      </c>
      <c r="I1077">
        <v>1198.2070312000001</v>
      </c>
      <c r="J1077">
        <v>1145.371582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451.12250899999998</v>
      </c>
      <c r="B1078" s="1">
        <f>DATE(2011,7,26) + TIME(2,56,24)</f>
        <v>40750.122499999998</v>
      </c>
      <c r="C1078">
        <v>80</v>
      </c>
      <c r="D1078">
        <v>79.972648621000005</v>
      </c>
      <c r="E1078">
        <v>50</v>
      </c>
      <c r="F1078">
        <v>41.710479736000003</v>
      </c>
      <c r="G1078">
        <v>1455.2982178</v>
      </c>
      <c r="H1078">
        <v>1423.6203613</v>
      </c>
      <c r="I1078">
        <v>1197.9312743999999</v>
      </c>
      <c r="J1078">
        <v>1144.9875488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452.20020799999998</v>
      </c>
      <c r="B1079" s="1">
        <f>DATE(2011,7,27) + TIME(4,48,17)</f>
        <v>40751.200196759259</v>
      </c>
      <c r="C1079">
        <v>80</v>
      </c>
      <c r="D1079">
        <v>79.972679138000004</v>
      </c>
      <c r="E1079">
        <v>50</v>
      </c>
      <c r="F1079">
        <v>41.599246979</v>
      </c>
      <c r="G1079">
        <v>1455.1511230000001</v>
      </c>
      <c r="H1079">
        <v>1423.4738769999999</v>
      </c>
      <c r="I1079">
        <v>1197.6488036999999</v>
      </c>
      <c r="J1079">
        <v>1144.5932617000001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452.74708199999998</v>
      </c>
      <c r="B1080" s="1">
        <f>DATE(2011,7,27) + TIME(17,55,47)</f>
        <v>40751.747071759259</v>
      </c>
      <c r="C1080">
        <v>80</v>
      </c>
      <c r="D1080">
        <v>79.972694396999998</v>
      </c>
      <c r="E1080">
        <v>50</v>
      </c>
      <c r="F1080">
        <v>41.507560730000002</v>
      </c>
      <c r="G1080">
        <v>1455.0045166</v>
      </c>
      <c r="H1080">
        <v>1423.3280029</v>
      </c>
      <c r="I1080">
        <v>1197.3592529</v>
      </c>
      <c r="J1080">
        <v>1144.2093506000001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453.29395599999998</v>
      </c>
      <c r="B1081" s="1">
        <f>DATE(2011,7,28) + TIME(7,3,17)</f>
        <v>40752.293946759259</v>
      </c>
      <c r="C1081">
        <v>80</v>
      </c>
      <c r="D1081">
        <v>79.972709656000006</v>
      </c>
      <c r="E1081">
        <v>50</v>
      </c>
      <c r="F1081">
        <v>41.435871124000002</v>
      </c>
      <c r="G1081">
        <v>1454.9281006000001</v>
      </c>
      <c r="H1081">
        <v>1423.2519531</v>
      </c>
      <c r="I1081">
        <v>1197.208374</v>
      </c>
      <c r="J1081">
        <v>1143.9849853999999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453.84082999999998</v>
      </c>
      <c r="B1082" s="1">
        <f>DATE(2011,7,28) + TIME(20,10,47)</f>
        <v>40752.840821759259</v>
      </c>
      <c r="C1082">
        <v>80</v>
      </c>
      <c r="D1082">
        <v>79.972732543999996</v>
      </c>
      <c r="E1082">
        <v>50</v>
      </c>
      <c r="F1082">
        <v>41.37179184</v>
      </c>
      <c r="G1082">
        <v>1454.8540039</v>
      </c>
      <c r="H1082">
        <v>1423.1783447</v>
      </c>
      <c r="I1082">
        <v>1197.0579834</v>
      </c>
      <c r="J1082">
        <v>1143.7686768000001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454.38770399999999</v>
      </c>
      <c r="B1083" s="1">
        <f>DATE(2011,7,29) + TIME(9,18,17)</f>
        <v>40753.387696759259</v>
      </c>
      <c r="C1083">
        <v>80</v>
      </c>
      <c r="D1083">
        <v>79.972747803000004</v>
      </c>
      <c r="E1083">
        <v>50</v>
      </c>
      <c r="F1083">
        <v>41.310474395999996</v>
      </c>
      <c r="G1083">
        <v>1454.7803954999999</v>
      </c>
      <c r="H1083">
        <v>1423.1051024999999</v>
      </c>
      <c r="I1083">
        <v>1196.9069824000001</v>
      </c>
      <c r="J1083">
        <v>1143.5540771000001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454.93457799999999</v>
      </c>
      <c r="B1084" s="1">
        <f>DATE(2011,7,29) + TIME(22,25,47)</f>
        <v>40753.934571759259</v>
      </c>
      <c r="C1084">
        <v>80</v>
      </c>
      <c r="D1084">
        <v>79.972763061999999</v>
      </c>
      <c r="E1084">
        <v>50</v>
      </c>
      <c r="F1084">
        <v>41.250015259000001</v>
      </c>
      <c r="G1084">
        <v>1454.7072754000001</v>
      </c>
      <c r="H1084">
        <v>1423.0322266000001</v>
      </c>
      <c r="I1084">
        <v>1196.7548827999999</v>
      </c>
      <c r="J1084">
        <v>1143.3389893000001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455.48145199999999</v>
      </c>
      <c r="B1085" s="1">
        <f>DATE(2011,7,30) + TIME(11,33,17)</f>
        <v>40754.481446759259</v>
      </c>
      <c r="C1085">
        <v>80</v>
      </c>
      <c r="D1085">
        <v>79.972778320000003</v>
      </c>
      <c r="E1085">
        <v>50</v>
      </c>
      <c r="F1085">
        <v>41.189666748</v>
      </c>
      <c r="G1085">
        <v>1454.6345214999999</v>
      </c>
      <c r="H1085">
        <v>1422.9598389</v>
      </c>
      <c r="I1085">
        <v>1196.6018065999999</v>
      </c>
      <c r="J1085">
        <v>1143.1226807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456.02832599999999</v>
      </c>
      <c r="B1086" s="1">
        <f>DATE(2011,7,31) + TIME(0,40,47)</f>
        <v>40755.028321759259</v>
      </c>
      <c r="C1086">
        <v>80</v>
      </c>
      <c r="D1086">
        <v>79.972793578999998</v>
      </c>
      <c r="E1086">
        <v>50</v>
      </c>
      <c r="F1086">
        <v>41.129131317000002</v>
      </c>
      <c r="G1086">
        <v>1454.5621338000001</v>
      </c>
      <c r="H1086">
        <v>1422.8878173999999</v>
      </c>
      <c r="I1086">
        <v>1196.4477539</v>
      </c>
      <c r="J1086">
        <v>1142.9047852000001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457</v>
      </c>
      <c r="B1087" s="1">
        <f>DATE(2011,8,1) + TIME(0,0,0)</f>
        <v>40756</v>
      </c>
      <c r="C1087">
        <v>80</v>
      </c>
      <c r="D1087">
        <v>79.972831725999995</v>
      </c>
      <c r="E1087">
        <v>50</v>
      </c>
      <c r="F1087">
        <v>41.055713654000002</v>
      </c>
      <c r="G1087">
        <v>1454.4899902</v>
      </c>
      <c r="H1087">
        <v>1422.8160399999999</v>
      </c>
      <c r="I1087">
        <v>1196.2924805</v>
      </c>
      <c r="J1087">
        <v>1142.6726074000001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458.09374800000001</v>
      </c>
      <c r="B1088" s="1">
        <f>DATE(2011,8,2) + TIME(2,14,59)</f>
        <v>40757.093738425923</v>
      </c>
      <c r="C1088">
        <v>80</v>
      </c>
      <c r="D1088">
        <v>79.972862243999998</v>
      </c>
      <c r="E1088">
        <v>50</v>
      </c>
      <c r="F1088">
        <v>40.953136444000002</v>
      </c>
      <c r="G1088">
        <v>1454.3640137</v>
      </c>
      <c r="H1088">
        <v>1422.6906738</v>
      </c>
      <c r="I1088">
        <v>1196.0162353999999</v>
      </c>
      <c r="J1088">
        <v>1142.2872314000001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459.195244</v>
      </c>
      <c r="B1089" s="1">
        <f>DATE(2011,8,3) + TIME(4,41,9)</f>
        <v>40758.195243055554</v>
      </c>
      <c r="C1089">
        <v>80</v>
      </c>
      <c r="D1089">
        <v>79.972892760999997</v>
      </c>
      <c r="E1089">
        <v>50</v>
      </c>
      <c r="F1089">
        <v>40.834133147999999</v>
      </c>
      <c r="G1089">
        <v>1454.2229004000001</v>
      </c>
      <c r="H1089">
        <v>1422.5500488</v>
      </c>
      <c r="I1089">
        <v>1195.7006836</v>
      </c>
      <c r="J1089">
        <v>1141.8436279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460.31264299999998</v>
      </c>
      <c r="B1090" s="1">
        <f>DATE(2011,8,4) + TIME(7,30,12)</f>
        <v>40759.312638888892</v>
      </c>
      <c r="C1090">
        <v>80</v>
      </c>
      <c r="D1090">
        <v>79.972930907999995</v>
      </c>
      <c r="E1090">
        <v>50</v>
      </c>
      <c r="F1090">
        <v>40.709037780999999</v>
      </c>
      <c r="G1090">
        <v>1454.0819091999999</v>
      </c>
      <c r="H1090">
        <v>1422.4097899999999</v>
      </c>
      <c r="I1090">
        <v>1195.378418</v>
      </c>
      <c r="J1090">
        <v>1141.385376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461.44863700000002</v>
      </c>
      <c r="B1091" s="1">
        <f>DATE(2011,8,5) + TIME(10,46,2)</f>
        <v>40760.448634259257</v>
      </c>
      <c r="C1091">
        <v>80</v>
      </c>
      <c r="D1091">
        <v>79.972961425999998</v>
      </c>
      <c r="E1091">
        <v>50</v>
      </c>
      <c r="F1091">
        <v>40.579788207999997</v>
      </c>
      <c r="G1091">
        <v>1453.9404297000001</v>
      </c>
      <c r="H1091">
        <v>1422.2689209</v>
      </c>
      <c r="I1091">
        <v>1195.0472411999999</v>
      </c>
      <c r="J1091">
        <v>1140.9125977000001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462.60471100000001</v>
      </c>
      <c r="B1092" s="1">
        <f>DATE(2011,8,6) + TIME(14,30,47)</f>
        <v>40761.604710648149</v>
      </c>
      <c r="C1092">
        <v>80</v>
      </c>
      <c r="D1092">
        <v>79.972999572999996</v>
      </c>
      <c r="E1092">
        <v>50</v>
      </c>
      <c r="F1092">
        <v>40.446601868000002</v>
      </c>
      <c r="G1092">
        <v>1453.7980957</v>
      </c>
      <c r="H1092">
        <v>1422.1271973</v>
      </c>
      <c r="I1092">
        <v>1194.7064209</v>
      </c>
      <c r="J1092">
        <v>1140.4243164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463.76165900000001</v>
      </c>
      <c r="B1093" s="1">
        <f>DATE(2011,8,7) + TIME(18,16,47)</f>
        <v>40762.761655092596</v>
      </c>
      <c r="C1093">
        <v>80</v>
      </c>
      <c r="D1093">
        <v>79.973030089999995</v>
      </c>
      <c r="E1093">
        <v>50</v>
      </c>
      <c r="F1093">
        <v>40.309890746999997</v>
      </c>
      <c r="G1093">
        <v>1453.6547852000001</v>
      </c>
      <c r="H1093">
        <v>1421.984375</v>
      </c>
      <c r="I1093">
        <v>1194.3549805</v>
      </c>
      <c r="J1093">
        <v>1139.9201660000001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464.92226399999998</v>
      </c>
      <c r="B1094" s="1">
        <f>DATE(2011,8,8) + TIME(22,8,3)</f>
        <v>40763.922256944446</v>
      </c>
      <c r="C1094">
        <v>80</v>
      </c>
      <c r="D1094">
        <v>79.973068237000007</v>
      </c>
      <c r="E1094">
        <v>50</v>
      </c>
      <c r="F1094">
        <v>40.170837401999997</v>
      </c>
      <c r="G1094">
        <v>1453.5128173999999</v>
      </c>
      <c r="H1094">
        <v>1421.8430175999999</v>
      </c>
      <c r="I1094">
        <v>1193.9989014</v>
      </c>
      <c r="J1094">
        <v>1139.4072266000001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466.08949899999999</v>
      </c>
      <c r="B1095" s="1">
        <f>DATE(2011,8,10) + TIME(2,8,52)</f>
        <v>40765.089490740742</v>
      </c>
      <c r="C1095">
        <v>80</v>
      </c>
      <c r="D1095">
        <v>79.973098754999995</v>
      </c>
      <c r="E1095">
        <v>50</v>
      </c>
      <c r="F1095">
        <v>40.029441833</v>
      </c>
      <c r="G1095">
        <v>1453.3718262</v>
      </c>
      <c r="H1095">
        <v>1421.7026367000001</v>
      </c>
      <c r="I1095">
        <v>1193.6370850000001</v>
      </c>
      <c r="J1095">
        <v>1138.8845214999999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467.266299</v>
      </c>
      <c r="B1096" s="1">
        <f>DATE(2011,8,11) + TIME(6,23,28)</f>
        <v>40766.266296296293</v>
      </c>
      <c r="C1096">
        <v>80</v>
      </c>
      <c r="D1096">
        <v>79.973136901999993</v>
      </c>
      <c r="E1096">
        <v>50</v>
      </c>
      <c r="F1096">
        <v>39.885433196999998</v>
      </c>
      <c r="G1096">
        <v>1453.2315673999999</v>
      </c>
      <c r="H1096">
        <v>1421.5627440999999</v>
      </c>
      <c r="I1096">
        <v>1193.2686768000001</v>
      </c>
      <c r="J1096">
        <v>1138.3508300999999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468.45569</v>
      </c>
      <c r="B1097" s="1">
        <f>DATE(2011,8,12) + TIME(10,56,11)</f>
        <v>40767.455682870372</v>
      </c>
      <c r="C1097">
        <v>80</v>
      </c>
      <c r="D1097">
        <v>79.973167419000006</v>
      </c>
      <c r="E1097">
        <v>50</v>
      </c>
      <c r="F1097">
        <v>39.738391876000001</v>
      </c>
      <c r="G1097">
        <v>1453.0914307</v>
      </c>
      <c r="H1097">
        <v>1421.4233397999999</v>
      </c>
      <c r="I1097">
        <v>1192.8928223</v>
      </c>
      <c r="J1097">
        <v>1137.8046875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469.66038500000002</v>
      </c>
      <c r="B1098" s="1">
        <f>DATE(2011,8,13) + TIME(15,50,57)</f>
        <v>40768.660381944443</v>
      </c>
      <c r="C1098">
        <v>80</v>
      </c>
      <c r="D1098">
        <v>79.973205566000004</v>
      </c>
      <c r="E1098">
        <v>50</v>
      </c>
      <c r="F1098">
        <v>39.587875365999999</v>
      </c>
      <c r="G1098">
        <v>1452.9514160000001</v>
      </c>
      <c r="H1098">
        <v>1421.2838135</v>
      </c>
      <c r="I1098">
        <v>1192.5083007999999</v>
      </c>
      <c r="J1098">
        <v>1137.2443848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470.26876399999998</v>
      </c>
      <c r="B1099" s="1">
        <f>DATE(2011,8,14) + TIME(6,27,1)</f>
        <v>40769.268761574072</v>
      </c>
      <c r="C1099">
        <v>80</v>
      </c>
      <c r="D1099">
        <v>79.973220824999999</v>
      </c>
      <c r="E1099">
        <v>50</v>
      </c>
      <c r="F1099">
        <v>39.461891174000002</v>
      </c>
      <c r="G1099">
        <v>1452.8118896000001</v>
      </c>
      <c r="H1099">
        <v>1421.1447754000001</v>
      </c>
      <c r="I1099">
        <v>1192.1157227000001</v>
      </c>
      <c r="J1099">
        <v>1136.7010498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470.87714399999999</v>
      </c>
      <c r="B1100" s="1">
        <f>DATE(2011,8,14) + TIME(21,3,5)</f>
        <v>40769.877141203702</v>
      </c>
      <c r="C1100">
        <v>80</v>
      </c>
      <c r="D1100">
        <v>79.973243713000002</v>
      </c>
      <c r="E1100">
        <v>50</v>
      </c>
      <c r="F1100">
        <v>39.365501404</v>
      </c>
      <c r="G1100">
        <v>1452.7395019999999</v>
      </c>
      <c r="H1100">
        <v>1421.0726318</v>
      </c>
      <c r="I1100">
        <v>1191.9118652</v>
      </c>
      <c r="J1100">
        <v>1136.3835449000001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471.485524</v>
      </c>
      <c r="B1101" s="1">
        <f>DATE(2011,8,15) + TIME(11,39,9)</f>
        <v>40770.485520833332</v>
      </c>
      <c r="C1101">
        <v>80</v>
      </c>
      <c r="D1101">
        <v>79.973258971999996</v>
      </c>
      <c r="E1101">
        <v>50</v>
      </c>
      <c r="F1101">
        <v>39.279624939000001</v>
      </c>
      <c r="G1101">
        <v>1452.6693115</v>
      </c>
      <c r="H1101">
        <v>1421.0026855000001</v>
      </c>
      <c r="I1101">
        <v>1191.7089844</v>
      </c>
      <c r="J1101">
        <v>1136.0791016000001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472.09390400000001</v>
      </c>
      <c r="B1102" s="1">
        <f>DATE(2011,8,16) + TIME(2,15,13)</f>
        <v>40771.093900462962</v>
      </c>
      <c r="C1102">
        <v>80</v>
      </c>
      <c r="D1102">
        <v>79.973274231000005</v>
      </c>
      <c r="E1102">
        <v>50</v>
      </c>
      <c r="F1102">
        <v>39.197277069000002</v>
      </c>
      <c r="G1102">
        <v>1452.5996094</v>
      </c>
      <c r="H1102">
        <v>1420.9331055</v>
      </c>
      <c r="I1102">
        <v>1191.5053711</v>
      </c>
      <c r="J1102">
        <v>1135.7773437999999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472.70228400000002</v>
      </c>
      <c r="B1103" s="1">
        <f>DATE(2011,8,16) + TIME(16,51,17)</f>
        <v>40771.702280092592</v>
      </c>
      <c r="C1103">
        <v>80</v>
      </c>
      <c r="D1103">
        <v>79.973297118999994</v>
      </c>
      <c r="E1103">
        <v>50</v>
      </c>
      <c r="F1103">
        <v>39.115909576</v>
      </c>
      <c r="G1103">
        <v>1452.5301514</v>
      </c>
      <c r="H1103">
        <v>1420.8640137</v>
      </c>
      <c r="I1103">
        <v>1191.3007812000001</v>
      </c>
      <c r="J1103">
        <v>1135.4752197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473.31066299999998</v>
      </c>
      <c r="B1104" s="1">
        <f>DATE(2011,8,17) + TIME(7,27,21)</f>
        <v>40772.310659722221</v>
      </c>
      <c r="C1104">
        <v>80</v>
      </c>
      <c r="D1104">
        <v>79.973312378000003</v>
      </c>
      <c r="E1104">
        <v>50</v>
      </c>
      <c r="F1104">
        <v>39.034584045000003</v>
      </c>
      <c r="G1104">
        <v>1452.4610596</v>
      </c>
      <c r="H1104">
        <v>1420.7951660000001</v>
      </c>
      <c r="I1104">
        <v>1191.0950928</v>
      </c>
      <c r="J1104">
        <v>1135.1717529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473.91904299999999</v>
      </c>
      <c r="B1105" s="1">
        <f>DATE(2011,8,17) + TIME(22,3,25)</f>
        <v>40772.919039351851</v>
      </c>
      <c r="C1105">
        <v>80</v>
      </c>
      <c r="D1105">
        <v>79.973327636999997</v>
      </c>
      <c r="E1105">
        <v>50</v>
      </c>
      <c r="F1105">
        <v>38.952960967999999</v>
      </c>
      <c r="G1105">
        <v>1452.3923339999999</v>
      </c>
      <c r="H1105">
        <v>1420.7266846</v>
      </c>
      <c r="I1105">
        <v>1190.8881836</v>
      </c>
      <c r="J1105">
        <v>1134.8663329999999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474.527423</v>
      </c>
      <c r="B1106" s="1">
        <f>DATE(2011,8,18) + TIME(12,39,29)</f>
        <v>40773.527418981481</v>
      </c>
      <c r="C1106">
        <v>80</v>
      </c>
      <c r="D1106">
        <v>79.973350525000001</v>
      </c>
      <c r="E1106">
        <v>50</v>
      </c>
      <c r="F1106">
        <v>38.870914458999998</v>
      </c>
      <c r="G1106">
        <v>1452.3239745999999</v>
      </c>
      <c r="H1106">
        <v>1420.6584473</v>
      </c>
      <c r="I1106">
        <v>1190.6802978999999</v>
      </c>
      <c r="J1106">
        <v>1134.5589600000001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475.13580300000001</v>
      </c>
      <c r="B1107" s="1">
        <f>DATE(2011,8,19) + TIME(3,15,33)</f>
        <v>40774.135798611111</v>
      </c>
      <c r="C1107">
        <v>80</v>
      </c>
      <c r="D1107">
        <v>79.973365783999995</v>
      </c>
      <c r="E1107">
        <v>50</v>
      </c>
      <c r="F1107">
        <v>38.788394928000002</v>
      </c>
      <c r="G1107">
        <v>1452.2558594</v>
      </c>
      <c r="H1107">
        <v>1420.5906981999999</v>
      </c>
      <c r="I1107">
        <v>1190.4711914</v>
      </c>
      <c r="J1107">
        <v>1134.2495117000001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476.35256199999998</v>
      </c>
      <c r="B1108" s="1">
        <f>DATE(2011,8,20) + TIME(8,27,41)</f>
        <v>40775.35255787037</v>
      </c>
      <c r="C1108">
        <v>80</v>
      </c>
      <c r="D1108">
        <v>79.973403931000007</v>
      </c>
      <c r="E1108">
        <v>50</v>
      </c>
      <c r="F1108">
        <v>38.686779022000003</v>
      </c>
      <c r="G1108">
        <v>1452.1882324000001</v>
      </c>
      <c r="H1108">
        <v>1420.5231934000001</v>
      </c>
      <c r="I1108">
        <v>1190.2604980000001</v>
      </c>
      <c r="J1108">
        <v>1133.916626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477.57090499999998</v>
      </c>
      <c r="B1109" s="1">
        <f>DATE(2011,8,21) + TIME(13,42,6)</f>
        <v>40776.570902777778</v>
      </c>
      <c r="C1109">
        <v>80</v>
      </c>
      <c r="D1109">
        <v>79.973434448000006</v>
      </c>
      <c r="E1109">
        <v>50</v>
      </c>
      <c r="F1109">
        <v>38.534126282000003</v>
      </c>
      <c r="G1109">
        <v>1452.0549315999999</v>
      </c>
      <c r="H1109">
        <v>1420.3902588000001</v>
      </c>
      <c r="I1109">
        <v>1189.8398437999999</v>
      </c>
      <c r="J1109">
        <v>1133.3083495999999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478.80887100000001</v>
      </c>
      <c r="B1110" s="1">
        <f>DATE(2011,8,22) + TIME(19,24,46)</f>
        <v>40777.808865740742</v>
      </c>
      <c r="C1110">
        <v>80</v>
      </c>
      <c r="D1110">
        <v>79.973472595000004</v>
      </c>
      <c r="E1110">
        <v>50</v>
      </c>
      <c r="F1110">
        <v>38.367771148999999</v>
      </c>
      <c r="G1110">
        <v>1451.9217529</v>
      </c>
      <c r="H1110">
        <v>1420.2575684000001</v>
      </c>
      <c r="I1110">
        <v>1189.4122314000001</v>
      </c>
      <c r="J1110">
        <v>1132.6751709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480.06915099999998</v>
      </c>
      <c r="B1111" s="1">
        <f>DATE(2011,8,24) + TIME(1,39,34)</f>
        <v>40779.069143518522</v>
      </c>
      <c r="C1111">
        <v>80</v>
      </c>
      <c r="D1111">
        <v>79.973510742000002</v>
      </c>
      <c r="E1111">
        <v>50</v>
      </c>
      <c r="F1111">
        <v>38.194606780999997</v>
      </c>
      <c r="G1111">
        <v>1451.7877197</v>
      </c>
      <c r="H1111">
        <v>1420.1239014</v>
      </c>
      <c r="I1111">
        <v>1188.9733887</v>
      </c>
      <c r="J1111">
        <v>1132.020874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481.34713099999999</v>
      </c>
      <c r="B1112" s="1">
        <f>DATE(2011,8,25) + TIME(8,19,52)</f>
        <v>40780.347129629627</v>
      </c>
      <c r="C1112">
        <v>80</v>
      </c>
      <c r="D1112">
        <v>79.973548889</v>
      </c>
      <c r="E1112">
        <v>50</v>
      </c>
      <c r="F1112">
        <v>38.016052246000001</v>
      </c>
      <c r="G1112">
        <v>1451.6524658000001</v>
      </c>
      <c r="H1112">
        <v>1419.9891356999999</v>
      </c>
      <c r="I1112">
        <v>1188.5222168</v>
      </c>
      <c r="J1112">
        <v>1131.3460693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482.626756</v>
      </c>
      <c r="B1113" s="1">
        <f>DATE(2011,8,26) + TIME(15,2,31)</f>
        <v>40781.626747685186</v>
      </c>
      <c r="C1113">
        <v>80</v>
      </c>
      <c r="D1113">
        <v>79.973579407000003</v>
      </c>
      <c r="E1113">
        <v>50</v>
      </c>
      <c r="F1113">
        <v>37.833248138000002</v>
      </c>
      <c r="G1113">
        <v>1451.5167236</v>
      </c>
      <c r="H1113">
        <v>1419.8538818</v>
      </c>
      <c r="I1113">
        <v>1188.0603027</v>
      </c>
      <c r="J1113">
        <v>1130.6536865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483.911697</v>
      </c>
      <c r="B1114" s="1">
        <f>DATE(2011,8,27) + TIME(21,52,50)</f>
        <v>40782.911689814813</v>
      </c>
      <c r="C1114">
        <v>80</v>
      </c>
      <c r="D1114">
        <v>79.973617554</v>
      </c>
      <c r="E1114">
        <v>50</v>
      </c>
      <c r="F1114">
        <v>37.647636413999997</v>
      </c>
      <c r="G1114">
        <v>1451.3820800999999</v>
      </c>
      <c r="H1114">
        <v>1419.7196045000001</v>
      </c>
      <c r="I1114">
        <v>1187.5935059000001</v>
      </c>
      <c r="J1114">
        <v>1129.9514160000001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485.20492100000001</v>
      </c>
      <c r="B1115" s="1">
        <f>DATE(2011,8,29) + TIME(4,55,5)</f>
        <v>40784.204918981479</v>
      </c>
      <c r="C1115">
        <v>80</v>
      </c>
      <c r="D1115">
        <v>79.973655700999998</v>
      </c>
      <c r="E1115">
        <v>50</v>
      </c>
      <c r="F1115">
        <v>37.459167479999998</v>
      </c>
      <c r="G1115">
        <v>1451.2481689000001</v>
      </c>
      <c r="H1115">
        <v>1419.5860596</v>
      </c>
      <c r="I1115">
        <v>1187.1206055</v>
      </c>
      <c r="J1115">
        <v>1129.2376709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486.50985700000001</v>
      </c>
      <c r="B1116" s="1">
        <f>DATE(2011,8,30) + TIME(12,14,11)</f>
        <v>40785.50984953704</v>
      </c>
      <c r="C1116">
        <v>80</v>
      </c>
      <c r="D1116">
        <v>79.973693847999996</v>
      </c>
      <c r="E1116">
        <v>50</v>
      </c>
      <c r="F1116">
        <v>37.267478943</v>
      </c>
      <c r="G1116">
        <v>1451.114624</v>
      </c>
      <c r="H1116">
        <v>1419.4528809000001</v>
      </c>
      <c r="I1116">
        <v>1186.640625</v>
      </c>
      <c r="J1116">
        <v>1128.5113524999999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487.82852300000002</v>
      </c>
      <c r="B1117" s="1">
        <f>DATE(2011,8,31) + TIME(19,53,4)</f>
        <v>40786.828518518516</v>
      </c>
      <c r="C1117">
        <v>80</v>
      </c>
      <c r="D1117">
        <v>79.973731994999994</v>
      </c>
      <c r="E1117">
        <v>50</v>
      </c>
      <c r="F1117">
        <v>37.072154998999999</v>
      </c>
      <c r="G1117">
        <v>1450.9812012</v>
      </c>
      <c r="H1117">
        <v>1419.3198242000001</v>
      </c>
      <c r="I1117">
        <v>1186.1523437999999</v>
      </c>
      <c r="J1117">
        <v>1127.7703856999999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488</v>
      </c>
      <c r="B1118" s="1">
        <f>DATE(2011,9,1) + TIME(0,0,0)</f>
        <v>40787</v>
      </c>
      <c r="C1118">
        <v>80</v>
      </c>
      <c r="D1118">
        <v>79.973724364999995</v>
      </c>
      <c r="E1118">
        <v>50</v>
      </c>
      <c r="F1118">
        <v>36.989402771000002</v>
      </c>
      <c r="G1118">
        <v>1450.8572998</v>
      </c>
      <c r="H1118">
        <v>1419.1961670000001</v>
      </c>
      <c r="I1118">
        <v>1185.666626</v>
      </c>
      <c r="J1118">
        <v>1127.1662598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489.32993199999999</v>
      </c>
      <c r="B1119" s="1">
        <f>DATE(2011,9,2) + TIME(7,55,6)</f>
        <v>40788.329930555556</v>
      </c>
      <c r="C1119">
        <v>80</v>
      </c>
      <c r="D1119">
        <v>79.973770142000006</v>
      </c>
      <c r="E1119">
        <v>50</v>
      </c>
      <c r="F1119">
        <v>36.834980010999999</v>
      </c>
      <c r="G1119">
        <v>1450.8287353999999</v>
      </c>
      <c r="H1119">
        <v>1419.1677245999999</v>
      </c>
      <c r="I1119">
        <v>1185.5876464999999</v>
      </c>
      <c r="J1119">
        <v>1126.8966064000001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490.660707</v>
      </c>
      <c r="B1120" s="1">
        <f>DATE(2011,9,3) + TIME(15,51,25)</f>
        <v>40789.66070601852</v>
      </c>
      <c r="C1120">
        <v>80</v>
      </c>
      <c r="D1120">
        <v>79.973808289000004</v>
      </c>
      <c r="E1120">
        <v>50</v>
      </c>
      <c r="F1120">
        <v>36.641681671000001</v>
      </c>
      <c r="G1120">
        <v>1450.6966553</v>
      </c>
      <c r="H1120">
        <v>1419.0361327999999</v>
      </c>
      <c r="I1120">
        <v>1185.0841064000001</v>
      </c>
      <c r="J1120">
        <v>1126.1397704999999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491.992887</v>
      </c>
      <c r="B1121" s="1">
        <f>DATE(2011,9,4) + TIME(23,49,45)</f>
        <v>40790.992881944447</v>
      </c>
      <c r="C1121">
        <v>80</v>
      </c>
      <c r="D1121">
        <v>79.973846436000002</v>
      </c>
      <c r="E1121">
        <v>50</v>
      </c>
      <c r="F1121">
        <v>36.438735962000003</v>
      </c>
      <c r="G1121">
        <v>1450.5644531</v>
      </c>
      <c r="H1121">
        <v>1418.9041748</v>
      </c>
      <c r="I1121">
        <v>1184.5748291</v>
      </c>
      <c r="J1121">
        <v>1125.3625488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493.32718899999998</v>
      </c>
      <c r="B1122" s="1">
        <f>DATE(2011,9,6) + TIME(7,51,9)</f>
        <v>40792.327187499999</v>
      </c>
      <c r="C1122">
        <v>80</v>
      </c>
      <c r="D1122">
        <v>79.973884583</v>
      </c>
      <c r="E1122">
        <v>50</v>
      </c>
      <c r="F1122">
        <v>36.232231140000003</v>
      </c>
      <c r="G1122">
        <v>1450.4331055</v>
      </c>
      <c r="H1122">
        <v>1418.7731934000001</v>
      </c>
      <c r="I1122">
        <v>1184.0614014</v>
      </c>
      <c r="J1122">
        <v>1124.5748291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494.664221</v>
      </c>
      <c r="B1123" s="1">
        <f>DATE(2011,9,7) + TIME(15,56,28)</f>
        <v>40793.664212962962</v>
      </c>
      <c r="C1123">
        <v>80</v>
      </c>
      <c r="D1123">
        <v>79.973915099999999</v>
      </c>
      <c r="E1123">
        <v>50</v>
      </c>
      <c r="F1123">
        <v>36.023414612000003</v>
      </c>
      <c r="G1123">
        <v>1450.3027344</v>
      </c>
      <c r="H1123">
        <v>1418.6431885</v>
      </c>
      <c r="I1123">
        <v>1183.5439452999999</v>
      </c>
      <c r="J1123">
        <v>1123.7784423999999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496.008285</v>
      </c>
      <c r="B1124" s="1">
        <f>DATE(2011,9,9) + TIME(0,11,55)</f>
        <v>40795.008275462962</v>
      </c>
      <c r="C1124">
        <v>80</v>
      </c>
      <c r="D1124">
        <v>79.973953246999997</v>
      </c>
      <c r="E1124">
        <v>50</v>
      </c>
      <c r="F1124">
        <v>35.812419890999998</v>
      </c>
      <c r="G1124">
        <v>1450.1733397999999</v>
      </c>
      <c r="H1124">
        <v>1418.5139160000001</v>
      </c>
      <c r="I1124">
        <v>1183.0224608999999</v>
      </c>
      <c r="J1124">
        <v>1122.9733887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497.36429600000002</v>
      </c>
      <c r="B1125" s="1">
        <f>DATE(2011,9,10) + TIME(8,44,35)</f>
        <v>40796.364293981482</v>
      </c>
      <c r="C1125">
        <v>80</v>
      </c>
      <c r="D1125">
        <v>79.973991393999995</v>
      </c>
      <c r="E1125">
        <v>50</v>
      </c>
      <c r="F1125">
        <v>35.598781586000001</v>
      </c>
      <c r="G1125">
        <v>1450.0441894999999</v>
      </c>
      <c r="H1125">
        <v>1418.3852539</v>
      </c>
      <c r="I1125">
        <v>1182.4954834</v>
      </c>
      <c r="J1125">
        <v>1122.1575928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498.04636499999998</v>
      </c>
      <c r="B1126" s="1">
        <f>DATE(2011,9,11) + TIME(1,6,45)</f>
        <v>40797.046354166669</v>
      </c>
      <c r="C1126">
        <v>80</v>
      </c>
      <c r="D1126">
        <v>79.974006653000004</v>
      </c>
      <c r="E1126">
        <v>50</v>
      </c>
      <c r="F1126">
        <v>35.418819427000003</v>
      </c>
      <c r="G1126">
        <v>1449.9160156</v>
      </c>
      <c r="H1126">
        <v>1418.2573242000001</v>
      </c>
      <c r="I1126">
        <v>1181.963501</v>
      </c>
      <c r="J1126">
        <v>1121.3773193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498.727891</v>
      </c>
      <c r="B1127" s="1">
        <f>DATE(2011,9,11) + TIME(17,28,9)</f>
        <v>40797.727881944447</v>
      </c>
      <c r="C1127">
        <v>80</v>
      </c>
      <c r="D1127">
        <v>79.974029540999993</v>
      </c>
      <c r="E1127">
        <v>50</v>
      </c>
      <c r="F1127">
        <v>35.285194396999998</v>
      </c>
      <c r="G1127">
        <v>1449.8496094</v>
      </c>
      <c r="H1127">
        <v>1418.1910399999999</v>
      </c>
      <c r="I1127">
        <v>1181.6905518000001</v>
      </c>
      <c r="J1127">
        <v>1120.9229736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499.40871600000003</v>
      </c>
      <c r="B1128" s="1">
        <f>DATE(2011,9,12) + TIME(9,48,33)</f>
        <v>40798.408715277779</v>
      </c>
      <c r="C1128">
        <v>80</v>
      </c>
      <c r="D1128">
        <v>79.974044800000001</v>
      </c>
      <c r="E1128">
        <v>50</v>
      </c>
      <c r="F1128">
        <v>35.167118072999997</v>
      </c>
      <c r="G1128">
        <v>1449.7852783000001</v>
      </c>
      <c r="H1128">
        <v>1418.1268310999999</v>
      </c>
      <c r="I1128">
        <v>1181.4201660000001</v>
      </c>
      <c r="J1128">
        <v>1120.4912108999999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500.08934399999998</v>
      </c>
      <c r="B1129" s="1">
        <f>DATE(2011,9,13) + TIME(2,8,39)</f>
        <v>40799.08934027778</v>
      </c>
      <c r="C1129">
        <v>80</v>
      </c>
      <c r="D1129">
        <v>79.974067688000005</v>
      </c>
      <c r="E1129">
        <v>50</v>
      </c>
      <c r="F1129">
        <v>35.054172516000001</v>
      </c>
      <c r="G1129">
        <v>1449.7213135</v>
      </c>
      <c r="H1129">
        <v>1418.0629882999999</v>
      </c>
      <c r="I1129">
        <v>1181.1500243999999</v>
      </c>
      <c r="J1129">
        <v>1120.0661620999999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500.769972</v>
      </c>
      <c r="B1130" s="1">
        <f>DATE(2011,9,13) + TIME(18,28,45)</f>
        <v>40799.769965277781</v>
      </c>
      <c r="C1130">
        <v>80</v>
      </c>
      <c r="D1130">
        <v>79.974082946999999</v>
      </c>
      <c r="E1130">
        <v>50</v>
      </c>
      <c r="F1130">
        <v>34.942802428999997</v>
      </c>
      <c r="G1130">
        <v>1449.6575928</v>
      </c>
      <c r="H1130">
        <v>1417.9993896000001</v>
      </c>
      <c r="I1130">
        <v>1180.8796387</v>
      </c>
      <c r="J1130">
        <v>1119.6423339999999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501.45060000000001</v>
      </c>
      <c r="B1131" s="1">
        <f>DATE(2011,9,14) + TIME(10,48,51)</f>
        <v>40800.450590277775</v>
      </c>
      <c r="C1131">
        <v>80</v>
      </c>
      <c r="D1131">
        <v>79.974105835000003</v>
      </c>
      <c r="E1131">
        <v>50</v>
      </c>
      <c r="F1131">
        <v>34.831809997999997</v>
      </c>
      <c r="G1131">
        <v>1449.5941161999999</v>
      </c>
      <c r="H1131">
        <v>1417.9361572</v>
      </c>
      <c r="I1131">
        <v>1180.6090088000001</v>
      </c>
      <c r="J1131">
        <v>1119.2182617000001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502.13122700000002</v>
      </c>
      <c r="B1132" s="1">
        <f>DATE(2011,9,15) + TIME(3,8,58)</f>
        <v>40801.131226851852</v>
      </c>
      <c r="C1132">
        <v>80</v>
      </c>
      <c r="D1132">
        <v>79.974121093999997</v>
      </c>
      <c r="E1132">
        <v>50</v>
      </c>
      <c r="F1132">
        <v>34.720787047999998</v>
      </c>
      <c r="G1132">
        <v>1449.5308838000001</v>
      </c>
      <c r="H1132">
        <v>1417.8730469</v>
      </c>
      <c r="I1132">
        <v>1180.3378906</v>
      </c>
      <c r="J1132">
        <v>1118.7932129000001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502.81185499999998</v>
      </c>
      <c r="B1133" s="1">
        <f>DATE(2011,9,15) + TIME(19,29,4)</f>
        <v>40801.811851851853</v>
      </c>
      <c r="C1133">
        <v>80</v>
      </c>
      <c r="D1133">
        <v>79.974143982000001</v>
      </c>
      <c r="E1133">
        <v>50</v>
      </c>
      <c r="F1133">
        <v>34.609619141000003</v>
      </c>
      <c r="G1133">
        <v>1449.4680175999999</v>
      </c>
      <c r="H1133">
        <v>1417.8101807</v>
      </c>
      <c r="I1133">
        <v>1180.0664062000001</v>
      </c>
      <c r="J1133">
        <v>1118.3670654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503.49248299999999</v>
      </c>
      <c r="B1134" s="1">
        <f>DATE(2011,9,16) + TIME(11,49,10)</f>
        <v>40802.492476851854</v>
      </c>
      <c r="C1134">
        <v>80</v>
      </c>
      <c r="D1134">
        <v>79.974159240999995</v>
      </c>
      <c r="E1134">
        <v>50</v>
      </c>
      <c r="F1134">
        <v>34.498268127000003</v>
      </c>
      <c r="G1134">
        <v>1449.4052733999999</v>
      </c>
      <c r="H1134">
        <v>1417.7476807</v>
      </c>
      <c r="I1134">
        <v>1179.7946777</v>
      </c>
      <c r="J1134">
        <v>1117.9399414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504.17311100000001</v>
      </c>
      <c r="B1135" s="1">
        <f>DATE(2011,9,17) + TIME(4,9,16)</f>
        <v>40803.173101851855</v>
      </c>
      <c r="C1135">
        <v>80</v>
      </c>
      <c r="D1135">
        <v>79.974174500000004</v>
      </c>
      <c r="E1135">
        <v>50</v>
      </c>
      <c r="F1135">
        <v>34.386730194000002</v>
      </c>
      <c r="G1135">
        <v>1449.3427733999999</v>
      </c>
      <c r="H1135">
        <v>1417.6853027</v>
      </c>
      <c r="I1135">
        <v>1179.5227050999999</v>
      </c>
      <c r="J1135">
        <v>1117.5118408000001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504.85373900000002</v>
      </c>
      <c r="B1136" s="1">
        <f>DATE(2011,9,17) + TIME(20,29,23)</f>
        <v>40803.853738425925</v>
      </c>
      <c r="C1136">
        <v>80</v>
      </c>
      <c r="D1136">
        <v>79.974197387999993</v>
      </c>
      <c r="E1136">
        <v>50</v>
      </c>
      <c r="F1136">
        <v>34.275020599000001</v>
      </c>
      <c r="G1136">
        <v>1449.2805175999999</v>
      </c>
      <c r="H1136">
        <v>1417.6232910000001</v>
      </c>
      <c r="I1136">
        <v>1179.2504882999999</v>
      </c>
      <c r="J1136">
        <v>1117.0826416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506.21499399999999</v>
      </c>
      <c r="B1137" s="1">
        <f>DATE(2011,9,19) + TIME(5,9,35)</f>
        <v>40805.214988425927</v>
      </c>
      <c r="C1137">
        <v>80</v>
      </c>
      <c r="D1137">
        <v>79.974235535000005</v>
      </c>
      <c r="E1137">
        <v>50</v>
      </c>
      <c r="F1137">
        <v>34.14030838</v>
      </c>
      <c r="G1137">
        <v>1449.2185059000001</v>
      </c>
      <c r="H1137">
        <v>1417.5614014</v>
      </c>
      <c r="I1137">
        <v>1178.9771728999999</v>
      </c>
      <c r="J1137">
        <v>1116.6217041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507.577924</v>
      </c>
      <c r="B1138" s="1">
        <f>DATE(2011,9,20) + TIME(13,52,12)</f>
        <v>40806.577916666669</v>
      </c>
      <c r="C1138">
        <v>80</v>
      </c>
      <c r="D1138">
        <v>79.974266052000004</v>
      </c>
      <c r="E1138">
        <v>50</v>
      </c>
      <c r="F1138">
        <v>33.934577941999997</v>
      </c>
      <c r="G1138">
        <v>1449.0963135</v>
      </c>
      <c r="H1138">
        <v>1417.4393310999999</v>
      </c>
      <c r="I1138">
        <v>1178.4338379000001</v>
      </c>
      <c r="J1138">
        <v>1115.7866211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508.96746400000001</v>
      </c>
      <c r="B1139" s="1">
        <f>DATE(2011,9,21) + TIME(23,13,8)</f>
        <v>40807.967453703706</v>
      </c>
      <c r="C1139">
        <v>80</v>
      </c>
      <c r="D1139">
        <v>79.974304199000002</v>
      </c>
      <c r="E1139">
        <v>50</v>
      </c>
      <c r="F1139">
        <v>33.712879180999998</v>
      </c>
      <c r="G1139">
        <v>1448.973999</v>
      </c>
      <c r="H1139">
        <v>1417.3172606999999</v>
      </c>
      <c r="I1139">
        <v>1177.8868408000001</v>
      </c>
      <c r="J1139">
        <v>1114.9234618999999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510.363136</v>
      </c>
      <c r="B1140" s="1">
        <f>DATE(2011,9,23) + TIME(8,42,54)</f>
        <v>40809.363125000003</v>
      </c>
      <c r="C1140">
        <v>80</v>
      </c>
      <c r="D1140">
        <v>79.974342346</v>
      </c>
      <c r="E1140">
        <v>50</v>
      </c>
      <c r="F1140">
        <v>33.484828948999997</v>
      </c>
      <c r="G1140">
        <v>1448.8502197</v>
      </c>
      <c r="H1140">
        <v>1417.1937256000001</v>
      </c>
      <c r="I1140">
        <v>1177.3287353999999</v>
      </c>
      <c r="J1140">
        <v>1114.0380858999999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511.76646699999998</v>
      </c>
      <c r="B1141" s="1">
        <f>DATE(2011,9,24) + TIME(18,23,42)</f>
        <v>40810.766458333332</v>
      </c>
      <c r="C1141">
        <v>80</v>
      </c>
      <c r="D1141">
        <v>79.974380492999998</v>
      </c>
      <c r="E1141">
        <v>50</v>
      </c>
      <c r="F1141">
        <v>33.254463196000003</v>
      </c>
      <c r="G1141">
        <v>1448.7266846</v>
      </c>
      <c r="H1141">
        <v>1417.0704346</v>
      </c>
      <c r="I1141">
        <v>1176.7681885</v>
      </c>
      <c r="J1141">
        <v>1113.1447754000001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513.1748</v>
      </c>
      <c r="B1142" s="1">
        <f>DATE(2011,9,26) + TIME(4,11,42)</f>
        <v>40812.174791666665</v>
      </c>
      <c r="C1142">
        <v>80</v>
      </c>
      <c r="D1142">
        <v>79.974418639999996</v>
      </c>
      <c r="E1142">
        <v>50</v>
      </c>
      <c r="F1142">
        <v>33.022655487000002</v>
      </c>
      <c r="G1142">
        <v>1448.6035156</v>
      </c>
      <c r="H1142">
        <v>1416.9475098</v>
      </c>
      <c r="I1142">
        <v>1176.2048339999999</v>
      </c>
      <c r="J1142">
        <v>1112.2443848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514.59868600000004</v>
      </c>
      <c r="B1143" s="1">
        <f>DATE(2011,9,27) + TIME(14,22,6)</f>
        <v>40813.598680555559</v>
      </c>
      <c r="C1143">
        <v>80</v>
      </c>
      <c r="D1143">
        <v>79.974449157999999</v>
      </c>
      <c r="E1143">
        <v>50</v>
      </c>
      <c r="F1143">
        <v>32.789619446000003</v>
      </c>
      <c r="G1143">
        <v>1448.4805908000001</v>
      </c>
      <c r="H1143">
        <v>1416.8248291</v>
      </c>
      <c r="I1143">
        <v>1175.6402588000001</v>
      </c>
      <c r="J1143">
        <v>1111.3388672000001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516.02623800000003</v>
      </c>
      <c r="B1144" s="1">
        <f>DATE(2011,9,29) + TIME(0,37,46)</f>
        <v>40815.026226851849</v>
      </c>
      <c r="C1144">
        <v>80</v>
      </c>
      <c r="D1144">
        <v>79.974487304999997</v>
      </c>
      <c r="E1144">
        <v>50</v>
      </c>
      <c r="F1144">
        <v>32.554855347</v>
      </c>
      <c r="G1144">
        <v>1448.3572998</v>
      </c>
      <c r="H1144">
        <v>1416.7017822</v>
      </c>
      <c r="I1144">
        <v>1175.0706786999999</v>
      </c>
      <c r="J1144">
        <v>1110.4232178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517.45881899999995</v>
      </c>
      <c r="B1145" s="1">
        <f>DATE(2011,9,30) + TIME(11,0,41)</f>
        <v>40816.458807870367</v>
      </c>
      <c r="C1145">
        <v>80</v>
      </c>
      <c r="D1145">
        <v>79.974525451999995</v>
      </c>
      <c r="E1145">
        <v>50</v>
      </c>
      <c r="F1145">
        <v>32.319541931000003</v>
      </c>
      <c r="G1145">
        <v>1448.2344971</v>
      </c>
      <c r="H1145">
        <v>1416.5791016000001</v>
      </c>
      <c r="I1145">
        <v>1174.5010986</v>
      </c>
      <c r="J1145">
        <v>1109.5043945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518</v>
      </c>
      <c r="B1146" s="1">
        <f>DATE(2011,10,1) + TIME(0,0,0)</f>
        <v>40817</v>
      </c>
      <c r="C1146">
        <v>80</v>
      </c>
      <c r="D1146">
        <v>79.974533081000004</v>
      </c>
      <c r="E1146">
        <v>50</v>
      </c>
      <c r="F1146">
        <v>32.141391753999997</v>
      </c>
      <c r="G1146">
        <v>1448.1138916</v>
      </c>
      <c r="H1146">
        <v>1416.4587402</v>
      </c>
      <c r="I1146">
        <v>1173.9343262</v>
      </c>
      <c r="J1146">
        <v>1108.6667480000001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519.43605100000002</v>
      </c>
      <c r="B1147" s="1">
        <f>DATE(2011,10,2) + TIME(10,27,54)</f>
        <v>40818.436041666668</v>
      </c>
      <c r="C1147">
        <v>80</v>
      </c>
      <c r="D1147">
        <v>79.974578856999997</v>
      </c>
      <c r="E1147">
        <v>50</v>
      </c>
      <c r="F1147">
        <v>31.977701187000001</v>
      </c>
      <c r="G1147">
        <v>1448.0648193</v>
      </c>
      <c r="H1147">
        <v>1416.4097899999999</v>
      </c>
      <c r="I1147">
        <v>1173.7149658000001</v>
      </c>
      <c r="J1147">
        <v>1108.2067870999999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520.15923499999997</v>
      </c>
      <c r="B1148" s="1">
        <f>DATE(2011,10,3) + TIME(3,49,17)</f>
        <v>40819.159224537034</v>
      </c>
      <c r="C1148">
        <v>80</v>
      </c>
      <c r="D1148">
        <v>79.974594116000006</v>
      </c>
      <c r="E1148">
        <v>50</v>
      </c>
      <c r="F1148">
        <v>31.792263031000001</v>
      </c>
      <c r="G1148">
        <v>1447.9449463000001</v>
      </c>
      <c r="H1148">
        <v>1416.2901611</v>
      </c>
      <c r="I1148">
        <v>1173.1513672000001</v>
      </c>
      <c r="J1148">
        <v>1107.3604736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521.53899699999999</v>
      </c>
      <c r="B1149" s="1">
        <f>DATE(2011,10,4) + TIME(12,56,9)</f>
        <v>40820.538993055554</v>
      </c>
      <c r="C1149">
        <v>80</v>
      </c>
      <c r="D1149">
        <v>79.974632263000004</v>
      </c>
      <c r="E1149">
        <v>50</v>
      </c>
      <c r="F1149">
        <v>31.626760483000002</v>
      </c>
      <c r="G1149">
        <v>1447.8822021000001</v>
      </c>
      <c r="H1149">
        <v>1416.2274170000001</v>
      </c>
      <c r="I1149">
        <v>1172.8637695</v>
      </c>
      <c r="J1149">
        <v>1106.8248291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522.96610899999996</v>
      </c>
      <c r="B1150" s="1">
        <f>DATE(2011,10,5) + TIME(23,11,11)</f>
        <v>40821.966099537036</v>
      </c>
      <c r="C1150">
        <v>80</v>
      </c>
      <c r="D1150">
        <v>79.974670410000002</v>
      </c>
      <c r="E1150">
        <v>50</v>
      </c>
      <c r="F1150">
        <v>31.412845612000002</v>
      </c>
      <c r="G1150">
        <v>1447.7670897999999</v>
      </c>
      <c r="H1150">
        <v>1416.1125488</v>
      </c>
      <c r="I1150">
        <v>1172.3245850000001</v>
      </c>
      <c r="J1150">
        <v>1105.9594727000001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524.40240800000004</v>
      </c>
      <c r="B1151" s="1">
        <f>DATE(2011,10,7) + TIME(9,39,28)</f>
        <v>40823.402407407404</v>
      </c>
      <c r="C1151">
        <v>80</v>
      </c>
      <c r="D1151">
        <v>79.974700928000004</v>
      </c>
      <c r="E1151">
        <v>50</v>
      </c>
      <c r="F1151">
        <v>31.185010909999999</v>
      </c>
      <c r="G1151">
        <v>1447.6480713000001</v>
      </c>
      <c r="H1151">
        <v>1415.9936522999999</v>
      </c>
      <c r="I1151">
        <v>1171.7689209</v>
      </c>
      <c r="J1151">
        <v>1105.0538329999999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525.853026</v>
      </c>
      <c r="B1152" s="1">
        <f>DATE(2011,10,8) + TIME(20,28,21)</f>
        <v>40824.853020833332</v>
      </c>
      <c r="C1152">
        <v>80</v>
      </c>
      <c r="D1152">
        <v>79.974739075000002</v>
      </c>
      <c r="E1152">
        <v>50</v>
      </c>
      <c r="F1152">
        <v>30.954210281000002</v>
      </c>
      <c r="G1152">
        <v>1447.5288086</v>
      </c>
      <c r="H1152">
        <v>1415.8746338000001</v>
      </c>
      <c r="I1152">
        <v>1171.2133789</v>
      </c>
      <c r="J1152">
        <v>1104.1412353999999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526.58720300000004</v>
      </c>
      <c r="B1153" s="1">
        <f>DATE(2011,10,9) + TIME(14,5,34)</f>
        <v>40825.587199074071</v>
      </c>
      <c r="C1153">
        <v>80</v>
      </c>
      <c r="D1153">
        <v>79.974754333000007</v>
      </c>
      <c r="E1153">
        <v>50</v>
      </c>
      <c r="F1153">
        <v>30.759439468</v>
      </c>
      <c r="G1153">
        <v>1447.4100341999999</v>
      </c>
      <c r="H1153">
        <v>1415.7559814000001</v>
      </c>
      <c r="I1153">
        <v>1170.6585693</v>
      </c>
      <c r="J1153">
        <v>1103.2800293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527.97340299999996</v>
      </c>
      <c r="B1154" s="1">
        <f>DATE(2011,10,10) + TIME(23,21,42)</f>
        <v>40826.973402777781</v>
      </c>
      <c r="C1154">
        <v>80</v>
      </c>
      <c r="D1154">
        <v>79.974792480000005</v>
      </c>
      <c r="E1154">
        <v>50</v>
      </c>
      <c r="F1154">
        <v>30.592571259</v>
      </c>
      <c r="G1154">
        <v>1447.3479004000001</v>
      </c>
      <c r="H1154">
        <v>1415.6939697</v>
      </c>
      <c r="I1154">
        <v>1170.3760986</v>
      </c>
      <c r="J1154">
        <v>1102.7390137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529.41368399999999</v>
      </c>
      <c r="B1155" s="1">
        <f>DATE(2011,10,12) + TIME(9,55,42)</f>
        <v>40828.413680555554</v>
      </c>
      <c r="C1155">
        <v>80</v>
      </c>
      <c r="D1155">
        <v>79.974830627000003</v>
      </c>
      <c r="E1155">
        <v>50</v>
      </c>
      <c r="F1155">
        <v>30.382658005</v>
      </c>
      <c r="G1155">
        <v>1447.2351074000001</v>
      </c>
      <c r="H1155">
        <v>1415.5814209</v>
      </c>
      <c r="I1155">
        <v>1169.8532714999999</v>
      </c>
      <c r="J1155">
        <v>1101.8852539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530.86114299999997</v>
      </c>
      <c r="B1156" s="1">
        <f>DATE(2011,10,13) + TIME(20,40,2)</f>
        <v>40829.861134259256</v>
      </c>
      <c r="C1156">
        <v>80</v>
      </c>
      <c r="D1156">
        <v>79.974868774000001</v>
      </c>
      <c r="E1156">
        <v>50</v>
      </c>
      <c r="F1156">
        <v>30.160137176999999</v>
      </c>
      <c r="G1156">
        <v>1447.1179199000001</v>
      </c>
      <c r="H1156">
        <v>1415.4643555</v>
      </c>
      <c r="I1156">
        <v>1169.3143310999999</v>
      </c>
      <c r="J1156">
        <v>1100.9927978999999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532.32192199999997</v>
      </c>
      <c r="B1157" s="1">
        <f>DATE(2011,10,15) + TIME(7,43,34)</f>
        <v>40831.321921296294</v>
      </c>
      <c r="C1157">
        <v>80</v>
      </c>
      <c r="D1157">
        <v>79.974899292000003</v>
      </c>
      <c r="E1157">
        <v>50</v>
      </c>
      <c r="F1157">
        <v>29.935922623</v>
      </c>
      <c r="G1157">
        <v>1447.0006103999999</v>
      </c>
      <c r="H1157">
        <v>1415.347168</v>
      </c>
      <c r="I1157">
        <v>1168.7785644999999</v>
      </c>
      <c r="J1157">
        <v>1100.0981445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533.06154100000003</v>
      </c>
      <c r="B1158" s="1">
        <f>DATE(2011,10,16) + TIME(1,28,37)</f>
        <v>40832.061539351853</v>
      </c>
      <c r="C1158">
        <v>80</v>
      </c>
      <c r="D1158">
        <v>79.974922179999993</v>
      </c>
      <c r="E1158">
        <v>50</v>
      </c>
      <c r="F1158">
        <v>29.747497558999999</v>
      </c>
      <c r="G1158">
        <v>1446.8837891000001</v>
      </c>
      <c r="H1158">
        <v>1415.2304687999999</v>
      </c>
      <c r="I1158">
        <v>1168.246582</v>
      </c>
      <c r="J1158">
        <v>1099.2592772999999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534.44277</v>
      </c>
      <c r="B1159" s="1">
        <f>DATE(2011,10,17) + TIME(10,37,35)</f>
        <v>40833.442766203705</v>
      </c>
      <c r="C1159">
        <v>80</v>
      </c>
      <c r="D1159">
        <v>79.974952697999996</v>
      </c>
      <c r="E1159">
        <v>50</v>
      </c>
      <c r="F1159">
        <v>29.587337494</v>
      </c>
      <c r="G1159">
        <v>1446.8223877</v>
      </c>
      <c r="H1159">
        <v>1415.1693115</v>
      </c>
      <c r="I1159">
        <v>1167.9768065999999</v>
      </c>
      <c r="J1159">
        <v>1098.7324219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535.89077799999995</v>
      </c>
      <c r="B1160" s="1">
        <f>DATE(2011,10,18) + TIME(21,22,43)</f>
        <v>40834.890775462962</v>
      </c>
      <c r="C1160">
        <v>80</v>
      </c>
      <c r="D1160">
        <v>79.974990844999994</v>
      </c>
      <c r="E1160">
        <v>50</v>
      </c>
      <c r="F1160">
        <v>29.387571335000001</v>
      </c>
      <c r="G1160">
        <v>1446.7125243999999</v>
      </c>
      <c r="H1160">
        <v>1415.0595702999999</v>
      </c>
      <c r="I1160">
        <v>1167.484375</v>
      </c>
      <c r="J1160">
        <v>1097.9136963000001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537.34662100000003</v>
      </c>
      <c r="B1161" s="1">
        <f>DATE(2011,10,20) + TIME(8,19,8)</f>
        <v>40836.346620370372</v>
      </c>
      <c r="C1161">
        <v>80</v>
      </c>
      <c r="D1161">
        <v>79.975028992000006</v>
      </c>
      <c r="E1161">
        <v>50</v>
      </c>
      <c r="F1161">
        <v>29.175672531</v>
      </c>
      <c r="G1161">
        <v>1446.597168</v>
      </c>
      <c r="H1161">
        <v>1414.9443358999999</v>
      </c>
      <c r="I1161">
        <v>1166.9749756000001</v>
      </c>
      <c r="J1161">
        <v>1097.0551757999999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538.81689500000005</v>
      </c>
      <c r="B1162" s="1">
        <f>DATE(2011,10,21) + TIME(19,36,19)</f>
        <v>40837.816886574074</v>
      </c>
      <c r="C1162">
        <v>80</v>
      </c>
      <c r="D1162">
        <v>79.975059509000005</v>
      </c>
      <c r="E1162">
        <v>50</v>
      </c>
      <c r="F1162">
        <v>28.962970733999999</v>
      </c>
      <c r="G1162">
        <v>1446.4815673999999</v>
      </c>
      <c r="H1162">
        <v>1414.8288574000001</v>
      </c>
      <c r="I1162">
        <v>1166.4714355000001</v>
      </c>
      <c r="J1162">
        <v>1096.1981201000001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539.558898</v>
      </c>
      <c r="B1163" s="1">
        <f>DATE(2011,10,22) + TIME(13,24,48)</f>
        <v>40838.558888888889</v>
      </c>
      <c r="C1163">
        <v>80</v>
      </c>
      <c r="D1163">
        <v>79.975074767999999</v>
      </c>
      <c r="E1163">
        <v>50</v>
      </c>
      <c r="F1163">
        <v>28.785072327000002</v>
      </c>
      <c r="G1163">
        <v>1446.3663329999999</v>
      </c>
      <c r="H1163">
        <v>1414.7137451000001</v>
      </c>
      <c r="I1163">
        <v>1165.9742432</v>
      </c>
      <c r="J1163">
        <v>1095.4002685999999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540.92617299999995</v>
      </c>
      <c r="B1164" s="1">
        <f>DATE(2011,10,23) + TIME(22,13,41)</f>
        <v>40839.926168981481</v>
      </c>
      <c r="C1164">
        <v>80</v>
      </c>
      <c r="D1164">
        <v>79.975112914999997</v>
      </c>
      <c r="E1164">
        <v>50</v>
      </c>
      <c r="F1164">
        <v>28.635290145999999</v>
      </c>
      <c r="G1164">
        <v>1446.3059082</v>
      </c>
      <c r="H1164">
        <v>1414.6533202999999</v>
      </c>
      <c r="I1164">
        <v>1165.7244873</v>
      </c>
      <c r="J1164">
        <v>1094.9007568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542.37839799999995</v>
      </c>
      <c r="B1165" s="1">
        <f>DATE(2011,10,25) + TIME(9,4,53)</f>
        <v>40841.378391203703</v>
      </c>
      <c r="C1165">
        <v>80</v>
      </c>
      <c r="D1165">
        <v>79.975151061999995</v>
      </c>
      <c r="E1165">
        <v>50</v>
      </c>
      <c r="F1165">
        <v>28.450798034999998</v>
      </c>
      <c r="G1165">
        <v>1446.1990966999999</v>
      </c>
      <c r="H1165">
        <v>1414.5466309000001</v>
      </c>
      <c r="I1165">
        <v>1165.2767334</v>
      </c>
      <c r="J1165">
        <v>1094.1396483999999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543.84107400000005</v>
      </c>
      <c r="B1166" s="1">
        <f>DATE(2011,10,26) + TIME(20,11,8)</f>
        <v>40842.841064814813</v>
      </c>
      <c r="C1166">
        <v>80</v>
      </c>
      <c r="D1166">
        <v>79.975181579999997</v>
      </c>
      <c r="E1166">
        <v>50</v>
      </c>
      <c r="F1166">
        <v>28.254810333000002</v>
      </c>
      <c r="G1166">
        <v>1446.0853271000001</v>
      </c>
      <c r="H1166">
        <v>1414.4331055</v>
      </c>
      <c r="I1166">
        <v>1164.8109131000001</v>
      </c>
      <c r="J1166">
        <v>1093.3377685999999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545.32120299999997</v>
      </c>
      <c r="B1167" s="1">
        <f>DATE(2011,10,28) + TIME(7,42,31)</f>
        <v>40844.321192129632</v>
      </c>
      <c r="C1167">
        <v>80</v>
      </c>
      <c r="D1167">
        <v>79.975219726999995</v>
      </c>
      <c r="E1167">
        <v>50</v>
      </c>
      <c r="F1167">
        <v>28.058967590000002</v>
      </c>
      <c r="G1167">
        <v>1445.9711914</v>
      </c>
      <c r="H1167">
        <v>1414.3190918</v>
      </c>
      <c r="I1167">
        <v>1164.3533935999999</v>
      </c>
      <c r="J1167">
        <v>1092.5412598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546.06396600000005</v>
      </c>
      <c r="B1168" s="1">
        <f>DATE(2011,10,29) + TIME(1,32,6)</f>
        <v>40845.063958333332</v>
      </c>
      <c r="C1168">
        <v>80</v>
      </c>
      <c r="D1168">
        <v>79.975234985</v>
      </c>
      <c r="E1168">
        <v>50</v>
      </c>
      <c r="F1168">
        <v>27.896389008</v>
      </c>
      <c r="G1168">
        <v>1445.8570557</v>
      </c>
      <c r="H1168">
        <v>1414.2050781</v>
      </c>
      <c r="I1168">
        <v>1163.9053954999999</v>
      </c>
      <c r="J1168">
        <v>1091.8063964999999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547.41119100000003</v>
      </c>
      <c r="B1169" s="1">
        <f>DATE(2011,10,30) + TIME(9,52,6)</f>
        <v>40846.411180555559</v>
      </c>
      <c r="C1169">
        <v>80</v>
      </c>
      <c r="D1169">
        <v>79.975273131999998</v>
      </c>
      <c r="E1169">
        <v>50</v>
      </c>
      <c r="F1169">
        <v>27.761220932000001</v>
      </c>
      <c r="G1169">
        <v>1445.7973632999999</v>
      </c>
      <c r="H1169">
        <v>1414.1455077999999</v>
      </c>
      <c r="I1169">
        <v>1163.6831055</v>
      </c>
      <c r="J1169">
        <v>1091.3492432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548.86651700000004</v>
      </c>
      <c r="B1170" s="1">
        <f>DATE(2011,10,31) + TIME(20,47,47)</f>
        <v>40847.866516203707</v>
      </c>
      <c r="C1170">
        <v>80</v>
      </c>
      <c r="D1170">
        <v>79.975303650000001</v>
      </c>
      <c r="E1170">
        <v>50</v>
      </c>
      <c r="F1170">
        <v>27.597629547</v>
      </c>
      <c r="G1170">
        <v>1445.6937256000001</v>
      </c>
      <c r="H1170">
        <v>1414.0418701000001</v>
      </c>
      <c r="I1170">
        <v>1163.2940673999999</v>
      </c>
      <c r="J1170">
        <v>1090.6695557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549</v>
      </c>
      <c r="B1171" s="1">
        <f>DATE(2011,11,1) + TIME(0,0,0)</f>
        <v>40848</v>
      </c>
      <c r="C1171">
        <v>80</v>
      </c>
      <c r="D1171">
        <v>79.975296021000005</v>
      </c>
      <c r="E1171">
        <v>50</v>
      </c>
      <c r="F1171">
        <v>27.537849426000001</v>
      </c>
      <c r="G1171">
        <v>1445.5953368999999</v>
      </c>
      <c r="H1171">
        <v>1413.9436035000001</v>
      </c>
      <c r="I1171">
        <v>1162.8959961</v>
      </c>
      <c r="J1171">
        <v>1090.1527100000001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549.000001</v>
      </c>
      <c r="B1172" s="1">
        <f>DATE(2011,11,1) + TIME(0,0,0)</f>
        <v>40848</v>
      </c>
      <c r="C1172">
        <v>80</v>
      </c>
      <c r="D1172">
        <v>79.974990844999994</v>
      </c>
      <c r="E1172">
        <v>50</v>
      </c>
      <c r="F1172">
        <v>27.538158416999998</v>
      </c>
      <c r="G1172">
        <v>1411.7634277</v>
      </c>
      <c r="H1172">
        <v>1380.1279297000001</v>
      </c>
      <c r="I1172">
        <v>1237.7784423999999</v>
      </c>
      <c r="J1172">
        <v>1165.0787353999999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549.00000399999999</v>
      </c>
      <c r="B1173" s="1">
        <f>DATE(2011,11,1) + TIME(0,0,0)</f>
        <v>40848</v>
      </c>
      <c r="C1173">
        <v>80</v>
      </c>
      <c r="D1173">
        <v>79.974205017000003</v>
      </c>
      <c r="E1173">
        <v>50</v>
      </c>
      <c r="F1173">
        <v>27.53902626</v>
      </c>
      <c r="G1173">
        <v>1406.2561035000001</v>
      </c>
      <c r="H1173">
        <v>1374.619751</v>
      </c>
      <c r="I1173">
        <v>1243.8546143000001</v>
      </c>
      <c r="J1173">
        <v>1171.1333007999999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549.00001299999997</v>
      </c>
      <c r="B1174" s="1">
        <f>DATE(2011,11,1) + TIME(0,0,1)</f>
        <v>40848.000011574077</v>
      </c>
      <c r="C1174">
        <v>80</v>
      </c>
      <c r="D1174">
        <v>79.972625731999997</v>
      </c>
      <c r="E1174">
        <v>50</v>
      </c>
      <c r="F1174">
        <v>27.541259766</v>
      </c>
      <c r="G1174">
        <v>1395.1395264</v>
      </c>
      <c r="H1174">
        <v>1363.5021973</v>
      </c>
      <c r="I1174">
        <v>1258.6763916</v>
      </c>
      <c r="J1174">
        <v>1185.9240723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549.00004000000001</v>
      </c>
      <c r="B1175" s="1">
        <f>DATE(2011,11,1) + TIME(0,0,3)</f>
        <v>40848.000034722223</v>
      </c>
      <c r="C1175">
        <v>80</v>
      </c>
      <c r="D1175">
        <v>79.970314025999997</v>
      </c>
      <c r="E1175">
        <v>50</v>
      </c>
      <c r="F1175">
        <v>27.546157836999999</v>
      </c>
      <c r="G1175">
        <v>1378.9056396000001</v>
      </c>
      <c r="H1175">
        <v>1347.2683105000001</v>
      </c>
      <c r="I1175">
        <v>1286.8498535000001</v>
      </c>
      <c r="J1175">
        <v>1214.0922852000001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549.00012100000004</v>
      </c>
      <c r="B1176" s="1">
        <f>DATE(2011,11,1) + TIME(0,0,10)</f>
        <v>40848.000115740739</v>
      </c>
      <c r="C1176">
        <v>80</v>
      </c>
      <c r="D1176">
        <v>79.967727660999998</v>
      </c>
      <c r="E1176">
        <v>50</v>
      </c>
      <c r="F1176">
        <v>27.555723189999998</v>
      </c>
      <c r="G1176">
        <v>1360.8386230000001</v>
      </c>
      <c r="H1176">
        <v>1329.2058105000001</v>
      </c>
      <c r="I1176">
        <v>1325.4484863</v>
      </c>
      <c r="J1176">
        <v>1252.7320557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549.00036399999999</v>
      </c>
      <c r="B1177" s="1">
        <f>DATE(2011,11,1) + TIME(0,0,31)</f>
        <v>40848.000358796293</v>
      </c>
      <c r="C1177">
        <v>80</v>
      </c>
      <c r="D1177">
        <v>79.965080260999997</v>
      </c>
      <c r="E1177">
        <v>50</v>
      </c>
      <c r="F1177">
        <v>27.576103209999999</v>
      </c>
      <c r="G1177">
        <v>1342.6855469</v>
      </c>
      <c r="H1177">
        <v>1311.0584716999999</v>
      </c>
      <c r="I1177">
        <v>1367.1271973</v>
      </c>
      <c r="J1177">
        <v>1294.5050048999999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549.00109299999997</v>
      </c>
      <c r="B1178" s="1">
        <f>DATE(2011,11,1) + TIME(0,1,34)</f>
        <v>40848.001087962963</v>
      </c>
      <c r="C1178">
        <v>80</v>
      </c>
      <c r="D1178">
        <v>79.962303161999998</v>
      </c>
      <c r="E1178">
        <v>50</v>
      </c>
      <c r="F1178">
        <v>27.627822876</v>
      </c>
      <c r="G1178">
        <v>1324.5366211</v>
      </c>
      <c r="H1178">
        <v>1292.9136963000001</v>
      </c>
      <c r="I1178">
        <v>1409.2210693</v>
      </c>
      <c r="J1178">
        <v>1336.7032471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549.00328000000002</v>
      </c>
      <c r="B1179" s="1">
        <f>DATE(2011,11,1) + TIME(0,4,43)</f>
        <v>40848.003275462965</v>
      </c>
      <c r="C1179">
        <v>80</v>
      </c>
      <c r="D1179">
        <v>79.959068298000005</v>
      </c>
      <c r="E1179">
        <v>50</v>
      </c>
      <c r="F1179">
        <v>27.772760390999998</v>
      </c>
      <c r="G1179">
        <v>1306.0124512</v>
      </c>
      <c r="H1179">
        <v>1274.3900146000001</v>
      </c>
      <c r="I1179">
        <v>1451.8786620999999</v>
      </c>
      <c r="J1179">
        <v>1379.5628661999999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549.00984100000005</v>
      </c>
      <c r="B1180" s="1">
        <f>DATE(2011,11,1) + TIME(0,14,10)</f>
        <v>40848.009837962964</v>
      </c>
      <c r="C1180">
        <v>80</v>
      </c>
      <c r="D1180">
        <v>79.954414368000002</v>
      </c>
      <c r="E1180">
        <v>50</v>
      </c>
      <c r="F1180">
        <v>28.190521239999999</v>
      </c>
      <c r="G1180">
        <v>1285.8413086</v>
      </c>
      <c r="H1180">
        <v>1254.2165527</v>
      </c>
      <c r="I1180">
        <v>1494.7133789</v>
      </c>
      <c r="J1180">
        <v>1423.0076904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549.02508599999999</v>
      </c>
      <c r="B1181" s="1">
        <f>DATE(2011,11,1) + TIME(0,36,7)</f>
        <v>40848.025081018517</v>
      </c>
      <c r="C1181">
        <v>80</v>
      </c>
      <c r="D1181">
        <v>79.947723389000004</v>
      </c>
      <c r="E1181">
        <v>50</v>
      </c>
      <c r="F1181">
        <v>29.114562987999999</v>
      </c>
      <c r="G1181">
        <v>1267.1729736</v>
      </c>
      <c r="H1181">
        <v>1235.5454102000001</v>
      </c>
      <c r="I1181">
        <v>1528.3599853999999</v>
      </c>
      <c r="J1181">
        <v>1458.0214844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549.04107699999997</v>
      </c>
      <c r="B1182" s="1">
        <f>DATE(2011,11,1) + TIME(0,59,9)</f>
        <v>40848.041076388887</v>
      </c>
      <c r="C1182">
        <v>80</v>
      </c>
      <c r="D1182">
        <v>79.942108153999996</v>
      </c>
      <c r="E1182">
        <v>50</v>
      </c>
      <c r="F1182">
        <v>30.040424346999998</v>
      </c>
      <c r="G1182">
        <v>1257.5466309000001</v>
      </c>
      <c r="H1182">
        <v>1225.9173584</v>
      </c>
      <c r="I1182">
        <v>1543.4080810999999</v>
      </c>
      <c r="J1182">
        <v>1474.4003906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549.05778599999996</v>
      </c>
      <c r="B1183" s="1">
        <f>DATE(2011,11,1) + TIME(1,23,12)</f>
        <v>40848.05777777778</v>
      </c>
      <c r="C1183">
        <v>80</v>
      </c>
      <c r="D1183">
        <v>79.936973571999999</v>
      </c>
      <c r="E1183">
        <v>50</v>
      </c>
      <c r="F1183">
        <v>30.964067458999999</v>
      </c>
      <c r="G1183">
        <v>1252.3658447</v>
      </c>
      <c r="H1183">
        <v>1220.7353516000001</v>
      </c>
      <c r="I1183">
        <v>1550.3972168</v>
      </c>
      <c r="J1183">
        <v>1482.6772461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549.07525599999997</v>
      </c>
      <c r="B1184" s="1">
        <f>DATE(2011,11,1) + TIME(1,48,22)</f>
        <v>40848.075254629628</v>
      </c>
      <c r="C1184">
        <v>80</v>
      </c>
      <c r="D1184">
        <v>79.932022094999994</v>
      </c>
      <c r="E1184">
        <v>50</v>
      </c>
      <c r="F1184">
        <v>31.884298325</v>
      </c>
      <c r="G1184">
        <v>1249.5819091999999</v>
      </c>
      <c r="H1184">
        <v>1217.9501952999999</v>
      </c>
      <c r="I1184">
        <v>1553.3359375</v>
      </c>
      <c r="J1184">
        <v>1486.8594971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549.09354900000005</v>
      </c>
      <c r="B1185" s="1">
        <f>DATE(2011,11,1) + TIME(2,14,42)</f>
        <v>40848.093541666669</v>
      </c>
      <c r="C1185">
        <v>80</v>
      </c>
      <c r="D1185">
        <v>79.927101135000001</v>
      </c>
      <c r="E1185">
        <v>50</v>
      </c>
      <c r="F1185">
        <v>32.800525665000002</v>
      </c>
      <c r="G1185">
        <v>1248.1138916</v>
      </c>
      <c r="H1185">
        <v>1216.4810791</v>
      </c>
      <c r="I1185">
        <v>1554.1185303</v>
      </c>
      <c r="J1185">
        <v>1488.8419189000001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549.11274600000002</v>
      </c>
      <c r="B1186" s="1">
        <f>DATE(2011,11,1) + TIME(2,42,21)</f>
        <v>40848.112743055557</v>
      </c>
      <c r="C1186">
        <v>80</v>
      </c>
      <c r="D1186">
        <v>79.922119140999996</v>
      </c>
      <c r="E1186">
        <v>50</v>
      </c>
      <c r="F1186">
        <v>33.712448119999998</v>
      </c>
      <c r="G1186">
        <v>1247.3615723</v>
      </c>
      <c r="H1186">
        <v>1215.7276611</v>
      </c>
      <c r="I1186">
        <v>1553.7412108999999</v>
      </c>
      <c r="J1186">
        <v>1489.6223144999999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549.13294199999996</v>
      </c>
      <c r="B1187" s="1">
        <f>DATE(2011,11,1) + TIME(3,11,26)</f>
        <v>40848.132939814815</v>
      </c>
      <c r="C1187">
        <v>80</v>
      </c>
      <c r="D1187">
        <v>79.917015075999998</v>
      </c>
      <c r="E1187">
        <v>50</v>
      </c>
      <c r="F1187">
        <v>34.619823455999999</v>
      </c>
      <c r="G1187">
        <v>1246.9902344</v>
      </c>
      <c r="H1187">
        <v>1215.3552245999999</v>
      </c>
      <c r="I1187">
        <v>1552.7498779</v>
      </c>
      <c r="J1187">
        <v>1489.7479248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549.15424800000005</v>
      </c>
      <c r="B1188" s="1">
        <f>DATE(2011,11,1) + TIME(3,42,7)</f>
        <v>40848.154247685183</v>
      </c>
      <c r="C1188">
        <v>80</v>
      </c>
      <c r="D1188">
        <v>79.911735535000005</v>
      </c>
      <c r="E1188">
        <v>50</v>
      </c>
      <c r="F1188">
        <v>35.522323608000001</v>
      </c>
      <c r="G1188">
        <v>1246.8157959</v>
      </c>
      <c r="H1188">
        <v>1215.1796875</v>
      </c>
      <c r="I1188">
        <v>1551.4461670000001</v>
      </c>
      <c r="J1188">
        <v>1489.5219727000001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549.17679499999997</v>
      </c>
      <c r="B1189" s="1">
        <f>DATE(2011,11,1) + TIME(4,14,35)</f>
        <v>40848.176793981482</v>
      </c>
      <c r="C1189">
        <v>80</v>
      </c>
      <c r="D1189">
        <v>79.906257628999995</v>
      </c>
      <c r="E1189">
        <v>50</v>
      </c>
      <c r="F1189">
        <v>36.419589995999999</v>
      </c>
      <c r="G1189">
        <v>1246.7390137</v>
      </c>
      <c r="H1189">
        <v>1215.1018065999999</v>
      </c>
      <c r="I1189">
        <v>1549.9954834</v>
      </c>
      <c r="J1189">
        <v>1489.1112060999999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549.200738</v>
      </c>
      <c r="B1190" s="1">
        <f>DATE(2011,11,1) + TIME(4,49,3)</f>
        <v>40848.200729166667</v>
      </c>
      <c r="C1190">
        <v>80</v>
      </c>
      <c r="D1190">
        <v>79.900535583000007</v>
      </c>
      <c r="E1190">
        <v>50</v>
      </c>
      <c r="F1190">
        <v>37.311210631999998</v>
      </c>
      <c r="G1190">
        <v>1246.7082519999999</v>
      </c>
      <c r="H1190">
        <v>1215.0698242000001</v>
      </c>
      <c r="I1190">
        <v>1548.4869385</v>
      </c>
      <c r="J1190">
        <v>1488.6060791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549.22626300000002</v>
      </c>
      <c r="B1191" s="1">
        <f>DATE(2011,11,1) + TIME(5,25,49)</f>
        <v>40848.226261574076</v>
      </c>
      <c r="C1191">
        <v>80</v>
      </c>
      <c r="D1191">
        <v>79.894546508999994</v>
      </c>
      <c r="E1191">
        <v>50</v>
      </c>
      <c r="F1191">
        <v>38.196708678999997</v>
      </c>
      <c r="G1191">
        <v>1246.6972656</v>
      </c>
      <c r="H1191">
        <v>1215.0576172000001</v>
      </c>
      <c r="I1191">
        <v>1546.9670410000001</v>
      </c>
      <c r="J1191">
        <v>1488.0543213000001</v>
      </c>
      <c r="K1191">
        <v>0</v>
      </c>
      <c r="L1191">
        <v>2400</v>
      </c>
      <c r="M1191">
        <v>2400</v>
      </c>
      <c r="N1191">
        <v>0</v>
      </c>
    </row>
    <row r="1192" spans="1:14" x14ac:dyDescent="0.25">
      <c r="A1192">
        <v>549.25359400000002</v>
      </c>
      <c r="B1192" s="1">
        <f>DATE(2011,11,1) + TIME(6,5,10)</f>
        <v>40848.253587962965</v>
      </c>
      <c r="C1192">
        <v>80</v>
      </c>
      <c r="D1192">
        <v>79.888244628999999</v>
      </c>
      <c r="E1192">
        <v>50</v>
      </c>
      <c r="F1192">
        <v>39.075523376</v>
      </c>
      <c r="G1192">
        <v>1246.6939697</v>
      </c>
      <c r="H1192">
        <v>1215.0529785000001</v>
      </c>
      <c r="I1192">
        <v>1545.4593506000001</v>
      </c>
      <c r="J1192">
        <v>1487.4804687999999</v>
      </c>
      <c r="K1192">
        <v>0</v>
      </c>
      <c r="L1192">
        <v>2400</v>
      </c>
      <c r="M1192">
        <v>2400</v>
      </c>
      <c r="N1192">
        <v>0</v>
      </c>
    </row>
    <row r="1193" spans="1:14" x14ac:dyDescent="0.25">
      <c r="A1193">
        <v>549.283006</v>
      </c>
      <c r="B1193" s="1">
        <f>DATE(2011,11,1) + TIME(6,47,31)</f>
        <v>40848.282997685186</v>
      </c>
      <c r="C1193">
        <v>80</v>
      </c>
      <c r="D1193">
        <v>79.881576538000004</v>
      </c>
      <c r="E1193">
        <v>50</v>
      </c>
      <c r="F1193">
        <v>39.946979523000003</v>
      </c>
      <c r="G1193">
        <v>1246.6926269999999</v>
      </c>
      <c r="H1193">
        <v>1215.050293</v>
      </c>
      <c r="I1193">
        <v>1543.9747314000001</v>
      </c>
      <c r="J1193">
        <v>1486.8964844</v>
      </c>
      <c r="K1193">
        <v>0</v>
      </c>
      <c r="L1193">
        <v>2400</v>
      </c>
      <c r="M1193">
        <v>2400</v>
      </c>
      <c r="N1193">
        <v>0</v>
      </c>
    </row>
    <row r="1194" spans="1:14" x14ac:dyDescent="0.25">
      <c r="A1194">
        <v>549.31483800000001</v>
      </c>
      <c r="B1194" s="1">
        <f>DATE(2011,11,1) + TIME(7,33,22)</f>
        <v>40848.314837962964</v>
      </c>
      <c r="C1194">
        <v>80</v>
      </c>
      <c r="D1194">
        <v>79.874496460000003</v>
      </c>
      <c r="E1194">
        <v>50</v>
      </c>
      <c r="F1194">
        <v>40.810470580999997</v>
      </c>
      <c r="G1194">
        <v>1246.6911620999999</v>
      </c>
      <c r="H1194">
        <v>1215.0473632999999</v>
      </c>
      <c r="I1194">
        <v>1542.5174560999999</v>
      </c>
      <c r="J1194">
        <v>1486.3074951000001</v>
      </c>
      <c r="K1194">
        <v>0</v>
      </c>
      <c r="L1194">
        <v>2400</v>
      </c>
      <c r="M1194">
        <v>2400</v>
      </c>
      <c r="N1194">
        <v>0</v>
      </c>
    </row>
    <row r="1195" spans="1:14" x14ac:dyDescent="0.25">
      <c r="A1195">
        <v>549.34951899999999</v>
      </c>
      <c r="B1195" s="1">
        <f>DATE(2011,11,1) + TIME(8,23,18)</f>
        <v>40848.34951388889</v>
      </c>
      <c r="C1195">
        <v>80</v>
      </c>
      <c r="D1195">
        <v>79.866935729999994</v>
      </c>
      <c r="E1195">
        <v>50</v>
      </c>
      <c r="F1195">
        <v>41.664836884000003</v>
      </c>
      <c r="G1195">
        <v>1246.6887207</v>
      </c>
      <c r="H1195">
        <v>1215.0433350000001</v>
      </c>
      <c r="I1195">
        <v>1541.0886230000001</v>
      </c>
      <c r="J1195">
        <v>1485.7149658000001</v>
      </c>
      <c r="K1195">
        <v>0</v>
      </c>
      <c r="L1195">
        <v>2400</v>
      </c>
      <c r="M1195">
        <v>2400</v>
      </c>
      <c r="N1195">
        <v>0</v>
      </c>
    </row>
    <row r="1196" spans="1:14" x14ac:dyDescent="0.25">
      <c r="A1196">
        <v>549.38758600000006</v>
      </c>
      <c r="B1196" s="1">
        <f>DATE(2011,11,1) + TIME(9,18,7)</f>
        <v>40848.38758101852</v>
      </c>
      <c r="C1196">
        <v>80</v>
      </c>
      <c r="D1196">
        <v>79.858795165999993</v>
      </c>
      <c r="E1196">
        <v>50</v>
      </c>
      <c r="F1196">
        <v>42.508655548</v>
      </c>
      <c r="G1196">
        <v>1246.6851807</v>
      </c>
      <c r="H1196">
        <v>1215.0382079999999</v>
      </c>
      <c r="I1196">
        <v>1539.6875</v>
      </c>
      <c r="J1196">
        <v>1485.1184082</v>
      </c>
      <c r="K1196">
        <v>0</v>
      </c>
      <c r="L1196">
        <v>2400</v>
      </c>
      <c r="M1196">
        <v>2400</v>
      </c>
      <c r="N1196">
        <v>0</v>
      </c>
    </row>
    <row r="1197" spans="1:14" x14ac:dyDescent="0.25">
      <c r="A1197">
        <v>549.42975899999999</v>
      </c>
      <c r="B1197" s="1">
        <f>DATE(2011,11,1) + TIME(10,18,51)</f>
        <v>40848.429756944446</v>
      </c>
      <c r="C1197">
        <v>80</v>
      </c>
      <c r="D1197">
        <v>79.849967957000004</v>
      </c>
      <c r="E1197">
        <v>50</v>
      </c>
      <c r="F1197">
        <v>43.340549469000003</v>
      </c>
      <c r="G1197">
        <v>1246.6807861</v>
      </c>
      <c r="H1197">
        <v>1215.0319824000001</v>
      </c>
      <c r="I1197">
        <v>1538.3121338000001</v>
      </c>
      <c r="J1197">
        <v>1484.5162353999999</v>
      </c>
      <c r="K1197">
        <v>0</v>
      </c>
      <c r="L1197">
        <v>2400</v>
      </c>
      <c r="M1197">
        <v>2400</v>
      </c>
      <c r="N1197">
        <v>0</v>
      </c>
    </row>
    <row r="1198" spans="1:14" x14ac:dyDescent="0.25">
      <c r="A1198">
        <v>549.47699499999999</v>
      </c>
      <c r="B1198" s="1">
        <f>DATE(2011,11,1) + TIME(11,26,52)</f>
        <v>40848.476990740739</v>
      </c>
      <c r="C1198">
        <v>80</v>
      </c>
      <c r="D1198">
        <v>79.840309142999999</v>
      </c>
      <c r="E1198">
        <v>50</v>
      </c>
      <c r="F1198">
        <v>44.158561706999997</v>
      </c>
      <c r="G1198">
        <v>1246.6754149999999</v>
      </c>
      <c r="H1198">
        <v>1215.0246582</v>
      </c>
      <c r="I1198">
        <v>1536.9598389</v>
      </c>
      <c r="J1198">
        <v>1483.9056396000001</v>
      </c>
      <c r="K1198">
        <v>0</v>
      </c>
      <c r="L1198">
        <v>2400</v>
      </c>
      <c r="M1198">
        <v>2400</v>
      </c>
      <c r="N1198">
        <v>0</v>
      </c>
    </row>
    <row r="1199" spans="1:14" x14ac:dyDescent="0.25">
      <c r="A1199">
        <v>549.53060600000003</v>
      </c>
      <c r="B1199" s="1">
        <f>DATE(2011,11,1) + TIME(12,44,4)</f>
        <v>40848.530601851853</v>
      </c>
      <c r="C1199">
        <v>80</v>
      </c>
      <c r="D1199">
        <v>79.829612732000001</v>
      </c>
      <c r="E1199">
        <v>50</v>
      </c>
      <c r="F1199">
        <v>44.960121155000003</v>
      </c>
      <c r="G1199">
        <v>1246.6691894999999</v>
      </c>
      <c r="H1199">
        <v>1215.0163574000001</v>
      </c>
      <c r="I1199">
        <v>1535.6275635</v>
      </c>
      <c r="J1199">
        <v>1483.2827147999999</v>
      </c>
      <c r="K1199">
        <v>0</v>
      </c>
      <c r="L1199">
        <v>2400</v>
      </c>
      <c r="M1199">
        <v>2400</v>
      </c>
      <c r="N1199">
        <v>0</v>
      </c>
    </row>
    <row r="1200" spans="1:14" x14ac:dyDescent="0.25">
      <c r="A1200">
        <v>549.59246099999996</v>
      </c>
      <c r="B1200" s="1">
        <f>DATE(2011,11,1) + TIME(14,13,8)</f>
        <v>40848.592453703706</v>
      </c>
      <c r="C1200">
        <v>80</v>
      </c>
      <c r="D1200">
        <v>79.817611693999993</v>
      </c>
      <c r="E1200">
        <v>50</v>
      </c>
      <c r="F1200">
        <v>45.741813659999998</v>
      </c>
      <c r="G1200">
        <v>1246.6619873</v>
      </c>
      <c r="H1200">
        <v>1215.0067139</v>
      </c>
      <c r="I1200">
        <v>1534.3116454999999</v>
      </c>
      <c r="J1200">
        <v>1482.6425781</v>
      </c>
      <c r="K1200">
        <v>0</v>
      </c>
      <c r="L1200">
        <v>2400</v>
      </c>
      <c r="M1200">
        <v>2400</v>
      </c>
      <c r="N1200">
        <v>0</v>
      </c>
    </row>
    <row r="1201" spans="1:14" x14ac:dyDescent="0.25">
      <c r="A1201">
        <v>549.66015900000002</v>
      </c>
      <c r="B1201" s="1">
        <f>DATE(2011,11,1) + TIME(15,50,37)</f>
        <v>40848.660150462965</v>
      </c>
      <c r="C1201">
        <v>80</v>
      </c>
      <c r="D1201">
        <v>79.804710388000004</v>
      </c>
      <c r="E1201">
        <v>50</v>
      </c>
      <c r="F1201">
        <v>46.454246521000002</v>
      </c>
      <c r="G1201">
        <v>1246.6535644999999</v>
      </c>
      <c r="H1201">
        <v>1214.9957274999999</v>
      </c>
      <c r="I1201">
        <v>1533.0667725000001</v>
      </c>
      <c r="J1201">
        <v>1481.9997559000001</v>
      </c>
      <c r="K1201">
        <v>0</v>
      </c>
      <c r="L1201">
        <v>2400</v>
      </c>
      <c r="M1201">
        <v>2400</v>
      </c>
      <c r="N1201">
        <v>0</v>
      </c>
    </row>
    <row r="1202" spans="1:14" x14ac:dyDescent="0.25">
      <c r="A1202">
        <v>549.72837100000004</v>
      </c>
      <c r="B1202" s="1">
        <f>DATE(2011,11,1) + TIME(17,28,51)</f>
        <v>40848.728368055556</v>
      </c>
      <c r="C1202">
        <v>80</v>
      </c>
      <c r="D1202">
        <v>79.791748046999999</v>
      </c>
      <c r="E1202">
        <v>50</v>
      </c>
      <c r="F1202">
        <v>47.051048279</v>
      </c>
      <c r="G1202">
        <v>1246.6442870999999</v>
      </c>
      <c r="H1202">
        <v>1214.9838867000001</v>
      </c>
      <c r="I1202">
        <v>1531.9611815999999</v>
      </c>
      <c r="J1202">
        <v>1481.3885498</v>
      </c>
      <c r="K1202">
        <v>0</v>
      </c>
      <c r="L1202">
        <v>2400</v>
      </c>
      <c r="M1202">
        <v>2400</v>
      </c>
      <c r="N1202">
        <v>0</v>
      </c>
    </row>
    <row r="1203" spans="1:14" x14ac:dyDescent="0.25">
      <c r="A1203">
        <v>549.79815099999996</v>
      </c>
      <c r="B1203" s="1">
        <f>DATE(2011,11,1) + TIME(19,9,20)</f>
        <v>40848.798148148147</v>
      </c>
      <c r="C1203">
        <v>80</v>
      </c>
      <c r="D1203">
        <v>79.778556824000006</v>
      </c>
      <c r="E1203">
        <v>50</v>
      </c>
      <c r="F1203">
        <v>47.556499481000003</v>
      </c>
      <c r="G1203">
        <v>1246.6348877</v>
      </c>
      <c r="H1203">
        <v>1214.9719238</v>
      </c>
      <c r="I1203">
        <v>1530.9847411999999</v>
      </c>
      <c r="J1203">
        <v>1480.8244629000001</v>
      </c>
      <c r="K1203">
        <v>0</v>
      </c>
      <c r="L1203">
        <v>2400</v>
      </c>
      <c r="M1203">
        <v>2400</v>
      </c>
      <c r="N1203">
        <v>0</v>
      </c>
    </row>
    <row r="1204" spans="1:14" x14ac:dyDescent="0.25">
      <c r="A1204">
        <v>549.870047</v>
      </c>
      <c r="B1204" s="1">
        <f>DATE(2011,11,1) + TIME(20,52,52)</f>
        <v>40848.870046296295</v>
      </c>
      <c r="C1204">
        <v>80</v>
      </c>
      <c r="D1204">
        <v>79.765052795000003</v>
      </c>
      <c r="E1204">
        <v>50</v>
      </c>
      <c r="F1204">
        <v>47.985301970999998</v>
      </c>
      <c r="G1204">
        <v>1246.6252440999999</v>
      </c>
      <c r="H1204">
        <v>1214.9595947</v>
      </c>
      <c r="I1204">
        <v>1530.1107178</v>
      </c>
      <c r="J1204">
        <v>1480.2961425999999</v>
      </c>
      <c r="K1204">
        <v>0</v>
      </c>
      <c r="L1204">
        <v>2400</v>
      </c>
      <c r="M1204">
        <v>2400</v>
      </c>
      <c r="N1204">
        <v>0</v>
      </c>
    </row>
    <row r="1205" spans="1:14" x14ac:dyDescent="0.25">
      <c r="A1205">
        <v>549.944658</v>
      </c>
      <c r="B1205" s="1">
        <f>DATE(2011,11,1) + TIME(22,40,18)</f>
        <v>40848.944652777776</v>
      </c>
      <c r="C1205">
        <v>80</v>
      </c>
      <c r="D1205">
        <v>79.751159668</v>
      </c>
      <c r="E1205">
        <v>50</v>
      </c>
      <c r="F1205">
        <v>48.349197388</v>
      </c>
      <c r="G1205">
        <v>1246.6152344</v>
      </c>
      <c r="H1205">
        <v>1214.9470214999999</v>
      </c>
      <c r="I1205">
        <v>1529.3201904</v>
      </c>
      <c r="J1205">
        <v>1479.7960204999999</v>
      </c>
      <c r="K1205">
        <v>0</v>
      </c>
      <c r="L1205">
        <v>2400</v>
      </c>
      <c r="M1205">
        <v>2400</v>
      </c>
      <c r="N1205">
        <v>0</v>
      </c>
    </row>
    <row r="1206" spans="1:14" x14ac:dyDescent="0.25">
      <c r="A1206">
        <v>550.02262900000005</v>
      </c>
      <c r="B1206" s="1">
        <f>DATE(2011,11,2) + TIME(0,32,35)</f>
        <v>40849.022627314815</v>
      </c>
      <c r="C1206">
        <v>80</v>
      </c>
      <c r="D1206">
        <v>79.736762999999996</v>
      </c>
      <c r="E1206">
        <v>50</v>
      </c>
      <c r="F1206">
        <v>48.657588959000002</v>
      </c>
      <c r="G1206">
        <v>1246.6049805</v>
      </c>
      <c r="H1206">
        <v>1214.9338379000001</v>
      </c>
      <c r="I1206">
        <v>1528.5980225000001</v>
      </c>
      <c r="J1206">
        <v>1479.3181152</v>
      </c>
      <c r="K1206">
        <v>0</v>
      </c>
      <c r="L1206">
        <v>2400</v>
      </c>
      <c r="M1206">
        <v>2400</v>
      </c>
      <c r="N1206">
        <v>0</v>
      </c>
    </row>
    <row r="1207" spans="1:14" x14ac:dyDescent="0.25">
      <c r="A1207">
        <v>550.10468400000002</v>
      </c>
      <c r="B1207" s="1">
        <f>DATE(2011,11,2) + TIME(2,30,44)</f>
        <v>40849.104675925926</v>
      </c>
      <c r="C1207">
        <v>80</v>
      </c>
      <c r="D1207">
        <v>79.721763611</v>
      </c>
      <c r="E1207">
        <v>50</v>
      </c>
      <c r="F1207">
        <v>48.918163300000003</v>
      </c>
      <c r="G1207">
        <v>1246.5941161999999</v>
      </c>
      <c r="H1207">
        <v>1214.9200439000001</v>
      </c>
      <c r="I1207">
        <v>1527.9318848</v>
      </c>
      <c r="J1207">
        <v>1478.8571777</v>
      </c>
      <c r="K1207">
        <v>0</v>
      </c>
      <c r="L1207">
        <v>2400</v>
      </c>
      <c r="M1207">
        <v>2400</v>
      </c>
      <c r="N1207">
        <v>0</v>
      </c>
    </row>
    <row r="1208" spans="1:14" x14ac:dyDescent="0.25">
      <c r="A1208">
        <v>550.19166499999994</v>
      </c>
      <c r="B1208" s="1">
        <f>DATE(2011,11,2) + TIME(4,35,59)</f>
        <v>40849.191655092596</v>
      </c>
      <c r="C1208">
        <v>80</v>
      </c>
      <c r="D1208">
        <v>79.706031799000002</v>
      </c>
      <c r="E1208">
        <v>50</v>
      </c>
      <c r="F1208">
        <v>49.137329102000002</v>
      </c>
      <c r="G1208">
        <v>1246.5827637</v>
      </c>
      <c r="H1208">
        <v>1214.9056396000001</v>
      </c>
      <c r="I1208">
        <v>1527.3112793</v>
      </c>
      <c r="J1208">
        <v>1478.4085693</v>
      </c>
      <c r="K1208">
        <v>0</v>
      </c>
      <c r="L1208">
        <v>2400</v>
      </c>
      <c r="M1208">
        <v>2400</v>
      </c>
      <c r="N1208">
        <v>0</v>
      </c>
    </row>
    <row r="1209" spans="1:14" x14ac:dyDescent="0.25">
      <c r="A1209">
        <v>550.284584</v>
      </c>
      <c r="B1209" s="1">
        <f>DATE(2011,11,2) + TIME(6,49,48)</f>
        <v>40849.284583333334</v>
      </c>
      <c r="C1209">
        <v>80</v>
      </c>
      <c r="D1209">
        <v>79.689422606999997</v>
      </c>
      <c r="E1209">
        <v>50</v>
      </c>
      <c r="F1209">
        <v>49.320514678999999</v>
      </c>
      <c r="G1209">
        <v>1246.5708007999999</v>
      </c>
      <c r="H1209">
        <v>1214.8903809000001</v>
      </c>
      <c r="I1209">
        <v>1526.7272949000001</v>
      </c>
      <c r="J1209">
        <v>1477.9678954999999</v>
      </c>
      <c r="K1209">
        <v>0</v>
      </c>
      <c r="L1209">
        <v>2400</v>
      </c>
      <c r="M1209">
        <v>2400</v>
      </c>
      <c r="N1209">
        <v>0</v>
      </c>
    </row>
    <row r="1210" spans="1:14" x14ac:dyDescent="0.25">
      <c r="A1210">
        <v>550.38466600000004</v>
      </c>
      <c r="B1210" s="1">
        <f>DATE(2011,11,2) + TIME(9,13,55)</f>
        <v>40849.384664351855</v>
      </c>
      <c r="C1210">
        <v>80</v>
      </c>
      <c r="D1210">
        <v>79.671760559000006</v>
      </c>
      <c r="E1210">
        <v>50</v>
      </c>
      <c r="F1210">
        <v>49.472347259999999</v>
      </c>
      <c r="G1210">
        <v>1246.5578613</v>
      </c>
      <c r="H1210">
        <v>1214.8740233999999</v>
      </c>
      <c r="I1210">
        <v>1526.1715088000001</v>
      </c>
      <c r="J1210">
        <v>1477.53125</v>
      </c>
      <c r="K1210">
        <v>0</v>
      </c>
      <c r="L1210">
        <v>2400</v>
      </c>
      <c r="M1210">
        <v>2400</v>
      </c>
      <c r="N1210">
        <v>0</v>
      </c>
    </row>
    <row r="1211" spans="1:14" x14ac:dyDescent="0.25">
      <c r="A1211">
        <v>550.49349600000005</v>
      </c>
      <c r="B1211" s="1">
        <f>DATE(2011,11,2) + TIME(11,50,38)</f>
        <v>40849.493495370371</v>
      </c>
      <c r="C1211">
        <v>80</v>
      </c>
      <c r="D1211">
        <v>79.652816771999994</v>
      </c>
      <c r="E1211">
        <v>50</v>
      </c>
      <c r="F1211">
        <v>49.596904754999997</v>
      </c>
      <c r="G1211">
        <v>1246.5440673999999</v>
      </c>
      <c r="H1211">
        <v>1214.8564452999999</v>
      </c>
      <c r="I1211">
        <v>1525.6365966999999</v>
      </c>
      <c r="J1211">
        <v>1477.0943603999999</v>
      </c>
      <c r="K1211">
        <v>0</v>
      </c>
      <c r="L1211">
        <v>2400</v>
      </c>
      <c r="M1211">
        <v>2400</v>
      </c>
      <c r="N1211">
        <v>0</v>
      </c>
    </row>
    <row r="1212" spans="1:14" x14ac:dyDescent="0.25">
      <c r="A1212">
        <v>550.61311599999999</v>
      </c>
      <c r="B1212" s="1">
        <f>DATE(2011,11,2) + TIME(14,42,53)</f>
        <v>40849.613113425927</v>
      </c>
      <c r="C1212">
        <v>80</v>
      </c>
      <c r="D1212">
        <v>79.632308960000003</v>
      </c>
      <c r="E1212">
        <v>50</v>
      </c>
      <c r="F1212">
        <v>49.697765349999997</v>
      </c>
      <c r="G1212">
        <v>1246.5289307</v>
      </c>
      <c r="H1212">
        <v>1214.8372803</v>
      </c>
      <c r="I1212">
        <v>1525.1151123</v>
      </c>
      <c r="J1212">
        <v>1476.652832</v>
      </c>
      <c r="K1212">
        <v>0</v>
      </c>
      <c r="L1212">
        <v>2400</v>
      </c>
      <c r="M1212">
        <v>2400</v>
      </c>
      <c r="N1212">
        <v>0</v>
      </c>
    </row>
    <row r="1213" spans="1:14" x14ac:dyDescent="0.25">
      <c r="A1213">
        <v>550.74383399999999</v>
      </c>
      <c r="B1213" s="1">
        <f>DATE(2011,11,2) + TIME(17,51,7)</f>
        <v>40849.743831018517</v>
      </c>
      <c r="C1213">
        <v>80</v>
      </c>
      <c r="D1213">
        <v>79.610176085999996</v>
      </c>
      <c r="E1213">
        <v>50</v>
      </c>
      <c r="F1213">
        <v>49.777053832999997</v>
      </c>
      <c r="G1213">
        <v>1246.5123291</v>
      </c>
      <c r="H1213">
        <v>1214.8164062000001</v>
      </c>
      <c r="I1213">
        <v>1524.6008300999999</v>
      </c>
      <c r="J1213">
        <v>1476.2021483999999</v>
      </c>
      <c r="K1213">
        <v>0</v>
      </c>
      <c r="L1213">
        <v>2400</v>
      </c>
      <c r="M1213">
        <v>2400</v>
      </c>
      <c r="N1213">
        <v>0</v>
      </c>
    </row>
    <row r="1214" spans="1:14" x14ac:dyDescent="0.25">
      <c r="A1214">
        <v>550.88691400000005</v>
      </c>
      <c r="B1214" s="1">
        <f>DATE(2011,11,2) + TIME(21,17,9)</f>
        <v>40849.88690972222</v>
      </c>
      <c r="C1214">
        <v>80</v>
      </c>
      <c r="D1214">
        <v>79.586219787999994</v>
      </c>
      <c r="E1214">
        <v>50</v>
      </c>
      <c r="F1214">
        <v>49.837913512999997</v>
      </c>
      <c r="G1214">
        <v>1246.4942627</v>
      </c>
      <c r="H1214">
        <v>1214.7935791</v>
      </c>
      <c r="I1214">
        <v>1524.0931396000001</v>
      </c>
      <c r="J1214">
        <v>1475.7443848</v>
      </c>
      <c r="K1214">
        <v>0</v>
      </c>
      <c r="L1214">
        <v>2400</v>
      </c>
      <c r="M1214">
        <v>2400</v>
      </c>
      <c r="N1214">
        <v>0</v>
      </c>
    </row>
    <row r="1215" spans="1:14" x14ac:dyDescent="0.25">
      <c r="A1215">
        <v>551.03027699999996</v>
      </c>
      <c r="B1215" s="1">
        <f>DATE(2011,11,3) + TIME(0,43,35)</f>
        <v>40850.030266203707</v>
      </c>
      <c r="C1215">
        <v>80</v>
      </c>
      <c r="D1215">
        <v>79.561782836999996</v>
      </c>
      <c r="E1215">
        <v>50</v>
      </c>
      <c r="F1215">
        <v>49.880676270000002</v>
      </c>
      <c r="G1215">
        <v>1246.4742432</v>
      </c>
      <c r="H1215">
        <v>1214.7689209</v>
      </c>
      <c r="I1215">
        <v>1523.5920410000001</v>
      </c>
      <c r="J1215">
        <v>1475.2795410000001</v>
      </c>
      <c r="K1215">
        <v>0</v>
      </c>
      <c r="L1215">
        <v>2400</v>
      </c>
      <c r="M1215">
        <v>2400</v>
      </c>
      <c r="N1215">
        <v>0</v>
      </c>
    </row>
    <row r="1216" spans="1:14" x14ac:dyDescent="0.25">
      <c r="A1216">
        <v>551.17547300000001</v>
      </c>
      <c r="B1216" s="1">
        <f>DATE(2011,11,3) + TIME(4,12,40)</f>
        <v>40850.175462962965</v>
      </c>
      <c r="C1216">
        <v>80</v>
      </c>
      <c r="D1216">
        <v>79.536872864000003</v>
      </c>
      <c r="E1216">
        <v>50</v>
      </c>
      <c r="F1216">
        <v>49.910964966000002</v>
      </c>
      <c r="G1216">
        <v>1246.4542236</v>
      </c>
      <c r="H1216">
        <v>1214.7441406</v>
      </c>
      <c r="I1216">
        <v>1523.1303711</v>
      </c>
      <c r="J1216">
        <v>1474.8448486</v>
      </c>
      <c r="K1216">
        <v>0</v>
      </c>
      <c r="L1216">
        <v>2400</v>
      </c>
      <c r="M1216">
        <v>2400</v>
      </c>
      <c r="N1216">
        <v>0</v>
      </c>
    </row>
    <row r="1217" spans="1:14" x14ac:dyDescent="0.25">
      <c r="A1217">
        <v>551.32398799999999</v>
      </c>
      <c r="B1217" s="1">
        <f>DATE(2011,11,3) + TIME(7,46,32)</f>
        <v>40850.323981481481</v>
      </c>
      <c r="C1217">
        <v>80</v>
      </c>
      <c r="D1217">
        <v>79.511383057000003</v>
      </c>
      <c r="E1217">
        <v>50</v>
      </c>
      <c r="F1217">
        <v>49.932510376000003</v>
      </c>
      <c r="G1217">
        <v>1246.4339600000001</v>
      </c>
      <c r="H1217">
        <v>1214.7188721</v>
      </c>
      <c r="I1217">
        <v>1522.6975098</v>
      </c>
      <c r="J1217">
        <v>1474.4323730000001</v>
      </c>
      <c r="K1217">
        <v>0</v>
      </c>
      <c r="L1217">
        <v>2400</v>
      </c>
      <c r="M1217">
        <v>2400</v>
      </c>
      <c r="N1217">
        <v>0</v>
      </c>
    </row>
    <row r="1218" spans="1:14" x14ac:dyDescent="0.25">
      <c r="A1218">
        <v>551.47723699999995</v>
      </c>
      <c r="B1218" s="1">
        <f>DATE(2011,11,3) + TIME(11,27,13)</f>
        <v>40850.477233796293</v>
      </c>
      <c r="C1218">
        <v>80</v>
      </c>
      <c r="D1218">
        <v>79.485198975000003</v>
      </c>
      <c r="E1218">
        <v>50</v>
      </c>
      <c r="F1218">
        <v>49.947845459</v>
      </c>
      <c r="G1218">
        <v>1246.4132079999999</v>
      </c>
      <c r="H1218">
        <v>1214.6929932</v>
      </c>
      <c r="I1218">
        <v>1522.2851562000001</v>
      </c>
      <c r="J1218">
        <v>1474.0357666</v>
      </c>
      <c r="K1218">
        <v>0</v>
      </c>
      <c r="L1218">
        <v>2400</v>
      </c>
      <c r="M1218">
        <v>2400</v>
      </c>
      <c r="N1218">
        <v>0</v>
      </c>
    </row>
    <row r="1219" spans="1:14" x14ac:dyDescent="0.25">
      <c r="A1219">
        <v>551.63668399999995</v>
      </c>
      <c r="B1219" s="1">
        <f>DATE(2011,11,3) + TIME(15,16,49)</f>
        <v>40850.636678240742</v>
      </c>
      <c r="C1219">
        <v>80</v>
      </c>
      <c r="D1219">
        <v>79.458152771000002</v>
      </c>
      <c r="E1219">
        <v>50</v>
      </c>
      <c r="F1219">
        <v>49.958736420000001</v>
      </c>
      <c r="G1219">
        <v>1246.3918457</v>
      </c>
      <c r="H1219">
        <v>1214.6662598</v>
      </c>
      <c r="I1219">
        <v>1521.8870850000001</v>
      </c>
      <c r="J1219">
        <v>1473.6501464999999</v>
      </c>
      <c r="K1219">
        <v>0</v>
      </c>
      <c r="L1219">
        <v>2400</v>
      </c>
      <c r="M1219">
        <v>2400</v>
      </c>
      <c r="N1219">
        <v>0</v>
      </c>
    </row>
    <row r="1220" spans="1:14" x14ac:dyDescent="0.25">
      <c r="A1220">
        <v>551.803945</v>
      </c>
      <c r="B1220" s="1">
        <f>DATE(2011,11,3) + TIME(19,17,40)</f>
        <v>40850.803935185184</v>
      </c>
      <c r="C1220">
        <v>80</v>
      </c>
      <c r="D1220">
        <v>79.430053710999999</v>
      </c>
      <c r="E1220">
        <v>50</v>
      </c>
      <c r="F1220">
        <v>49.966442108000003</v>
      </c>
      <c r="G1220">
        <v>1246.3696289</v>
      </c>
      <c r="H1220">
        <v>1214.6385498</v>
      </c>
      <c r="I1220">
        <v>1521.4982910000001</v>
      </c>
      <c r="J1220">
        <v>1473.2713623</v>
      </c>
      <c r="K1220">
        <v>0</v>
      </c>
      <c r="L1220">
        <v>2400</v>
      </c>
      <c r="M1220">
        <v>2400</v>
      </c>
      <c r="N1220">
        <v>0</v>
      </c>
    </row>
    <row r="1221" spans="1:14" x14ac:dyDescent="0.25">
      <c r="A1221">
        <v>551.98089100000004</v>
      </c>
      <c r="B1221" s="1">
        <f>DATE(2011,11,3) + TIME(23,32,28)</f>
        <v>40850.980879629627</v>
      </c>
      <c r="C1221">
        <v>80</v>
      </c>
      <c r="D1221">
        <v>79.400650024000001</v>
      </c>
      <c r="E1221">
        <v>50</v>
      </c>
      <c r="F1221">
        <v>49.971855163999997</v>
      </c>
      <c r="G1221">
        <v>1246.3463135</v>
      </c>
      <c r="H1221">
        <v>1214.609375</v>
      </c>
      <c r="I1221">
        <v>1521.1142577999999</v>
      </c>
      <c r="J1221">
        <v>1472.895874</v>
      </c>
      <c r="K1221">
        <v>0</v>
      </c>
      <c r="L1221">
        <v>2400</v>
      </c>
      <c r="M1221">
        <v>2400</v>
      </c>
      <c r="N1221">
        <v>0</v>
      </c>
    </row>
    <row r="1222" spans="1:14" x14ac:dyDescent="0.25">
      <c r="A1222">
        <v>552.16863599999999</v>
      </c>
      <c r="B1222" s="1">
        <f>DATE(2011,11,4) + TIME(4,2,50)</f>
        <v>40851.168634259258</v>
      </c>
      <c r="C1222">
        <v>80</v>
      </c>
      <c r="D1222">
        <v>79.369781493999994</v>
      </c>
      <c r="E1222">
        <v>50</v>
      </c>
      <c r="F1222">
        <v>49.975608825999998</v>
      </c>
      <c r="G1222">
        <v>1246.3216553</v>
      </c>
      <c r="H1222">
        <v>1214.5787353999999</v>
      </c>
      <c r="I1222">
        <v>1520.7313231999999</v>
      </c>
      <c r="J1222">
        <v>1472.5202637</v>
      </c>
      <c r="K1222">
        <v>0</v>
      </c>
      <c r="L1222">
        <v>2400</v>
      </c>
      <c r="M1222">
        <v>2400</v>
      </c>
      <c r="N1222">
        <v>0</v>
      </c>
    </row>
    <row r="1223" spans="1:14" x14ac:dyDescent="0.25">
      <c r="A1223">
        <v>552.36936100000003</v>
      </c>
      <c r="B1223" s="1">
        <f>DATE(2011,11,4) + TIME(8,51,52)</f>
        <v>40851.369351851848</v>
      </c>
      <c r="C1223">
        <v>80</v>
      </c>
      <c r="D1223">
        <v>79.337150574000006</v>
      </c>
      <c r="E1223">
        <v>50</v>
      </c>
      <c r="F1223">
        <v>49.978191375999998</v>
      </c>
      <c r="G1223">
        <v>1246.2954102000001</v>
      </c>
      <c r="H1223">
        <v>1214.5460204999999</v>
      </c>
      <c r="I1223">
        <v>1520.3477783000001</v>
      </c>
      <c r="J1223">
        <v>1472.1433105000001</v>
      </c>
      <c r="K1223">
        <v>0</v>
      </c>
      <c r="L1223">
        <v>2400</v>
      </c>
      <c r="M1223">
        <v>2400</v>
      </c>
      <c r="N1223">
        <v>0</v>
      </c>
    </row>
    <row r="1224" spans="1:14" x14ac:dyDescent="0.25">
      <c r="A1224">
        <v>552.58617300000003</v>
      </c>
      <c r="B1224" s="1">
        <f>DATE(2011,11,4) + TIME(14,4,5)</f>
        <v>40851.586168981485</v>
      </c>
      <c r="C1224">
        <v>80</v>
      </c>
      <c r="D1224">
        <v>79.302375792999996</v>
      </c>
      <c r="E1224">
        <v>50</v>
      </c>
      <c r="F1224">
        <v>49.979953766000001</v>
      </c>
      <c r="G1224">
        <v>1246.2674560999999</v>
      </c>
      <c r="H1224">
        <v>1214.5112305</v>
      </c>
      <c r="I1224">
        <v>1519.9605713000001</v>
      </c>
      <c r="J1224">
        <v>1471.7624512</v>
      </c>
      <c r="K1224">
        <v>0</v>
      </c>
      <c r="L1224">
        <v>2400</v>
      </c>
      <c r="M1224">
        <v>2400</v>
      </c>
      <c r="N1224">
        <v>0</v>
      </c>
    </row>
    <row r="1225" spans="1:14" x14ac:dyDescent="0.25">
      <c r="A1225">
        <v>552.81758300000001</v>
      </c>
      <c r="B1225" s="1">
        <f>DATE(2011,11,4) + TIME(19,37,19)</f>
        <v>40851.81758101852</v>
      </c>
      <c r="C1225">
        <v>80</v>
      </c>
      <c r="D1225">
        <v>79.265464782999999</v>
      </c>
      <c r="E1225">
        <v>50</v>
      </c>
      <c r="F1225">
        <v>49.981124878000003</v>
      </c>
      <c r="G1225">
        <v>1246.2371826000001</v>
      </c>
      <c r="H1225">
        <v>1214.4736327999999</v>
      </c>
      <c r="I1225">
        <v>1519.5656738</v>
      </c>
      <c r="J1225">
        <v>1471.3736572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553.05003399999998</v>
      </c>
      <c r="B1226" s="1">
        <f>DATE(2011,11,5) + TIME(1,12,2)</f>
        <v>40852.050023148149</v>
      </c>
      <c r="C1226">
        <v>80</v>
      </c>
      <c r="D1226">
        <v>79.227638244999994</v>
      </c>
      <c r="E1226">
        <v>50</v>
      </c>
      <c r="F1226">
        <v>49.981868744000003</v>
      </c>
      <c r="G1226">
        <v>1246.2048339999999</v>
      </c>
      <c r="H1226">
        <v>1214.4338379000001</v>
      </c>
      <c r="I1226">
        <v>1519.1678466999999</v>
      </c>
      <c r="J1226">
        <v>1470.9818115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553.28601500000002</v>
      </c>
      <c r="B1227" s="1">
        <f>DATE(2011,11,5) + TIME(6,51,51)</f>
        <v>40852.286006944443</v>
      </c>
      <c r="C1227">
        <v>80</v>
      </c>
      <c r="D1227">
        <v>79.189041137999993</v>
      </c>
      <c r="E1227">
        <v>50</v>
      </c>
      <c r="F1227">
        <v>49.982349395999996</v>
      </c>
      <c r="G1227">
        <v>1246.1722411999999</v>
      </c>
      <c r="H1227">
        <v>1214.3936768000001</v>
      </c>
      <c r="I1227">
        <v>1518.7904053</v>
      </c>
      <c r="J1227">
        <v>1470.6098632999999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553.52785300000005</v>
      </c>
      <c r="B1228" s="1">
        <f>DATE(2011,11,5) + TIME(12,40,6)</f>
        <v>40852.52784722222</v>
      </c>
      <c r="C1228">
        <v>80</v>
      </c>
      <c r="D1228">
        <v>79.149604796999995</v>
      </c>
      <c r="E1228">
        <v>50</v>
      </c>
      <c r="F1228">
        <v>49.982666016000003</v>
      </c>
      <c r="G1228">
        <v>1246.1391602000001</v>
      </c>
      <c r="H1228">
        <v>1214.3527832</v>
      </c>
      <c r="I1228">
        <v>1518.4274902</v>
      </c>
      <c r="J1228">
        <v>1470.2523193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553.77766699999995</v>
      </c>
      <c r="B1229" s="1">
        <f>DATE(2011,11,5) + TIME(18,39,50)</f>
        <v>40852.777662037035</v>
      </c>
      <c r="C1229">
        <v>80</v>
      </c>
      <c r="D1229">
        <v>79.109161377000007</v>
      </c>
      <c r="E1229">
        <v>50</v>
      </c>
      <c r="F1229">
        <v>49.982883452999999</v>
      </c>
      <c r="G1229">
        <v>1246.1052245999999</v>
      </c>
      <c r="H1229">
        <v>1214.3107910000001</v>
      </c>
      <c r="I1229">
        <v>1518.0742187999999</v>
      </c>
      <c r="J1229">
        <v>1469.9042969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554.03796899999998</v>
      </c>
      <c r="B1230" s="1">
        <f>DATE(2011,11,6) + TIME(0,54,40)</f>
        <v>40853.037962962961</v>
      </c>
      <c r="C1230">
        <v>80</v>
      </c>
      <c r="D1230">
        <v>79.067436217999997</v>
      </c>
      <c r="E1230">
        <v>50</v>
      </c>
      <c r="F1230">
        <v>49.983032227000002</v>
      </c>
      <c r="G1230">
        <v>1246.0701904</v>
      </c>
      <c r="H1230">
        <v>1214.2674560999999</v>
      </c>
      <c r="I1230">
        <v>1517.7272949000001</v>
      </c>
      <c r="J1230">
        <v>1469.5625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554.31159300000002</v>
      </c>
      <c r="B1231" s="1">
        <f>DATE(2011,11,6) + TIME(7,28,41)</f>
        <v>40853.311585648145</v>
      </c>
      <c r="C1231">
        <v>80</v>
      </c>
      <c r="D1231">
        <v>79.024085998999993</v>
      </c>
      <c r="E1231">
        <v>50</v>
      </c>
      <c r="F1231">
        <v>49.983135222999998</v>
      </c>
      <c r="G1231">
        <v>1246.0336914</v>
      </c>
      <c r="H1231">
        <v>1214.2222899999999</v>
      </c>
      <c r="I1231">
        <v>1517.3831786999999</v>
      </c>
      <c r="J1231">
        <v>1469.2235106999999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554.59898099999998</v>
      </c>
      <c r="B1232" s="1">
        <f>DATE(2011,11,6) + TIME(14,22,31)</f>
        <v>40853.598969907405</v>
      </c>
      <c r="C1232">
        <v>80</v>
      </c>
      <c r="D1232">
        <v>78.978927612000007</v>
      </c>
      <c r="E1232">
        <v>50</v>
      </c>
      <c r="F1232">
        <v>49.983211517000001</v>
      </c>
      <c r="G1232">
        <v>1245.9953613</v>
      </c>
      <c r="H1232">
        <v>1214.1749268000001</v>
      </c>
      <c r="I1232">
        <v>1517.0384521000001</v>
      </c>
      <c r="J1232">
        <v>1468.8841553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554.90341799999999</v>
      </c>
      <c r="B1233" s="1">
        <f>DATE(2011,11,6) + TIME(21,40,55)</f>
        <v>40853.903414351851</v>
      </c>
      <c r="C1233">
        <v>80</v>
      </c>
      <c r="D1233">
        <v>78.931610106999997</v>
      </c>
      <c r="E1233">
        <v>50</v>
      </c>
      <c r="F1233">
        <v>49.983264923</v>
      </c>
      <c r="G1233">
        <v>1245.9549560999999</v>
      </c>
      <c r="H1233">
        <v>1214.1251221</v>
      </c>
      <c r="I1233">
        <v>1516.6937256000001</v>
      </c>
      <c r="J1233">
        <v>1468.5445557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555.22023100000001</v>
      </c>
      <c r="B1234" s="1">
        <f>DATE(2011,11,7) + TIME(5,17,7)</f>
        <v>40854.220219907409</v>
      </c>
      <c r="C1234">
        <v>80</v>
      </c>
      <c r="D1234">
        <v>78.882331848000007</v>
      </c>
      <c r="E1234">
        <v>50</v>
      </c>
      <c r="F1234">
        <v>49.983306884999998</v>
      </c>
      <c r="G1234">
        <v>1245.9122314000001</v>
      </c>
      <c r="H1234">
        <v>1214.0723877</v>
      </c>
      <c r="I1234">
        <v>1516.3455810999999</v>
      </c>
      <c r="J1234">
        <v>1468.2017822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555.53898800000002</v>
      </c>
      <c r="B1235" s="1">
        <f>DATE(2011,11,7) + TIME(12,56,8)</f>
        <v>40854.538981481484</v>
      </c>
      <c r="C1235">
        <v>80</v>
      </c>
      <c r="D1235">
        <v>78.832015991000006</v>
      </c>
      <c r="E1235">
        <v>50</v>
      </c>
      <c r="F1235">
        <v>49.983333588000001</v>
      </c>
      <c r="G1235">
        <v>1245.8675536999999</v>
      </c>
      <c r="H1235">
        <v>1214.0177002</v>
      </c>
      <c r="I1235">
        <v>1516.0004882999999</v>
      </c>
      <c r="J1235">
        <v>1467.8620605000001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555.86293000000001</v>
      </c>
      <c r="B1236" s="1">
        <f>DATE(2011,11,7) + TIME(20,42,37)</f>
        <v>40854.862928240742</v>
      </c>
      <c r="C1236">
        <v>80</v>
      </c>
      <c r="D1236">
        <v>78.780868530000006</v>
      </c>
      <c r="E1236">
        <v>50</v>
      </c>
      <c r="F1236">
        <v>49.983356475999997</v>
      </c>
      <c r="G1236">
        <v>1245.8226318</v>
      </c>
      <c r="H1236">
        <v>1213.9625243999999</v>
      </c>
      <c r="I1236">
        <v>1515.6693115</v>
      </c>
      <c r="J1236">
        <v>1467.5358887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556.19523900000002</v>
      </c>
      <c r="B1237" s="1">
        <f>DATE(2011,11,8) + TIME(4,41,8)</f>
        <v>40855.195231481484</v>
      </c>
      <c r="C1237">
        <v>80</v>
      </c>
      <c r="D1237">
        <v>78.728752135999997</v>
      </c>
      <c r="E1237">
        <v>50</v>
      </c>
      <c r="F1237">
        <v>49.983375549000002</v>
      </c>
      <c r="G1237">
        <v>1245.7769774999999</v>
      </c>
      <c r="H1237">
        <v>1213.90625</v>
      </c>
      <c r="I1237">
        <v>1515.3476562000001</v>
      </c>
      <c r="J1237">
        <v>1467.2193603999999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556.53921600000001</v>
      </c>
      <c r="B1238" s="1">
        <f>DATE(2011,11,8) + TIME(12,56,28)</f>
        <v>40855.539212962962</v>
      </c>
      <c r="C1238">
        <v>80</v>
      </c>
      <c r="D1238">
        <v>78.675361632999994</v>
      </c>
      <c r="E1238">
        <v>50</v>
      </c>
      <c r="F1238">
        <v>49.983390808000003</v>
      </c>
      <c r="G1238">
        <v>1245.7301024999999</v>
      </c>
      <c r="H1238">
        <v>1213.8485106999999</v>
      </c>
      <c r="I1238">
        <v>1515.0321045000001</v>
      </c>
      <c r="J1238">
        <v>1466.9086914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556.89850200000001</v>
      </c>
      <c r="B1239" s="1">
        <f>DATE(2011,11,8) + TIME(21,33,50)</f>
        <v>40855.898495370369</v>
      </c>
      <c r="C1239">
        <v>80</v>
      </c>
      <c r="D1239">
        <v>78.620269774999997</v>
      </c>
      <c r="E1239">
        <v>50</v>
      </c>
      <c r="F1239">
        <v>49.983406066999997</v>
      </c>
      <c r="G1239">
        <v>1245.6815185999999</v>
      </c>
      <c r="H1239">
        <v>1213.7888184000001</v>
      </c>
      <c r="I1239">
        <v>1514.7193603999999</v>
      </c>
      <c r="J1239">
        <v>1466.6008300999999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557.27465400000006</v>
      </c>
      <c r="B1240" s="1">
        <f>DATE(2011,11,9) + TIME(6,35,30)</f>
        <v>40856.274652777778</v>
      </c>
      <c r="C1240">
        <v>80</v>
      </c>
      <c r="D1240">
        <v>78.563140868999994</v>
      </c>
      <c r="E1240">
        <v>50</v>
      </c>
      <c r="F1240">
        <v>49.983417510999999</v>
      </c>
      <c r="G1240">
        <v>1245.6308594</v>
      </c>
      <c r="H1240">
        <v>1213.7264404</v>
      </c>
      <c r="I1240">
        <v>1514.4063721</v>
      </c>
      <c r="J1240">
        <v>1466.2928466999999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557.66859499999998</v>
      </c>
      <c r="B1241" s="1">
        <f>DATE(2011,11,9) + TIME(16,2,46)</f>
        <v>40856.668587962966</v>
      </c>
      <c r="C1241">
        <v>80</v>
      </c>
      <c r="D1241">
        <v>78.503738403</v>
      </c>
      <c r="E1241">
        <v>50</v>
      </c>
      <c r="F1241">
        <v>49.983428955000001</v>
      </c>
      <c r="G1241">
        <v>1245.5777588000001</v>
      </c>
      <c r="H1241">
        <v>1213.6611327999999</v>
      </c>
      <c r="I1241">
        <v>1514.0926514</v>
      </c>
      <c r="J1241">
        <v>1465.9838867000001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558.08513200000004</v>
      </c>
      <c r="B1242" s="1">
        <f>DATE(2011,11,10) + TIME(2,2,35)</f>
        <v>40857.085127314815</v>
      </c>
      <c r="C1242">
        <v>80</v>
      </c>
      <c r="D1242">
        <v>78.441635132000002</v>
      </c>
      <c r="E1242">
        <v>50</v>
      </c>
      <c r="F1242">
        <v>49.983436584000003</v>
      </c>
      <c r="G1242">
        <v>1245.5220947</v>
      </c>
      <c r="H1242">
        <v>1213.5927733999999</v>
      </c>
      <c r="I1242">
        <v>1513.7779541</v>
      </c>
      <c r="J1242">
        <v>1465.6740723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558.50521100000003</v>
      </c>
      <c r="B1243" s="1">
        <f>DATE(2011,11,10) + TIME(12,7,30)</f>
        <v>40857.505208333336</v>
      </c>
      <c r="C1243">
        <v>80</v>
      </c>
      <c r="D1243">
        <v>78.377792357999994</v>
      </c>
      <c r="E1243">
        <v>50</v>
      </c>
      <c r="F1243">
        <v>49.983448029000002</v>
      </c>
      <c r="G1243">
        <v>1245.4631348</v>
      </c>
      <c r="H1243">
        <v>1213.5207519999999</v>
      </c>
      <c r="I1243">
        <v>1513.4593506000001</v>
      </c>
      <c r="J1243">
        <v>1465.3604736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558.93131000000005</v>
      </c>
      <c r="B1244" s="1">
        <f>DATE(2011,11,10) + TIME(22,21,5)</f>
        <v>40857.931307870371</v>
      </c>
      <c r="C1244">
        <v>80</v>
      </c>
      <c r="D1244">
        <v>78.312889099000003</v>
      </c>
      <c r="E1244">
        <v>50</v>
      </c>
      <c r="F1244">
        <v>49.983455657999997</v>
      </c>
      <c r="G1244">
        <v>1245.4035644999999</v>
      </c>
      <c r="H1244">
        <v>1213.4477539</v>
      </c>
      <c r="I1244">
        <v>1513.1516113</v>
      </c>
      <c r="J1244">
        <v>1465.0576172000001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559.36774200000002</v>
      </c>
      <c r="B1245" s="1">
        <f>DATE(2011,11,11) + TIME(8,49,32)</f>
        <v>40858.367731481485</v>
      </c>
      <c r="C1245">
        <v>80</v>
      </c>
      <c r="D1245">
        <v>78.246887207</v>
      </c>
      <c r="E1245">
        <v>50</v>
      </c>
      <c r="F1245">
        <v>49.983467101999999</v>
      </c>
      <c r="G1245">
        <v>1245.3431396000001</v>
      </c>
      <c r="H1245">
        <v>1213.3736572</v>
      </c>
      <c r="I1245">
        <v>1512.8524170000001</v>
      </c>
      <c r="J1245">
        <v>1464.7629394999999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559.81896200000006</v>
      </c>
      <c r="B1246" s="1">
        <f>DATE(2011,11,11) + TIME(19,39,18)</f>
        <v>40858.818958333337</v>
      </c>
      <c r="C1246">
        <v>80</v>
      </c>
      <c r="D1246">
        <v>78.179412842000005</v>
      </c>
      <c r="E1246">
        <v>50</v>
      </c>
      <c r="F1246">
        <v>49.983478546000001</v>
      </c>
      <c r="G1246">
        <v>1245.28125</v>
      </c>
      <c r="H1246">
        <v>1213.2977295000001</v>
      </c>
      <c r="I1246">
        <v>1512.5583495999999</v>
      </c>
      <c r="J1246">
        <v>1464.4733887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560.28885500000001</v>
      </c>
      <c r="B1247" s="1">
        <f>DATE(2011,11,12) + TIME(6,55,57)</f>
        <v>40859.288854166669</v>
      </c>
      <c r="C1247">
        <v>80</v>
      </c>
      <c r="D1247">
        <v>78.109962463000002</v>
      </c>
      <c r="E1247">
        <v>50</v>
      </c>
      <c r="F1247">
        <v>49.983486176</v>
      </c>
      <c r="G1247">
        <v>1245.2172852000001</v>
      </c>
      <c r="H1247">
        <v>1213.2192382999999</v>
      </c>
      <c r="I1247">
        <v>1512.2663574000001</v>
      </c>
      <c r="J1247">
        <v>1464.1859131000001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560.77928699999995</v>
      </c>
      <c r="B1248" s="1">
        <f>DATE(2011,11,12) + TIME(18,42,10)</f>
        <v>40859.779282407406</v>
      </c>
      <c r="C1248">
        <v>80</v>
      </c>
      <c r="D1248">
        <v>78.038146972999996</v>
      </c>
      <c r="E1248">
        <v>50</v>
      </c>
      <c r="F1248">
        <v>49.983497620000001</v>
      </c>
      <c r="G1248">
        <v>1245.1506348</v>
      </c>
      <c r="H1248">
        <v>1213.1375731999999</v>
      </c>
      <c r="I1248">
        <v>1511.9743652</v>
      </c>
      <c r="J1248">
        <v>1463.8984375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561.28947100000005</v>
      </c>
      <c r="B1249" s="1">
        <f>DATE(2011,11,13) + TIME(6,56,50)</f>
        <v>40860.289467592593</v>
      </c>
      <c r="C1249">
        <v>80</v>
      </c>
      <c r="D1249">
        <v>77.963775635000005</v>
      </c>
      <c r="E1249">
        <v>50</v>
      </c>
      <c r="F1249">
        <v>49.983509064000003</v>
      </c>
      <c r="G1249">
        <v>1245.0809326000001</v>
      </c>
      <c r="H1249">
        <v>1213.0522461</v>
      </c>
      <c r="I1249">
        <v>1511.6817627</v>
      </c>
      <c r="J1249">
        <v>1463.6102295000001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561.81152099999997</v>
      </c>
      <c r="B1250" s="1">
        <f>DATE(2011,11,13) + TIME(19,28,35)</f>
        <v>40860.811516203707</v>
      </c>
      <c r="C1250">
        <v>80</v>
      </c>
      <c r="D1250">
        <v>77.887283324999999</v>
      </c>
      <c r="E1250">
        <v>50</v>
      </c>
      <c r="F1250">
        <v>49.983520507999998</v>
      </c>
      <c r="G1250">
        <v>1245.0084228999999</v>
      </c>
      <c r="H1250">
        <v>1212.963501</v>
      </c>
      <c r="I1250">
        <v>1511.3895264</v>
      </c>
      <c r="J1250">
        <v>1463.3223877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562.33820100000003</v>
      </c>
      <c r="B1251" s="1">
        <f>DATE(2011,11,14) + TIME(8,7,0)</f>
        <v>40861.338194444441</v>
      </c>
      <c r="C1251">
        <v>80</v>
      </c>
      <c r="D1251">
        <v>77.809524535999998</v>
      </c>
      <c r="E1251">
        <v>50</v>
      </c>
      <c r="F1251">
        <v>49.983531952</v>
      </c>
      <c r="G1251">
        <v>1244.934082</v>
      </c>
      <c r="H1251">
        <v>1212.8726807</v>
      </c>
      <c r="I1251">
        <v>1511.1022949000001</v>
      </c>
      <c r="J1251">
        <v>1463.0394286999999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562.87475099999995</v>
      </c>
      <c r="B1252" s="1">
        <f>DATE(2011,11,14) + TIME(20,59,38)</f>
        <v>40861.874745370369</v>
      </c>
      <c r="C1252">
        <v>80</v>
      </c>
      <c r="D1252">
        <v>77.730789185000006</v>
      </c>
      <c r="E1252">
        <v>50</v>
      </c>
      <c r="F1252">
        <v>49.983543396000002</v>
      </c>
      <c r="G1252">
        <v>1244.8590088000001</v>
      </c>
      <c r="H1252">
        <v>1212.7808838000001</v>
      </c>
      <c r="I1252">
        <v>1510.8237305</v>
      </c>
      <c r="J1252">
        <v>1462.7650146000001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563.42646500000001</v>
      </c>
      <c r="B1253" s="1">
        <f>DATE(2011,11,15) + TIME(10,14,6)</f>
        <v>40862.426458333335</v>
      </c>
      <c r="C1253">
        <v>80</v>
      </c>
      <c r="D1253">
        <v>77.650741577000005</v>
      </c>
      <c r="E1253">
        <v>50</v>
      </c>
      <c r="F1253">
        <v>49.983554839999996</v>
      </c>
      <c r="G1253">
        <v>1244.7825928</v>
      </c>
      <c r="H1253">
        <v>1212.6872559000001</v>
      </c>
      <c r="I1253">
        <v>1510.5507812000001</v>
      </c>
      <c r="J1253">
        <v>1462.4960937999999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563.99903800000004</v>
      </c>
      <c r="B1254" s="1">
        <f>DATE(2011,11,15) + TIME(23,58,36)</f>
        <v>40862.999027777776</v>
      </c>
      <c r="C1254">
        <v>80</v>
      </c>
      <c r="D1254">
        <v>77.568763732999997</v>
      </c>
      <c r="E1254">
        <v>50</v>
      </c>
      <c r="F1254">
        <v>49.983566283999998</v>
      </c>
      <c r="G1254">
        <v>1244.7038574000001</v>
      </c>
      <c r="H1254">
        <v>1212.5908202999999</v>
      </c>
      <c r="I1254">
        <v>1510.2805175999999</v>
      </c>
      <c r="J1254">
        <v>1462.2297363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564.59821999999997</v>
      </c>
      <c r="B1255" s="1">
        <f>DATE(2011,11,16) + TIME(14,21,26)</f>
        <v>40863.598217592589</v>
      </c>
      <c r="C1255">
        <v>80</v>
      </c>
      <c r="D1255">
        <v>77.484130859000004</v>
      </c>
      <c r="E1255">
        <v>50</v>
      </c>
      <c r="F1255">
        <v>49.983577728</v>
      </c>
      <c r="G1255">
        <v>1244.6220702999999</v>
      </c>
      <c r="H1255">
        <v>1212.4907227000001</v>
      </c>
      <c r="I1255">
        <v>1510.0106201000001</v>
      </c>
      <c r="J1255">
        <v>1461.9636230000001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565.21668499999998</v>
      </c>
      <c r="B1256" s="1">
        <f>DATE(2011,11,17) + TIME(5,12,1)</f>
        <v>40864.216678240744</v>
      </c>
      <c r="C1256">
        <v>80</v>
      </c>
      <c r="D1256">
        <v>77.396728515999996</v>
      </c>
      <c r="E1256">
        <v>50</v>
      </c>
      <c r="F1256">
        <v>49.983589172000002</v>
      </c>
      <c r="G1256">
        <v>1244.5363769999999</v>
      </c>
      <c r="H1256">
        <v>1212.3861084</v>
      </c>
      <c r="I1256">
        <v>1509.7385254000001</v>
      </c>
      <c r="J1256">
        <v>1461.6955565999999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565.85125200000004</v>
      </c>
      <c r="B1257" s="1">
        <f>DATE(2011,11,17) + TIME(20,25,48)</f>
        <v>40864.85125</v>
      </c>
      <c r="C1257">
        <v>80</v>
      </c>
      <c r="D1257">
        <v>77.306991577000005</v>
      </c>
      <c r="E1257">
        <v>50</v>
      </c>
      <c r="F1257">
        <v>49.983604431000003</v>
      </c>
      <c r="G1257">
        <v>1244.4477539</v>
      </c>
      <c r="H1257">
        <v>1212.2779541</v>
      </c>
      <c r="I1257">
        <v>1509.4682617000001</v>
      </c>
      <c r="J1257">
        <v>1461.4289550999999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566.49212399999999</v>
      </c>
      <c r="B1258" s="1">
        <f>DATE(2011,11,18) + TIME(11,48,39)</f>
        <v>40865.492118055554</v>
      </c>
      <c r="C1258">
        <v>80</v>
      </c>
      <c r="D1258">
        <v>77.215721130000006</v>
      </c>
      <c r="E1258">
        <v>50</v>
      </c>
      <c r="F1258">
        <v>49.983615874999998</v>
      </c>
      <c r="G1258">
        <v>1244.3566894999999</v>
      </c>
      <c r="H1258">
        <v>1212.1668701000001</v>
      </c>
      <c r="I1258">
        <v>1509.2011719</v>
      </c>
      <c r="J1258">
        <v>1461.1656493999999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567.14573900000005</v>
      </c>
      <c r="B1259" s="1">
        <f>DATE(2011,11,19) + TIME(3,29,51)</f>
        <v>40866.145729166667</v>
      </c>
      <c r="C1259">
        <v>80</v>
      </c>
      <c r="D1259">
        <v>77.123344420999999</v>
      </c>
      <c r="E1259">
        <v>50</v>
      </c>
      <c r="F1259">
        <v>49.983631133999999</v>
      </c>
      <c r="G1259">
        <v>1244.2646483999999</v>
      </c>
      <c r="H1259">
        <v>1212.0544434000001</v>
      </c>
      <c r="I1259">
        <v>1508.9412841999999</v>
      </c>
      <c r="J1259">
        <v>1460.9093018000001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567.81868899999995</v>
      </c>
      <c r="B1260" s="1">
        <f>DATE(2011,11,19) + TIME(19,38,54)</f>
        <v>40866.818680555552</v>
      </c>
      <c r="C1260">
        <v>80</v>
      </c>
      <c r="D1260">
        <v>77.029434203999998</v>
      </c>
      <c r="E1260">
        <v>50</v>
      </c>
      <c r="F1260">
        <v>49.983646393000001</v>
      </c>
      <c r="G1260">
        <v>1244.1706543</v>
      </c>
      <c r="H1260">
        <v>1211.9395752</v>
      </c>
      <c r="I1260">
        <v>1508.6856689000001</v>
      </c>
      <c r="J1260">
        <v>1460.6571045000001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568.51791900000001</v>
      </c>
      <c r="B1261" s="1">
        <f>DATE(2011,11,20) + TIME(12,25,48)</f>
        <v>40867.517916666664</v>
      </c>
      <c r="C1261">
        <v>80</v>
      </c>
      <c r="D1261">
        <v>76.933227539000001</v>
      </c>
      <c r="E1261">
        <v>50</v>
      </c>
      <c r="F1261">
        <v>49.983657837000003</v>
      </c>
      <c r="G1261">
        <v>1244.0737305</v>
      </c>
      <c r="H1261">
        <v>1211.8210449000001</v>
      </c>
      <c r="I1261">
        <v>1508.4317627</v>
      </c>
      <c r="J1261">
        <v>1460.4066161999999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569.24640699999998</v>
      </c>
      <c r="B1262" s="1">
        <f>DATE(2011,11,21) + TIME(5,54,49)</f>
        <v>40868.246400462966</v>
      </c>
      <c r="C1262">
        <v>80</v>
      </c>
      <c r="D1262">
        <v>76.834022521999998</v>
      </c>
      <c r="E1262">
        <v>50</v>
      </c>
      <c r="F1262">
        <v>49.983673095999997</v>
      </c>
      <c r="G1262">
        <v>1243.9727783000001</v>
      </c>
      <c r="H1262">
        <v>1211.697876</v>
      </c>
      <c r="I1262">
        <v>1508.1772461</v>
      </c>
      <c r="J1262">
        <v>1460.1553954999999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569.99565299999995</v>
      </c>
      <c r="B1263" s="1">
        <f>DATE(2011,11,21) + TIME(23,53,44)</f>
        <v>40868.995648148149</v>
      </c>
      <c r="C1263">
        <v>80</v>
      </c>
      <c r="D1263">
        <v>76.731834411999998</v>
      </c>
      <c r="E1263">
        <v>50</v>
      </c>
      <c r="F1263">
        <v>49.983688354000002</v>
      </c>
      <c r="G1263">
        <v>1243.8674315999999</v>
      </c>
      <c r="H1263">
        <v>1211.5694579999999</v>
      </c>
      <c r="I1263">
        <v>1507.9213867000001</v>
      </c>
      <c r="J1263">
        <v>1459.9027100000001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570.75310500000001</v>
      </c>
      <c r="B1264" s="1">
        <f>DATE(2011,11,22) + TIME(18,4,28)</f>
        <v>40869.753101851849</v>
      </c>
      <c r="C1264">
        <v>80</v>
      </c>
      <c r="D1264">
        <v>76.627655028999996</v>
      </c>
      <c r="E1264">
        <v>50</v>
      </c>
      <c r="F1264">
        <v>49.983707428000002</v>
      </c>
      <c r="G1264">
        <v>1243.7587891000001</v>
      </c>
      <c r="H1264">
        <v>1211.4371338000001</v>
      </c>
      <c r="I1264">
        <v>1507.6673584</v>
      </c>
      <c r="J1264">
        <v>1459.6519774999999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571.51979500000004</v>
      </c>
      <c r="B1265" s="1">
        <f>DATE(2011,11,23) + TIME(12,28,30)</f>
        <v>40870.519791666666</v>
      </c>
      <c r="C1265">
        <v>80</v>
      </c>
      <c r="D1265">
        <v>76.522476196</v>
      </c>
      <c r="E1265">
        <v>50</v>
      </c>
      <c r="F1265">
        <v>49.983722686999997</v>
      </c>
      <c r="G1265">
        <v>1243.6486815999999</v>
      </c>
      <c r="H1265">
        <v>1211.3028564000001</v>
      </c>
      <c r="I1265">
        <v>1507.4194336</v>
      </c>
      <c r="J1265">
        <v>1459.4071045000001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572.30326200000002</v>
      </c>
      <c r="B1266" s="1">
        <f>DATE(2011,11,24) + TIME(7,16,41)</f>
        <v>40871.303252314814</v>
      </c>
      <c r="C1266">
        <v>80</v>
      </c>
      <c r="D1266">
        <v>76.416236877000003</v>
      </c>
      <c r="E1266">
        <v>50</v>
      </c>
      <c r="F1266">
        <v>49.983737945999998</v>
      </c>
      <c r="G1266">
        <v>1243.5369873</v>
      </c>
      <c r="H1266">
        <v>1211.166626</v>
      </c>
      <c r="I1266">
        <v>1507.1770019999999</v>
      </c>
      <c r="J1266">
        <v>1459.1676024999999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573.11136199999999</v>
      </c>
      <c r="B1267" s="1">
        <f>DATE(2011,11,25) + TIME(2,40,21)</f>
        <v>40872.111354166664</v>
      </c>
      <c r="C1267">
        <v>80</v>
      </c>
      <c r="D1267">
        <v>76.308212280000006</v>
      </c>
      <c r="E1267">
        <v>50</v>
      </c>
      <c r="F1267">
        <v>49.983753204000003</v>
      </c>
      <c r="G1267">
        <v>1243.4226074000001</v>
      </c>
      <c r="H1267">
        <v>1211.0272216999999</v>
      </c>
      <c r="I1267">
        <v>1506.9375</v>
      </c>
      <c r="J1267">
        <v>1458.9310303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573.95281399999999</v>
      </c>
      <c r="B1268" s="1">
        <f>DATE(2011,11,25) + TIME(22,52,3)</f>
        <v>40872.9528125</v>
      </c>
      <c r="C1268">
        <v>80</v>
      </c>
      <c r="D1268">
        <v>76.197456360000004</v>
      </c>
      <c r="E1268">
        <v>50</v>
      </c>
      <c r="F1268">
        <v>49.983772278000004</v>
      </c>
      <c r="G1268">
        <v>1243.3043213000001</v>
      </c>
      <c r="H1268">
        <v>1210.8829346</v>
      </c>
      <c r="I1268">
        <v>1506.6984863</v>
      </c>
      <c r="J1268">
        <v>1458.6948242000001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574.82108100000005</v>
      </c>
      <c r="B1269" s="1">
        <f>DATE(2011,11,26) + TIME(19,42,21)</f>
        <v>40873.821076388886</v>
      </c>
      <c r="C1269">
        <v>80</v>
      </c>
      <c r="D1269">
        <v>76.083450317</v>
      </c>
      <c r="E1269">
        <v>50</v>
      </c>
      <c r="F1269">
        <v>49.983791351000001</v>
      </c>
      <c r="G1269">
        <v>1243.1807861</v>
      </c>
      <c r="H1269">
        <v>1210.7325439000001</v>
      </c>
      <c r="I1269">
        <v>1506.4577637</v>
      </c>
      <c r="J1269">
        <v>1458.4569091999999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575.70013900000004</v>
      </c>
      <c r="B1270" s="1">
        <f>DATE(2011,11,27) + TIME(16,48,11)</f>
        <v>40874.700127314813</v>
      </c>
      <c r="C1270">
        <v>80</v>
      </c>
      <c r="D1270">
        <v>75.967048645000006</v>
      </c>
      <c r="E1270">
        <v>50</v>
      </c>
      <c r="F1270">
        <v>49.983806610000002</v>
      </c>
      <c r="G1270">
        <v>1243.0528564000001</v>
      </c>
      <c r="H1270">
        <v>1210.5770264</v>
      </c>
      <c r="I1270">
        <v>1506.2175293</v>
      </c>
      <c r="J1270">
        <v>1458.2193603999999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576.589471</v>
      </c>
      <c r="B1271" s="1">
        <f>DATE(2011,11,28) + TIME(14,8,50)</f>
        <v>40875.589467592596</v>
      </c>
      <c r="C1271">
        <v>80</v>
      </c>
      <c r="D1271">
        <v>75.849510193</v>
      </c>
      <c r="E1271">
        <v>50</v>
      </c>
      <c r="F1271">
        <v>49.983825684000003</v>
      </c>
      <c r="G1271">
        <v>1242.9229736</v>
      </c>
      <c r="H1271">
        <v>1210.4189452999999</v>
      </c>
      <c r="I1271">
        <v>1505.9820557</v>
      </c>
      <c r="J1271">
        <v>1457.9865723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577.49791400000004</v>
      </c>
      <c r="B1272" s="1">
        <f>DATE(2011,11,29) + TIME(11,56,59)</f>
        <v>40876.49790509259</v>
      </c>
      <c r="C1272">
        <v>80</v>
      </c>
      <c r="D1272">
        <v>75.730911254999995</v>
      </c>
      <c r="E1272">
        <v>50</v>
      </c>
      <c r="F1272">
        <v>49.983844757</v>
      </c>
      <c r="G1272">
        <v>1242.7911377</v>
      </c>
      <c r="H1272">
        <v>1210.2583007999999</v>
      </c>
      <c r="I1272">
        <v>1505.7514647999999</v>
      </c>
      <c r="J1272">
        <v>1457.7584228999999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578.43470200000002</v>
      </c>
      <c r="B1273" s="1">
        <f>DATE(2011,11,30) + TIME(10,25,58)</f>
        <v>40877.434699074074</v>
      </c>
      <c r="C1273">
        <v>80</v>
      </c>
      <c r="D1273">
        <v>75.610458374000004</v>
      </c>
      <c r="E1273">
        <v>50</v>
      </c>
      <c r="F1273">
        <v>49.983863831000001</v>
      </c>
      <c r="G1273">
        <v>1242.6560059000001</v>
      </c>
      <c r="H1273">
        <v>1210.09375</v>
      </c>
      <c r="I1273">
        <v>1505.5231934000001</v>
      </c>
      <c r="J1273">
        <v>1457.5325928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579</v>
      </c>
      <c r="B1274" s="1">
        <f>DATE(2011,12,1) + TIME(0,0,0)</f>
        <v>40878</v>
      </c>
      <c r="C1274">
        <v>80</v>
      </c>
      <c r="D1274">
        <v>75.506362914999997</v>
      </c>
      <c r="E1274">
        <v>50</v>
      </c>
      <c r="F1274">
        <v>49.983871460000003</v>
      </c>
      <c r="G1274">
        <v>1242.5148925999999</v>
      </c>
      <c r="H1274">
        <v>1209.9282227000001</v>
      </c>
      <c r="I1274">
        <v>1505.2952881000001</v>
      </c>
      <c r="J1274">
        <v>1457.3071289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579.97287400000005</v>
      </c>
      <c r="B1275" s="1">
        <f>DATE(2011,12,1) + TIME(23,20,56)</f>
        <v>40878.972870370373</v>
      </c>
      <c r="C1275">
        <v>80</v>
      </c>
      <c r="D1275">
        <v>75.405677795000003</v>
      </c>
      <c r="E1275">
        <v>50</v>
      </c>
      <c r="F1275">
        <v>49.983898162999999</v>
      </c>
      <c r="G1275">
        <v>1242.4309082</v>
      </c>
      <c r="H1275">
        <v>1209.8173827999999</v>
      </c>
      <c r="I1275">
        <v>1505.1604004000001</v>
      </c>
      <c r="J1275">
        <v>1457.1735839999999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580.97466899999995</v>
      </c>
      <c r="B1276" s="1">
        <f>DATE(2011,12,2) + TIME(23,23,31)</f>
        <v>40879.974664351852</v>
      </c>
      <c r="C1276">
        <v>80</v>
      </c>
      <c r="D1276">
        <v>75.285202025999993</v>
      </c>
      <c r="E1276">
        <v>50</v>
      </c>
      <c r="F1276">
        <v>49.983917236000003</v>
      </c>
      <c r="G1276">
        <v>1242.2851562000001</v>
      </c>
      <c r="H1276">
        <v>1209.6419678</v>
      </c>
      <c r="I1276">
        <v>1504.9354248</v>
      </c>
      <c r="J1276">
        <v>1456.9509277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581.99145299999998</v>
      </c>
      <c r="B1277" s="1">
        <f>DATE(2011,12,3) + TIME(23,47,41)</f>
        <v>40880.991446759261</v>
      </c>
      <c r="C1277">
        <v>80</v>
      </c>
      <c r="D1277">
        <v>75.157943725999999</v>
      </c>
      <c r="E1277">
        <v>50</v>
      </c>
      <c r="F1277">
        <v>49.983936309999997</v>
      </c>
      <c r="G1277">
        <v>1242.1337891000001</v>
      </c>
      <c r="H1277">
        <v>1209.4586182</v>
      </c>
      <c r="I1277">
        <v>1504.7102050999999</v>
      </c>
      <c r="J1277">
        <v>1456.7277832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583.03100700000005</v>
      </c>
      <c r="B1278" s="1">
        <f>DATE(2011,12,5) + TIME(0,44,39)</f>
        <v>40882.031006944446</v>
      </c>
      <c r="C1278">
        <v>80</v>
      </c>
      <c r="D1278">
        <v>75.027992248999993</v>
      </c>
      <c r="E1278">
        <v>50</v>
      </c>
      <c r="F1278">
        <v>49.983959198000001</v>
      </c>
      <c r="G1278">
        <v>1241.9794922000001</v>
      </c>
      <c r="H1278">
        <v>1209.2711182</v>
      </c>
      <c r="I1278">
        <v>1504.4882812000001</v>
      </c>
      <c r="J1278">
        <v>1456.5080565999999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584.09533399999998</v>
      </c>
      <c r="B1279" s="1">
        <f>DATE(2011,12,6) + TIME(2,17,16)</f>
        <v>40883.095324074071</v>
      </c>
      <c r="C1279">
        <v>80</v>
      </c>
      <c r="D1279">
        <v>74.895874023000005</v>
      </c>
      <c r="E1279">
        <v>50</v>
      </c>
      <c r="F1279">
        <v>49.983978270999998</v>
      </c>
      <c r="G1279">
        <v>1241.8209228999999</v>
      </c>
      <c r="H1279">
        <v>1209.0784911999999</v>
      </c>
      <c r="I1279">
        <v>1504.2681885</v>
      </c>
      <c r="J1279">
        <v>1456.2900391000001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585.19543799999997</v>
      </c>
      <c r="B1280" s="1">
        <f>DATE(2011,12,7) + TIME(4,41,25)</f>
        <v>40884.195428240739</v>
      </c>
      <c r="C1280">
        <v>80</v>
      </c>
      <c r="D1280">
        <v>74.761230468999997</v>
      </c>
      <c r="E1280">
        <v>50</v>
      </c>
      <c r="F1280">
        <v>49.984001159999998</v>
      </c>
      <c r="G1280">
        <v>1241.6578368999999</v>
      </c>
      <c r="H1280">
        <v>1208.8801269999999</v>
      </c>
      <c r="I1280">
        <v>1504.0493164</v>
      </c>
      <c r="J1280">
        <v>1456.0731201000001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586.30687699999999</v>
      </c>
      <c r="B1281" s="1">
        <f>DATE(2011,12,8) + TIME(7,21,54)</f>
        <v>40885.306875000002</v>
      </c>
      <c r="C1281">
        <v>80</v>
      </c>
      <c r="D1281">
        <v>74.624000549000002</v>
      </c>
      <c r="E1281">
        <v>50</v>
      </c>
      <c r="F1281">
        <v>49.984024048000002</v>
      </c>
      <c r="G1281">
        <v>1241.4881591999999</v>
      </c>
      <c r="H1281">
        <v>1208.6741943</v>
      </c>
      <c r="I1281">
        <v>1503.8295897999999</v>
      </c>
      <c r="J1281">
        <v>1455.8554687999999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587.43134199999997</v>
      </c>
      <c r="B1282" s="1">
        <f>DATE(2011,12,9) + TIME(10,21,7)</f>
        <v>40886.431331018517</v>
      </c>
      <c r="C1282">
        <v>80</v>
      </c>
      <c r="D1282">
        <v>74.485786438000005</v>
      </c>
      <c r="E1282">
        <v>50</v>
      </c>
      <c r="F1282">
        <v>49.984046935999999</v>
      </c>
      <c r="G1282">
        <v>1241.3157959</v>
      </c>
      <c r="H1282">
        <v>1208.4647216999999</v>
      </c>
      <c r="I1282">
        <v>1503.6140137</v>
      </c>
      <c r="J1282">
        <v>1455.6417236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588.57968800000003</v>
      </c>
      <c r="B1283" s="1">
        <f>DATE(2011,12,10) + TIME(13,54,45)</f>
        <v>40887.579687500001</v>
      </c>
      <c r="C1283">
        <v>80</v>
      </c>
      <c r="D1283">
        <v>74.346549988000007</v>
      </c>
      <c r="E1283">
        <v>50</v>
      </c>
      <c r="F1283">
        <v>49.984069824000002</v>
      </c>
      <c r="G1283">
        <v>1241.1402588000001</v>
      </c>
      <c r="H1283">
        <v>1208.2513428</v>
      </c>
      <c r="I1283">
        <v>1503.4019774999999</v>
      </c>
      <c r="J1283">
        <v>1455.4315185999999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589.76300500000002</v>
      </c>
      <c r="B1284" s="1">
        <f>DATE(2011,12,11) + TIME(18,18,43)</f>
        <v>40888.762997685182</v>
      </c>
      <c r="C1284">
        <v>80</v>
      </c>
      <c r="D1284">
        <v>74.205291747999993</v>
      </c>
      <c r="E1284">
        <v>50</v>
      </c>
      <c r="F1284">
        <v>49.984092711999999</v>
      </c>
      <c r="G1284">
        <v>1240.9598389</v>
      </c>
      <c r="H1284">
        <v>1208.0319824000001</v>
      </c>
      <c r="I1284">
        <v>1503.1915283000001</v>
      </c>
      <c r="J1284">
        <v>1455.2227783000001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590.98301400000003</v>
      </c>
      <c r="B1285" s="1">
        <f>DATE(2011,12,12) + TIME(23,35,32)</f>
        <v>40889.98300925926</v>
      </c>
      <c r="C1285">
        <v>80</v>
      </c>
      <c r="D1285">
        <v>74.061012267999999</v>
      </c>
      <c r="E1285">
        <v>50</v>
      </c>
      <c r="F1285">
        <v>49.984115600999999</v>
      </c>
      <c r="G1285">
        <v>1240.7725829999999</v>
      </c>
      <c r="H1285">
        <v>1207.8044434000001</v>
      </c>
      <c r="I1285">
        <v>1502.9805908000001</v>
      </c>
      <c r="J1285">
        <v>1455.0135498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592.21585800000003</v>
      </c>
      <c r="B1286" s="1">
        <f>DATE(2011,12,14) + TIME(5,10,50)</f>
        <v>40891.215856481482</v>
      </c>
      <c r="C1286">
        <v>80</v>
      </c>
      <c r="D1286">
        <v>73.914016724000007</v>
      </c>
      <c r="E1286">
        <v>50</v>
      </c>
      <c r="F1286">
        <v>49.984142302999999</v>
      </c>
      <c r="G1286">
        <v>1240.578125</v>
      </c>
      <c r="H1286">
        <v>1207.5682373</v>
      </c>
      <c r="I1286">
        <v>1502.769043</v>
      </c>
      <c r="J1286">
        <v>1454.8037108999999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593.45962799999995</v>
      </c>
      <c r="B1287" s="1">
        <f>DATE(2011,12,15) + TIME(11,1,51)</f>
        <v>40892.459618055553</v>
      </c>
      <c r="C1287">
        <v>80</v>
      </c>
      <c r="D1287">
        <v>73.766067504999995</v>
      </c>
      <c r="E1287">
        <v>50</v>
      </c>
      <c r="F1287">
        <v>49.984165191999999</v>
      </c>
      <c r="G1287">
        <v>1240.3800048999999</v>
      </c>
      <c r="H1287">
        <v>1207.3272704999999</v>
      </c>
      <c r="I1287">
        <v>1502.5611572</v>
      </c>
      <c r="J1287">
        <v>1454.5974120999999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594.72110899999996</v>
      </c>
      <c r="B1288" s="1">
        <f>DATE(2011,12,16) + TIME(17,18,23)</f>
        <v>40893.721099537041</v>
      </c>
      <c r="C1288">
        <v>80</v>
      </c>
      <c r="D1288">
        <v>73.617507935000006</v>
      </c>
      <c r="E1288">
        <v>50</v>
      </c>
      <c r="F1288">
        <v>49.984191895000002</v>
      </c>
      <c r="G1288">
        <v>1240.1784668</v>
      </c>
      <c r="H1288">
        <v>1207.0820312000001</v>
      </c>
      <c r="I1288">
        <v>1502.3569336</v>
      </c>
      <c r="J1288">
        <v>1454.3947754000001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596.01057900000001</v>
      </c>
      <c r="B1289" s="1">
        <f>DATE(2011,12,18) + TIME(0,15,13)</f>
        <v>40895.010567129626</v>
      </c>
      <c r="C1289">
        <v>80</v>
      </c>
      <c r="D1289">
        <v>73.467674255000006</v>
      </c>
      <c r="E1289">
        <v>50</v>
      </c>
      <c r="F1289">
        <v>49.984214782999999</v>
      </c>
      <c r="G1289">
        <v>1239.972168</v>
      </c>
      <c r="H1289">
        <v>1206.8309326000001</v>
      </c>
      <c r="I1289">
        <v>1502.1552733999999</v>
      </c>
      <c r="J1289">
        <v>1454.1945800999999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597.34048199999995</v>
      </c>
      <c r="B1290" s="1">
        <f>DATE(2011,12,19) + TIME(8,10,17)</f>
        <v>40896.340474537035</v>
      </c>
      <c r="C1290">
        <v>80</v>
      </c>
      <c r="D1290">
        <v>73.315429687999995</v>
      </c>
      <c r="E1290">
        <v>50</v>
      </c>
      <c r="F1290">
        <v>49.984241486000002</v>
      </c>
      <c r="G1290">
        <v>1239.7595214999999</v>
      </c>
      <c r="H1290">
        <v>1206.5717772999999</v>
      </c>
      <c r="I1290">
        <v>1501.9545897999999</v>
      </c>
      <c r="J1290">
        <v>1453.9952393000001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598.69297700000004</v>
      </c>
      <c r="B1291" s="1">
        <f>DATE(2011,12,20) + TIME(16,37,53)</f>
        <v>40897.692974537036</v>
      </c>
      <c r="C1291">
        <v>80</v>
      </c>
      <c r="D1291">
        <v>73.160095214999998</v>
      </c>
      <c r="E1291">
        <v>50</v>
      </c>
      <c r="F1291">
        <v>49.984268188000001</v>
      </c>
      <c r="G1291">
        <v>1239.5379639</v>
      </c>
      <c r="H1291">
        <v>1206.3018798999999</v>
      </c>
      <c r="I1291">
        <v>1501.7528076000001</v>
      </c>
      <c r="J1291">
        <v>1453.7949219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600.05092100000002</v>
      </c>
      <c r="B1292" s="1">
        <f>DATE(2011,12,22) + TIME(1,13,19)</f>
        <v>40899.05091435185</v>
      </c>
      <c r="C1292">
        <v>80</v>
      </c>
      <c r="D1292">
        <v>73.003166199000006</v>
      </c>
      <c r="E1292">
        <v>50</v>
      </c>
      <c r="F1292">
        <v>49.984294890999998</v>
      </c>
      <c r="G1292">
        <v>1239.3101807</v>
      </c>
      <c r="H1292">
        <v>1206.0242920000001</v>
      </c>
      <c r="I1292">
        <v>1501.5529785000001</v>
      </c>
      <c r="J1292">
        <v>1453.5963135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601.42664100000002</v>
      </c>
      <c r="B1293" s="1">
        <f>DATE(2011,12,23) + TIME(10,14,21)</f>
        <v>40900.426631944443</v>
      </c>
      <c r="C1293">
        <v>80</v>
      </c>
      <c r="D1293">
        <v>72.845802307</v>
      </c>
      <c r="E1293">
        <v>50</v>
      </c>
      <c r="F1293">
        <v>49.984321594000001</v>
      </c>
      <c r="G1293">
        <v>1239.0789795000001</v>
      </c>
      <c r="H1293">
        <v>1205.7418213000001</v>
      </c>
      <c r="I1293">
        <v>1501.3574219</v>
      </c>
      <c r="J1293">
        <v>1453.4019774999999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602.83267499999999</v>
      </c>
      <c r="B1294" s="1">
        <f>DATE(2011,12,24) + TIME(19,59,3)</f>
        <v>40901.832673611112</v>
      </c>
      <c r="C1294">
        <v>80</v>
      </c>
      <c r="D1294">
        <v>72.687065125000004</v>
      </c>
      <c r="E1294">
        <v>50</v>
      </c>
      <c r="F1294">
        <v>49.984348296999997</v>
      </c>
      <c r="G1294">
        <v>1238.8421631000001</v>
      </c>
      <c r="H1294">
        <v>1205.4521483999999</v>
      </c>
      <c r="I1294">
        <v>1501.1641846</v>
      </c>
      <c r="J1294">
        <v>1453.2099608999999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604.28098799999998</v>
      </c>
      <c r="B1295" s="1">
        <f>DATE(2011,12,26) + TIME(6,44,37)</f>
        <v>40903.2809837963</v>
      </c>
      <c r="C1295">
        <v>80</v>
      </c>
      <c r="D1295">
        <v>72.525588988999999</v>
      </c>
      <c r="E1295">
        <v>50</v>
      </c>
      <c r="F1295">
        <v>49.984375</v>
      </c>
      <c r="G1295">
        <v>1238.597168</v>
      </c>
      <c r="H1295">
        <v>1205.1522216999999</v>
      </c>
      <c r="I1295">
        <v>1500.9715576000001</v>
      </c>
      <c r="J1295">
        <v>1453.0185547000001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605.755359</v>
      </c>
      <c r="B1296" s="1">
        <f>DATE(2011,12,27) + TIME(18,7,43)</f>
        <v>40904.755358796298</v>
      </c>
      <c r="C1296">
        <v>80</v>
      </c>
      <c r="D1296">
        <v>72.360580443999993</v>
      </c>
      <c r="E1296">
        <v>50</v>
      </c>
      <c r="F1296">
        <v>49.984405518000003</v>
      </c>
      <c r="G1296">
        <v>1238.3415527</v>
      </c>
      <c r="H1296">
        <v>1204.8389893000001</v>
      </c>
      <c r="I1296">
        <v>1500.7779541</v>
      </c>
      <c r="J1296">
        <v>1452.8261719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607.23569599999996</v>
      </c>
      <c r="B1297" s="1">
        <f>DATE(2011,12,29) + TIME(5,39,24)</f>
        <v>40906.235694444447</v>
      </c>
      <c r="C1297">
        <v>80</v>
      </c>
      <c r="D1297">
        <v>72.193374633999994</v>
      </c>
      <c r="E1297">
        <v>50</v>
      </c>
      <c r="F1297">
        <v>49.984432220000002</v>
      </c>
      <c r="G1297">
        <v>1238.0778809000001</v>
      </c>
      <c r="H1297">
        <v>1204.5153809000001</v>
      </c>
      <c r="I1297">
        <v>1500.5856934000001</v>
      </c>
      <c r="J1297">
        <v>1452.6350098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608.73532699999998</v>
      </c>
      <c r="B1298" s="1">
        <f>DATE(2011,12,30) + TIME(17,38,52)</f>
        <v>40907.735324074078</v>
      </c>
      <c r="C1298">
        <v>80</v>
      </c>
      <c r="D1298">
        <v>72.025283813000001</v>
      </c>
      <c r="E1298">
        <v>50</v>
      </c>
      <c r="F1298">
        <v>49.984462737999998</v>
      </c>
      <c r="G1298">
        <v>1237.8092041</v>
      </c>
      <c r="H1298">
        <v>1204.1848144999999</v>
      </c>
      <c r="I1298">
        <v>1500.3972168</v>
      </c>
      <c r="J1298">
        <v>1452.4476318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610</v>
      </c>
      <c r="B1299" s="1">
        <f>DATE(2012,1,1) + TIME(0,0,0)</f>
        <v>40909</v>
      </c>
      <c r="C1299">
        <v>80</v>
      </c>
      <c r="D1299">
        <v>71.861564635999997</v>
      </c>
      <c r="E1299">
        <v>50</v>
      </c>
      <c r="F1299">
        <v>49.984485626000001</v>
      </c>
      <c r="G1299">
        <v>1237.5327147999999</v>
      </c>
      <c r="H1299">
        <v>1203.8463135</v>
      </c>
      <c r="I1299">
        <v>1500.2108154</v>
      </c>
      <c r="J1299">
        <v>1452.262207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611.52933700000006</v>
      </c>
      <c r="B1300" s="1">
        <f>DATE(2012,1,2) + TIME(12,42,14)</f>
        <v>40910.529328703706</v>
      </c>
      <c r="C1300">
        <v>80</v>
      </c>
      <c r="D1300">
        <v>71.708503723000007</v>
      </c>
      <c r="E1300">
        <v>50</v>
      </c>
      <c r="F1300">
        <v>49.984516143999997</v>
      </c>
      <c r="G1300">
        <v>1237.2962646000001</v>
      </c>
      <c r="H1300">
        <v>1203.5499268000001</v>
      </c>
      <c r="I1300">
        <v>1500.0568848</v>
      </c>
      <c r="J1300">
        <v>1452.1090088000001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613.13111900000001</v>
      </c>
      <c r="B1301" s="1">
        <f>DATE(2012,1,4) + TIME(3,8,48)</f>
        <v>40912.131111111114</v>
      </c>
      <c r="C1301">
        <v>80</v>
      </c>
      <c r="D1301">
        <v>71.537887573000006</v>
      </c>
      <c r="E1301">
        <v>50</v>
      </c>
      <c r="F1301">
        <v>49.984542847</v>
      </c>
      <c r="G1301">
        <v>1237.0072021000001</v>
      </c>
      <c r="H1301">
        <v>1203.1929932</v>
      </c>
      <c r="I1301">
        <v>1499.8751221</v>
      </c>
      <c r="J1301">
        <v>1451.9282227000001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614.74094100000002</v>
      </c>
      <c r="B1302" s="1">
        <f>DATE(2012,1,5) + TIME(17,46,57)</f>
        <v>40913.740937499999</v>
      </c>
      <c r="C1302">
        <v>80</v>
      </c>
      <c r="D1302">
        <v>71.358482361</v>
      </c>
      <c r="E1302">
        <v>50</v>
      </c>
      <c r="F1302">
        <v>49.984573363999999</v>
      </c>
      <c r="G1302">
        <v>1236.6988524999999</v>
      </c>
      <c r="H1302">
        <v>1202.8111572</v>
      </c>
      <c r="I1302">
        <v>1499.6888428</v>
      </c>
      <c r="J1302">
        <v>1451.7427978999999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616.36214600000005</v>
      </c>
      <c r="B1303" s="1">
        <f>DATE(2012,1,7) + TIME(8,41,29)</f>
        <v>40915.362141203703</v>
      </c>
      <c r="C1303">
        <v>80</v>
      </c>
      <c r="D1303">
        <v>71.176452636999997</v>
      </c>
      <c r="E1303">
        <v>50</v>
      </c>
      <c r="F1303">
        <v>49.984603882000002</v>
      </c>
      <c r="G1303">
        <v>1236.3834228999999</v>
      </c>
      <c r="H1303">
        <v>1202.4185791</v>
      </c>
      <c r="I1303">
        <v>1499.5058594</v>
      </c>
      <c r="J1303">
        <v>1451.5607910000001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618.00904800000001</v>
      </c>
      <c r="B1304" s="1">
        <f>DATE(2012,1,9) + TIME(0,13,1)</f>
        <v>40917.009039351855</v>
      </c>
      <c r="C1304">
        <v>80</v>
      </c>
      <c r="D1304">
        <v>70.992179871000005</v>
      </c>
      <c r="E1304">
        <v>50</v>
      </c>
      <c r="F1304">
        <v>49.984634399000001</v>
      </c>
      <c r="G1304">
        <v>1236.0600586</v>
      </c>
      <c r="H1304">
        <v>1202.0147704999999</v>
      </c>
      <c r="I1304">
        <v>1499.3258057</v>
      </c>
      <c r="J1304">
        <v>1451.3815918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619.69603700000005</v>
      </c>
      <c r="B1305" s="1">
        <f>DATE(2012,1,10) + TIME(16,42,17)</f>
        <v>40918.696030092593</v>
      </c>
      <c r="C1305">
        <v>80</v>
      </c>
      <c r="D1305">
        <v>70.804199218999997</v>
      </c>
      <c r="E1305">
        <v>50</v>
      </c>
      <c r="F1305">
        <v>49.984664917000003</v>
      </c>
      <c r="G1305">
        <v>1235.7255858999999</v>
      </c>
      <c r="H1305">
        <v>1201.5955810999999</v>
      </c>
      <c r="I1305">
        <v>1499.1470947</v>
      </c>
      <c r="J1305">
        <v>1451.2036132999999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621.41628600000001</v>
      </c>
      <c r="B1306" s="1">
        <f>DATE(2012,1,12) + TIME(9,59,27)</f>
        <v>40920.416284722225</v>
      </c>
      <c r="C1306">
        <v>80</v>
      </c>
      <c r="D1306">
        <v>70.611068725999999</v>
      </c>
      <c r="E1306">
        <v>50</v>
      </c>
      <c r="F1306">
        <v>49.984695434999999</v>
      </c>
      <c r="G1306">
        <v>1235.3763428</v>
      </c>
      <c r="H1306">
        <v>1201.1567382999999</v>
      </c>
      <c r="I1306">
        <v>1498.9678954999999</v>
      </c>
      <c r="J1306">
        <v>1451.0252685999999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623.14970800000003</v>
      </c>
      <c r="B1307" s="1">
        <f>DATE(2012,1,14) + TIME(3,35,34)</f>
        <v>40922.149699074071</v>
      </c>
      <c r="C1307">
        <v>80</v>
      </c>
      <c r="D1307">
        <v>70.413162231000001</v>
      </c>
      <c r="E1307">
        <v>50</v>
      </c>
      <c r="F1307">
        <v>49.984729766999997</v>
      </c>
      <c r="G1307">
        <v>1235.0130615</v>
      </c>
      <c r="H1307">
        <v>1200.6987305</v>
      </c>
      <c r="I1307">
        <v>1498.7893065999999</v>
      </c>
      <c r="J1307">
        <v>1450.8474120999999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624.89809100000002</v>
      </c>
      <c r="B1308" s="1">
        <f>DATE(2012,1,15) + TIME(21,33,15)</f>
        <v>40923.898090277777</v>
      </c>
      <c r="C1308">
        <v>80</v>
      </c>
      <c r="D1308">
        <v>70.211769103999998</v>
      </c>
      <c r="E1308">
        <v>50</v>
      </c>
      <c r="F1308">
        <v>49.984760283999996</v>
      </c>
      <c r="G1308">
        <v>1234.6394043</v>
      </c>
      <c r="H1308">
        <v>1200.2255858999999</v>
      </c>
      <c r="I1308">
        <v>1498.6132812000001</v>
      </c>
      <c r="J1308">
        <v>1450.6719971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626.67717700000003</v>
      </c>
      <c r="B1309" s="1">
        <f>DATE(2012,1,17) + TIME(16,15,8)</f>
        <v>40925.677175925928</v>
      </c>
      <c r="C1309">
        <v>80</v>
      </c>
      <c r="D1309">
        <v>70.006507873999993</v>
      </c>
      <c r="E1309">
        <v>50</v>
      </c>
      <c r="F1309">
        <v>49.984790801999999</v>
      </c>
      <c r="G1309">
        <v>1234.2546387</v>
      </c>
      <c r="H1309">
        <v>1199.7364502</v>
      </c>
      <c r="I1309">
        <v>1498.4395752</v>
      </c>
      <c r="J1309">
        <v>1450.4989014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628.49714200000005</v>
      </c>
      <c r="B1310" s="1">
        <f>DATE(2012,1,19) + TIME(11,55,53)</f>
        <v>40927.497141203705</v>
      </c>
      <c r="C1310">
        <v>80</v>
      </c>
      <c r="D1310">
        <v>69.795753478999998</v>
      </c>
      <c r="E1310">
        <v>50</v>
      </c>
      <c r="F1310">
        <v>49.984825133999998</v>
      </c>
      <c r="G1310">
        <v>1233.8549805</v>
      </c>
      <c r="H1310">
        <v>1199.2261963000001</v>
      </c>
      <c r="I1310">
        <v>1498.2664795000001</v>
      </c>
      <c r="J1310">
        <v>1450.3265381000001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630.34486800000002</v>
      </c>
      <c r="B1311" s="1">
        <f>DATE(2012,1,21) + TIME(8,16,36)</f>
        <v>40929.344861111109</v>
      </c>
      <c r="C1311">
        <v>80</v>
      </c>
      <c r="D1311">
        <v>69.577987671000002</v>
      </c>
      <c r="E1311">
        <v>50</v>
      </c>
      <c r="F1311">
        <v>49.984855652</v>
      </c>
      <c r="G1311">
        <v>1233.4370117000001</v>
      </c>
      <c r="H1311">
        <v>1198.6907959</v>
      </c>
      <c r="I1311">
        <v>1498.0932617000001</v>
      </c>
      <c r="J1311">
        <v>1450.1539307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632.21029899999996</v>
      </c>
      <c r="B1312" s="1">
        <f>DATE(2012,1,23) + TIME(5,2,49)</f>
        <v>40931.210289351853</v>
      </c>
      <c r="C1312">
        <v>80</v>
      </c>
      <c r="D1312">
        <v>69.353881835999999</v>
      </c>
      <c r="E1312">
        <v>50</v>
      </c>
      <c r="F1312">
        <v>49.984889983999999</v>
      </c>
      <c r="G1312">
        <v>1233.0032959</v>
      </c>
      <c r="H1312">
        <v>1198.1325684000001</v>
      </c>
      <c r="I1312">
        <v>1497.9210204999999</v>
      </c>
      <c r="J1312">
        <v>1449.9824219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634.09529899999995</v>
      </c>
      <c r="B1313" s="1">
        <f>DATE(2012,1,25) + TIME(2,17,13)</f>
        <v>40933.095289351855</v>
      </c>
      <c r="C1313">
        <v>80</v>
      </c>
      <c r="D1313">
        <v>69.124092102000006</v>
      </c>
      <c r="E1313">
        <v>50</v>
      </c>
      <c r="F1313">
        <v>49.984924315999997</v>
      </c>
      <c r="G1313">
        <v>1232.5552978999999</v>
      </c>
      <c r="H1313">
        <v>1197.5533447</v>
      </c>
      <c r="I1313">
        <v>1497.7508545000001</v>
      </c>
      <c r="J1313">
        <v>1449.8127440999999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636.01050499999997</v>
      </c>
      <c r="B1314" s="1">
        <f>DATE(2012,1,27) + TIME(0,15,7)</f>
        <v>40935.010497685187</v>
      </c>
      <c r="C1314">
        <v>80</v>
      </c>
      <c r="D1314">
        <v>68.888168335000003</v>
      </c>
      <c r="E1314">
        <v>50</v>
      </c>
      <c r="F1314">
        <v>49.984958648999999</v>
      </c>
      <c r="G1314">
        <v>1232.0921631000001</v>
      </c>
      <c r="H1314">
        <v>1196.9517822</v>
      </c>
      <c r="I1314">
        <v>1497.5823975000001</v>
      </c>
      <c r="J1314">
        <v>1449.6447754000001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637.96704199999999</v>
      </c>
      <c r="B1315" s="1">
        <f>DATE(2012,1,28) + TIME(23,12,32)</f>
        <v>40936.967037037037</v>
      </c>
      <c r="C1315">
        <v>80</v>
      </c>
      <c r="D1315">
        <v>68.644348144999995</v>
      </c>
      <c r="E1315">
        <v>50</v>
      </c>
      <c r="F1315">
        <v>49.984992980999998</v>
      </c>
      <c r="G1315">
        <v>1231.6105957</v>
      </c>
      <c r="H1315">
        <v>1196.3234863</v>
      </c>
      <c r="I1315">
        <v>1497.4146728999999</v>
      </c>
      <c r="J1315">
        <v>1449.4776611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639.94338200000004</v>
      </c>
      <c r="B1316" s="1">
        <f>DATE(2012,1,30) + TIME(22,38,28)</f>
        <v>40938.943379629629</v>
      </c>
      <c r="C1316">
        <v>80</v>
      </c>
      <c r="D1316">
        <v>68.391334533999995</v>
      </c>
      <c r="E1316">
        <v>50</v>
      </c>
      <c r="F1316">
        <v>49.985023499</v>
      </c>
      <c r="G1316">
        <v>1231.1071777</v>
      </c>
      <c r="H1316">
        <v>1195.6638184000001</v>
      </c>
      <c r="I1316">
        <v>1497.2468262</v>
      </c>
      <c r="J1316">
        <v>1449.3104248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641</v>
      </c>
      <c r="B1317" s="1">
        <f>DATE(2012,2,1) + TIME(0,0,0)</f>
        <v>40940</v>
      </c>
      <c r="C1317">
        <v>80</v>
      </c>
      <c r="D1317">
        <v>68.160057068</v>
      </c>
      <c r="E1317">
        <v>50</v>
      </c>
      <c r="F1317">
        <v>49.985042571999998</v>
      </c>
      <c r="G1317">
        <v>1230.5876464999999</v>
      </c>
      <c r="H1317">
        <v>1194.9953613</v>
      </c>
      <c r="I1317">
        <v>1497.0809326000001</v>
      </c>
      <c r="J1317">
        <v>1449.1448975000001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642.99572000000001</v>
      </c>
      <c r="B1318" s="1">
        <f>DATE(2012,2,2) + TIME(23,53,50)</f>
        <v>40941.995717592596</v>
      </c>
      <c r="C1318">
        <v>80</v>
      </c>
      <c r="D1318">
        <v>67.973983765</v>
      </c>
      <c r="E1318">
        <v>50</v>
      </c>
      <c r="F1318">
        <v>49.985080719000003</v>
      </c>
      <c r="G1318">
        <v>1230.2980957</v>
      </c>
      <c r="H1318">
        <v>1194.5880127</v>
      </c>
      <c r="I1318">
        <v>1496.9926757999999</v>
      </c>
      <c r="J1318">
        <v>1449.0568848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645.035481</v>
      </c>
      <c r="B1319" s="1">
        <f>DATE(2012,2,5) + TIME(0,51,5)</f>
        <v>40944.035474537035</v>
      </c>
      <c r="C1319">
        <v>80</v>
      </c>
      <c r="D1319">
        <v>67.712234496999997</v>
      </c>
      <c r="E1319">
        <v>50</v>
      </c>
      <c r="F1319">
        <v>49.985111236999998</v>
      </c>
      <c r="G1319">
        <v>1229.7564697</v>
      </c>
      <c r="H1319">
        <v>1193.8767089999999</v>
      </c>
      <c r="I1319">
        <v>1496.8304443</v>
      </c>
      <c r="J1319">
        <v>1448.8952637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647.11658299999999</v>
      </c>
      <c r="B1320" s="1">
        <f>DATE(2012,2,7) + TIME(2,47,52)</f>
        <v>40946.116574074076</v>
      </c>
      <c r="C1320">
        <v>80</v>
      </c>
      <c r="D1320">
        <v>67.428352356000005</v>
      </c>
      <c r="E1320">
        <v>50</v>
      </c>
      <c r="F1320">
        <v>49.985149384000003</v>
      </c>
      <c r="G1320">
        <v>1229.1866454999999</v>
      </c>
      <c r="H1320">
        <v>1193.1182861</v>
      </c>
      <c r="I1320">
        <v>1496.6674805</v>
      </c>
      <c r="J1320">
        <v>1448.7326660000001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649.21791800000005</v>
      </c>
      <c r="B1321" s="1">
        <f>DATE(2012,2,9) + TIME(5,13,48)</f>
        <v>40948.217916666668</v>
      </c>
      <c r="C1321">
        <v>80</v>
      </c>
      <c r="D1321">
        <v>67.130462645999998</v>
      </c>
      <c r="E1321">
        <v>50</v>
      </c>
      <c r="F1321">
        <v>49.985183716000002</v>
      </c>
      <c r="G1321">
        <v>1228.5911865</v>
      </c>
      <c r="H1321">
        <v>1192.3214111</v>
      </c>
      <c r="I1321">
        <v>1496.5042725000001</v>
      </c>
      <c r="J1321">
        <v>1448.5699463000001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651.33971399999996</v>
      </c>
      <c r="B1322" s="1">
        <f>DATE(2012,2,11) + TIME(8,9,11)</f>
        <v>40950.33971064815</v>
      </c>
      <c r="C1322">
        <v>80</v>
      </c>
      <c r="D1322">
        <v>66.820838928000001</v>
      </c>
      <c r="E1322">
        <v>50</v>
      </c>
      <c r="F1322">
        <v>49.985218048</v>
      </c>
      <c r="G1322">
        <v>1227.9752197</v>
      </c>
      <c r="H1322">
        <v>1191.4927978999999</v>
      </c>
      <c r="I1322">
        <v>1496.3427733999999</v>
      </c>
      <c r="J1322">
        <v>1448.4088135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653.49432200000001</v>
      </c>
      <c r="B1323" s="1">
        <f>DATE(2012,2,13) + TIME(11,51,49)</f>
        <v>40952.494317129633</v>
      </c>
      <c r="C1323">
        <v>80</v>
      </c>
      <c r="D1323">
        <v>66.499298096000004</v>
      </c>
      <c r="E1323">
        <v>50</v>
      </c>
      <c r="F1323">
        <v>49.985256194999998</v>
      </c>
      <c r="G1323">
        <v>1227.3387451000001</v>
      </c>
      <c r="H1323">
        <v>1190.6324463000001</v>
      </c>
      <c r="I1323">
        <v>1496.1827393000001</v>
      </c>
      <c r="J1323">
        <v>1448.2491454999999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655.68183599999998</v>
      </c>
      <c r="B1324" s="1">
        <f>DATE(2012,2,15) + TIME(16,21,50)</f>
        <v>40954.681828703702</v>
      </c>
      <c r="C1324">
        <v>80</v>
      </c>
      <c r="D1324">
        <v>66.163322449000006</v>
      </c>
      <c r="E1324">
        <v>50</v>
      </c>
      <c r="F1324">
        <v>49.985290526999997</v>
      </c>
      <c r="G1324">
        <v>1226.677124</v>
      </c>
      <c r="H1324">
        <v>1189.7337646000001</v>
      </c>
      <c r="I1324">
        <v>1496.0233154</v>
      </c>
      <c r="J1324">
        <v>1448.0900879000001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657.90832399999999</v>
      </c>
      <c r="B1325" s="1">
        <f>DATE(2012,2,17) + TIME(21,47,59)</f>
        <v>40956.908321759256</v>
      </c>
      <c r="C1325">
        <v>80</v>
      </c>
      <c r="D1325">
        <v>65.812210082999997</v>
      </c>
      <c r="E1325">
        <v>50</v>
      </c>
      <c r="F1325">
        <v>49.985328674000002</v>
      </c>
      <c r="G1325">
        <v>1225.9899902</v>
      </c>
      <c r="H1325">
        <v>1188.7963867000001</v>
      </c>
      <c r="I1325">
        <v>1495.8643798999999</v>
      </c>
      <c r="J1325">
        <v>1447.9315185999999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660.14731500000005</v>
      </c>
      <c r="B1326" s="1">
        <f>DATE(2012,2,20) + TIME(3,32,7)</f>
        <v>40959.147303240738</v>
      </c>
      <c r="C1326">
        <v>80</v>
      </c>
      <c r="D1326">
        <v>65.444046021000005</v>
      </c>
      <c r="E1326">
        <v>50</v>
      </c>
      <c r="F1326">
        <v>49.985363006999997</v>
      </c>
      <c r="G1326">
        <v>1225.2741699000001</v>
      </c>
      <c r="H1326">
        <v>1187.8151855000001</v>
      </c>
      <c r="I1326">
        <v>1495.7056885</v>
      </c>
      <c r="J1326">
        <v>1447.7731934000001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662.412418</v>
      </c>
      <c r="B1327" s="1">
        <f>DATE(2012,2,22) + TIME(9,53,52)</f>
        <v>40961.412407407406</v>
      </c>
      <c r="C1327">
        <v>80</v>
      </c>
      <c r="D1327">
        <v>65.061790466000005</v>
      </c>
      <c r="E1327">
        <v>50</v>
      </c>
      <c r="F1327">
        <v>49.985401154000002</v>
      </c>
      <c r="G1327">
        <v>1224.5380858999999</v>
      </c>
      <c r="H1327">
        <v>1186.8015137</v>
      </c>
      <c r="I1327">
        <v>1495.5489502</v>
      </c>
      <c r="J1327">
        <v>1447.6166992000001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664.71355200000005</v>
      </c>
      <c r="B1328" s="1">
        <f>DATE(2012,2,24) + TIME(17,7,30)</f>
        <v>40963.713541666664</v>
      </c>
      <c r="C1328">
        <v>80</v>
      </c>
      <c r="D1328">
        <v>64.662162781000006</v>
      </c>
      <c r="E1328">
        <v>50</v>
      </c>
      <c r="F1328">
        <v>49.985439301</v>
      </c>
      <c r="G1328">
        <v>1223.776001</v>
      </c>
      <c r="H1328">
        <v>1185.7463379000001</v>
      </c>
      <c r="I1328">
        <v>1495.3933105000001</v>
      </c>
      <c r="J1328">
        <v>1447.4614257999999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667.05567699999995</v>
      </c>
      <c r="B1329" s="1">
        <f>DATE(2012,2,27) + TIME(1,20,10)</f>
        <v>40966.055671296293</v>
      </c>
      <c r="C1329">
        <v>80</v>
      </c>
      <c r="D1329">
        <v>64.244247436999999</v>
      </c>
      <c r="E1329">
        <v>50</v>
      </c>
      <c r="F1329">
        <v>49.985473632999998</v>
      </c>
      <c r="G1329">
        <v>1222.9858397999999</v>
      </c>
      <c r="H1329">
        <v>1184.6489257999999</v>
      </c>
      <c r="I1329">
        <v>1495.2379149999999</v>
      </c>
      <c r="J1329">
        <v>1447.3062743999999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669.42173300000002</v>
      </c>
      <c r="B1330" s="1">
        <f>DATE(2012,2,29) + TIME(10,7,17)</f>
        <v>40968.421724537038</v>
      </c>
      <c r="C1330">
        <v>80</v>
      </c>
      <c r="D1330">
        <v>63.804336548000002</v>
      </c>
      <c r="E1330">
        <v>50</v>
      </c>
      <c r="F1330">
        <v>49.985511780000003</v>
      </c>
      <c r="G1330">
        <v>1222.1621094</v>
      </c>
      <c r="H1330">
        <v>1183.4974365</v>
      </c>
      <c r="I1330">
        <v>1495.0826416</v>
      </c>
      <c r="J1330">
        <v>1447.1513672000001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670</v>
      </c>
      <c r="B1331" s="1">
        <f>DATE(2012,3,1) + TIME(0,0,0)</f>
        <v>40969</v>
      </c>
      <c r="C1331">
        <v>80</v>
      </c>
      <c r="D1331">
        <v>63.473930359000001</v>
      </c>
      <c r="E1331">
        <v>50</v>
      </c>
      <c r="F1331">
        <v>49.985515593999999</v>
      </c>
      <c r="G1331">
        <v>1221.3259277</v>
      </c>
      <c r="H1331">
        <v>1182.4040527</v>
      </c>
      <c r="I1331">
        <v>1494.9304199000001</v>
      </c>
      <c r="J1331">
        <v>1446.9993896000001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672.38082699999995</v>
      </c>
      <c r="B1332" s="1">
        <f>DATE(2012,3,3) + TIME(9,8,23)</f>
        <v>40971.38082175926</v>
      </c>
      <c r="C1332">
        <v>80</v>
      </c>
      <c r="D1332">
        <v>63.204875946000001</v>
      </c>
      <c r="E1332">
        <v>50</v>
      </c>
      <c r="F1332">
        <v>49.985557556000003</v>
      </c>
      <c r="G1332">
        <v>1221.0950928</v>
      </c>
      <c r="H1332">
        <v>1181.980957</v>
      </c>
      <c r="I1332">
        <v>1494.8900146000001</v>
      </c>
      <c r="J1332">
        <v>1446.9591064000001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674.80384800000002</v>
      </c>
      <c r="B1333" s="1">
        <f>DATE(2012,3,5) + TIME(19,17,32)</f>
        <v>40973.803842592592</v>
      </c>
      <c r="C1333">
        <v>80</v>
      </c>
      <c r="D1333">
        <v>62.747741699000002</v>
      </c>
      <c r="E1333">
        <v>50</v>
      </c>
      <c r="F1333">
        <v>49.985595703000001</v>
      </c>
      <c r="G1333">
        <v>1220.2254639</v>
      </c>
      <c r="H1333">
        <v>1180.7696533000001</v>
      </c>
      <c r="I1333">
        <v>1494.7390137</v>
      </c>
      <c r="J1333">
        <v>1446.8083495999999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677.27639399999998</v>
      </c>
      <c r="B1334" s="1">
        <f>DATE(2012,3,8) + TIME(6,38,0)</f>
        <v>40976.276388888888</v>
      </c>
      <c r="C1334">
        <v>80</v>
      </c>
      <c r="D1334">
        <v>62.249126433999997</v>
      </c>
      <c r="E1334">
        <v>50</v>
      </c>
      <c r="F1334">
        <v>49.985633849999999</v>
      </c>
      <c r="G1334">
        <v>1219.3194579999999</v>
      </c>
      <c r="H1334">
        <v>1179.4903564000001</v>
      </c>
      <c r="I1334">
        <v>1494.5869141000001</v>
      </c>
      <c r="J1334">
        <v>1446.6563721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679.77495499999998</v>
      </c>
      <c r="B1335" s="1">
        <f>DATE(2012,3,10) + TIME(18,35,56)</f>
        <v>40978.774953703702</v>
      </c>
      <c r="C1335">
        <v>80</v>
      </c>
      <c r="D1335">
        <v>61.719039917000003</v>
      </c>
      <c r="E1335">
        <v>50</v>
      </c>
      <c r="F1335">
        <v>49.985675811999997</v>
      </c>
      <c r="G1335">
        <v>1218.3690185999999</v>
      </c>
      <c r="H1335">
        <v>1178.1334228999999</v>
      </c>
      <c r="I1335">
        <v>1494.4344481999999</v>
      </c>
      <c r="J1335">
        <v>1446.5042725000001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681.03073900000004</v>
      </c>
      <c r="B1336" s="1">
        <f>DATE(2012,3,12) + TIME(0,44,15)</f>
        <v>40980.030729166669</v>
      </c>
      <c r="C1336">
        <v>80</v>
      </c>
      <c r="D1336">
        <v>61.231250762999998</v>
      </c>
      <c r="E1336">
        <v>50</v>
      </c>
      <c r="F1336">
        <v>49.985691070999998</v>
      </c>
      <c r="G1336">
        <v>1217.3985596</v>
      </c>
      <c r="H1336">
        <v>1176.784668</v>
      </c>
      <c r="I1336">
        <v>1494.2827147999999</v>
      </c>
      <c r="J1336">
        <v>1446.3526611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681.86925599999995</v>
      </c>
      <c r="B1337" s="1">
        <f>DATE(2012,3,12) + TIME(20,51,43)</f>
        <v>40980.869247685187</v>
      </c>
      <c r="C1337">
        <v>80</v>
      </c>
      <c r="D1337">
        <v>60.930732726999999</v>
      </c>
      <c r="E1337">
        <v>50</v>
      </c>
      <c r="F1337">
        <v>49.985702515</v>
      </c>
      <c r="G1337">
        <v>1216.8952637</v>
      </c>
      <c r="H1337">
        <v>1176.0527344</v>
      </c>
      <c r="I1337">
        <v>1494.2066649999999</v>
      </c>
      <c r="J1337">
        <v>1446.2767334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682.70777399999997</v>
      </c>
      <c r="B1338" s="1">
        <f>DATE(2012,3,13) + TIME(16,59,11)</f>
        <v>40981.707766203705</v>
      </c>
      <c r="C1338">
        <v>80</v>
      </c>
      <c r="D1338">
        <v>60.708400726000001</v>
      </c>
      <c r="E1338">
        <v>50</v>
      </c>
      <c r="F1338">
        <v>49.985717772999998</v>
      </c>
      <c r="G1338">
        <v>1216.5562743999999</v>
      </c>
      <c r="H1338">
        <v>1175.5445557</v>
      </c>
      <c r="I1338">
        <v>1494.1560059000001</v>
      </c>
      <c r="J1338">
        <v>1446.2261963000001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683.546291</v>
      </c>
      <c r="B1339" s="1">
        <f>DATE(2012,3,14) + TIME(13,6,39)</f>
        <v>40982.546284722222</v>
      </c>
      <c r="C1339">
        <v>80</v>
      </c>
      <c r="D1339">
        <v>60.505886078000003</v>
      </c>
      <c r="E1339">
        <v>50</v>
      </c>
      <c r="F1339">
        <v>49.985729218000003</v>
      </c>
      <c r="G1339">
        <v>1216.21875</v>
      </c>
      <c r="H1339">
        <v>1175.0523682</v>
      </c>
      <c r="I1339">
        <v>1494.1062012</v>
      </c>
      <c r="J1339">
        <v>1446.1765137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684.38480900000002</v>
      </c>
      <c r="B1340" s="1">
        <f>DATE(2012,3,15) + TIME(9,14,7)</f>
        <v>40983.38480324074</v>
      </c>
      <c r="C1340">
        <v>80</v>
      </c>
      <c r="D1340">
        <v>60.307712555000002</v>
      </c>
      <c r="E1340">
        <v>50</v>
      </c>
      <c r="F1340">
        <v>49.985744476000001</v>
      </c>
      <c r="G1340">
        <v>1215.880249</v>
      </c>
      <c r="H1340">
        <v>1174.5622559000001</v>
      </c>
      <c r="I1340">
        <v>1494.0566406</v>
      </c>
      <c r="J1340">
        <v>1446.1269531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685.22332600000004</v>
      </c>
      <c r="B1341" s="1">
        <f>DATE(2012,3,16) + TIME(5,21,35)</f>
        <v>40984.223321759258</v>
      </c>
      <c r="C1341">
        <v>80</v>
      </c>
      <c r="D1341">
        <v>60.109596252000003</v>
      </c>
      <c r="E1341">
        <v>50</v>
      </c>
      <c r="F1341">
        <v>49.985755920000003</v>
      </c>
      <c r="G1341">
        <v>1215.5402832</v>
      </c>
      <c r="H1341">
        <v>1174.0703125</v>
      </c>
      <c r="I1341">
        <v>1494.0073242000001</v>
      </c>
      <c r="J1341">
        <v>1446.0777588000001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686.06184399999995</v>
      </c>
      <c r="B1342" s="1">
        <f>DATE(2012,3,17) + TIME(1,29,3)</f>
        <v>40985.061840277776</v>
      </c>
      <c r="C1342">
        <v>80</v>
      </c>
      <c r="D1342">
        <v>59.910270691000001</v>
      </c>
      <c r="E1342">
        <v>50</v>
      </c>
      <c r="F1342">
        <v>49.985767365000001</v>
      </c>
      <c r="G1342">
        <v>1215.1984863</v>
      </c>
      <c r="H1342">
        <v>1173.5756836</v>
      </c>
      <c r="I1342">
        <v>1493.958374</v>
      </c>
      <c r="J1342">
        <v>1446.0288086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686.90036199999997</v>
      </c>
      <c r="B1343" s="1">
        <f>DATE(2012,3,17) + TIME(21,36,31)</f>
        <v>40985.900358796294</v>
      </c>
      <c r="C1343">
        <v>80</v>
      </c>
      <c r="D1343">
        <v>59.709400176999999</v>
      </c>
      <c r="E1343">
        <v>50</v>
      </c>
      <c r="F1343">
        <v>49.985782622999999</v>
      </c>
      <c r="G1343">
        <v>1214.8551024999999</v>
      </c>
      <c r="H1343">
        <v>1173.0780029</v>
      </c>
      <c r="I1343">
        <v>1493.9095459</v>
      </c>
      <c r="J1343">
        <v>1445.9801024999999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687.738879</v>
      </c>
      <c r="B1344" s="1">
        <f>DATE(2012,3,18) + TIME(17,43,59)</f>
        <v>40986.738877314812</v>
      </c>
      <c r="C1344">
        <v>80</v>
      </c>
      <c r="D1344">
        <v>59.506980896000002</v>
      </c>
      <c r="E1344">
        <v>50</v>
      </c>
      <c r="F1344">
        <v>49.985794067</v>
      </c>
      <c r="G1344">
        <v>1214.5098877</v>
      </c>
      <c r="H1344">
        <v>1172.5770264</v>
      </c>
      <c r="I1344">
        <v>1493.8609618999999</v>
      </c>
      <c r="J1344">
        <v>1445.9315185999999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688.57739700000002</v>
      </c>
      <c r="B1345" s="1">
        <f>DATE(2012,3,19) + TIME(13,51,27)</f>
        <v>40987.57739583333</v>
      </c>
      <c r="C1345">
        <v>80</v>
      </c>
      <c r="D1345">
        <v>59.303039550999998</v>
      </c>
      <c r="E1345">
        <v>50</v>
      </c>
      <c r="F1345">
        <v>49.985805511000002</v>
      </c>
      <c r="G1345">
        <v>1214.1628418</v>
      </c>
      <c r="H1345">
        <v>1172.072876</v>
      </c>
      <c r="I1345">
        <v>1493.8126221</v>
      </c>
      <c r="J1345">
        <v>1445.8833007999999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689.41591400000004</v>
      </c>
      <c r="B1346" s="1">
        <f>DATE(2012,3,20) + TIME(9,58,55)</f>
        <v>40988.415914351855</v>
      </c>
      <c r="C1346">
        <v>80</v>
      </c>
      <c r="D1346">
        <v>59.097576140999998</v>
      </c>
      <c r="E1346">
        <v>50</v>
      </c>
      <c r="F1346">
        <v>49.985820769999997</v>
      </c>
      <c r="G1346">
        <v>1213.8142089999999</v>
      </c>
      <c r="H1346">
        <v>1171.5655518000001</v>
      </c>
      <c r="I1346">
        <v>1493.7645264</v>
      </c>
      <c r="J1346">
        <v>1445.8352050999999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690.25443199999995</v>
      </c>
      <c r="B1347" s="1">
        <f>DATE(2012,3,21) + TIME(6,6,22)</f>
        <v>40989.254421296297</v>
      </c>
      <c r="C1347">
        <v>80</v>
      </c>
      <c r="D1347">
        <v>58.890613555999998</v>
      </c>
      <c r="E1347">
        <v>50</v>
      </c>
      <c r="F1347">
        <v>49.985832213999998</v>
      </c>
      <c r="G1347">
        <v>1213.4639893000001</v>
      </c>
      <c r="H1347">
        <v>1171.0551757999999</v>
      </c>
      <c r="I1347">
        <v>1493.7166748</v>
      </c>
      <c r="J1347">
        <v>1445.7873535000001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691.09294999999997</v>
      </c>
      <c r="B1348" s="1">
        <f>DATE(2012,3,22) + TIME(2,13,50)</f>
        <v>40990.092939814815</v>
      </c>
      <c r="C1348">
        <v>80</v>
      </c>
      <c r="D1348">
        <v>58.682193755999997</v>
      </c>
      <c r="E1348">
        <v>50</v>
      </c>
      <c r="F1348">
        <v>49.985843658</v>
      </c>
      <c r="G1348">
        <v>1213.1119385</v>
      </c>
      <c r="H1348">
        <v>1170.5417480000001</v>
      </c>
      <c r="I1348">
        <v>1493.6689452999999</v>
      </c>
      <c r="J1348">
        <v>1445.7398682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691.931467</v>
      </c>
      <c r="B1349" s="1">
        <f>DATE(2012,3,22) + TIME(22,21,18)</f>
        <v>40990.931458333333</v>
      </c>
      <c r="C1349">
        <v>80</v>
      </c>
      <c r="D1349">
        <v>58.472343445</v>
      </c>
      <c r="E1349">
        <v>50</v>
      </c>
      <c r="F1349">
        <v>49.985855102999999</v>
      </c>
      <c r="G1349">
        <v>1212.7584228999999</v>
      </c>
      <c r="H1349">
        <v>1170.0252685999999</v>
      </c>
      <c r="I1349">
        <v>1493.621582</v>
      </c>
      <c r="J1349">
        <v>1445.6923827999999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692.76998500000002</v>
      </c>
      <c r="B1350" s="1">
        <f>DATE(2012,3,23) + TIME(18,28,46)</f>
        <v>40991.769976851851</v>
      </c>
      <c r="C1350">
        <v>80</v>
      </c>
      <c r="D1350">
        <v>58.261096954000003</v>
      </c>
      <c r="E1350">
        <v>50</v>
      </c>
      <c r="F1350">
        <v>49.985870361000003</v>
      </c>
      <c r="G1350">
        <v>1212.4033202999999</v>
      </c>
      <c r="H1350">
        <v>1169.5057373</v>
      </c>
      <c r="I1350">
        <v>1493.5743408000001</v>
      </c>
      <c r="J1350">
        <v>1445.6452637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693.60850200000004</v>
      </c>
      <c r="B1351" s="1">
        <f>DATE(2012,3,24) + TIME(14,36,14)</f>
        <v>40992.608495370368</v>
      </c>
      <c r="C1351">
        <v>80</v>
      </c>
      <c r="D1351">
        <v>58.048488616999997</v>
      </c>
      <c r="E1351">
        <v>50</v>
      </c>
      <c r="F1351">
        <v>49.985881804999998</v>
      </c>
      <c r="G1351">
        <v>1212.0465088000001</v>
      </c>
      <c r="H1351">
        <v>1168.9832764</v>
      </c>
      <c r="I1351">
        <v>1493.5273437999999</v>
      </c>
      <c r="J1351">
        <v>1445.5983887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694.44701999999995</v>
      </c>
      <c r="B1352" s="1">
        <f>DATE(2012,3,25) + TIME(10,43,42)</f>
        <v>40993.447013888886</v>
      </c>
      <c r="C1352">
        <v>80</v>
      </c>
      <c r="D1352">
        <v>57.834556579999997</v>
      </c>
      <c r="E1352">
        <v>50</v>
      </c>
      <c r="F1352">
        <v>49.985893249999997</v>
      </c>
      <c r="G1352">
        <v>1211.6883545000001</v>
      </c>
      <c r="H1352">
        <v>1168.4578856999999</v>
      </c>
      <c r="I1352">
        <v>1493.4805908000001</v>
      </c>
      <c r="J1352">
        <v>1445.5516356999999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695.28553799999997</v>
      </c>
      <c r="B1353" s="1">
        <f>DATE(2012,3,26) + TIME(6,51,10)</f>
        <v>40994.285532407404</v>
      </c>
      <c r="C1353">
        <v>80</v>
      </c>
      <c r="D1353">
        <v>57.619338988999999</v>
      </c>
      <c r="E1353">
        <v>50</v>
      </c>
      <c r="F1353">
        <v>49.985904693999998</v>
      </c>
      <c r="G1353">
        <v>1211.3286132999999</v>
      </c>
      <c r="H1353">
        <v>1167.9296875</v>
      </c>
      <c r="I1353">
        <v>1493.4339600000001</v>
      </c>
      <c r="J1353">
        <v>1445.5051269999999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696.124055</v>
      </c>
      <c r="B1354" s="1">
        <f>DATE(2012,3,27) + TIME(2,58,38)</f>
        <v>40995.124050925922</v>
      </c>
      <c r="C1354">
        <v>80</v>
      </c>
      <c r="D1354">
        <v>57.402873993</v>
      </c>
      <c r="E1354">
        <v>50</v>
      </c>
      <c r="F1354">
        <v>49.985919952000003</v>
      </c>
      <c r="G1354">
        <v>1210.9674072</v>
      </c>
      <c r="H1354">
        <v>1167.3985596</v>
      </c>
      <c r="I1354">
        <v>1493.3875731999999</v>
      </c>
      <c r="J1354">
        <v>1445.4587402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696.96257300000002</v>
      </c>
      <c r="B1355" s="1">
        <f>DATE(2012,3,27) + TIME(23,6,6)</f>
        <v>40995.962569444448</v>
      </c>
      <c r="C1355">
        <v>80</v>
      </c>
      <c r="D1355">
        <v>57.185207366999997</v>
      </c>
      <c r="E1355">
        <v>50</v>
      </c>
      <c r="F1355">
        <v>49.985931395999998</v>
      </c>
      <c r="G1355">
        <v>1210.6047363</v>
      </c>
      <c r="H1355">
        <v>1166.864624</v>
      </c>
      <c r="I1355">
        <v>1493.3414307</v>
      </c>
      <c r="J1355">
        <v>1445.4125977000001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697.80109000000004</v>
      </c>
      <c r="B1356" s="1">
        <f>DATE(2012,3,28) + TIME(19,13,34)</f>
        <v>40996.801087962966</v>
      </c>
      <c r="C1356">
        <v>80</v>
      </c>
      <c r="D1356">
        <v>56.966377258000001</v>
      </c>
      <c r="E1356">
        <v>50</v>
      </c>
      <c r="F1356">
        <v>49.985942841000004</v>
      </c>
      <c r="G1356">
        <v>1210.2407227000001</v>
      </c>
      <c r="H1356">
        <v>1166.3278809000001</v>
      </c>
      <c r="I1356">
        <v>1493.2954102000001</v>
      </c>
      <c r="J1356">
        <v>1445.3666992000001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698.63960799999995</v>
      </c>
      <c r="B1357" s="1">
        <f>DATE(2012,3,29) + TIME(15,21,2)</f>
        <v>40997.639606481483</v>
      </c>
      <c r="C1357">
        <v>80</v>
      </c>
      <c r="D1357">
        <v>56.746421814000001</v>
      </c>
      <c r="E1357">
        <v>50</v>
      </c>
      <c r="F1357">
        <v>49.985954284999998</v>
      </c>
      <c r="G1357">
        <v>1209.8752440999999</v>
      </c>
      <c r="H1357">
        <v>1165.7884521000001</v>
      </c>
      <c r="I1357">
        <v>1493.2496338000001</v>
      </c>
      <c r="J1357">
        <v>1445.3209228999999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699.47812499999998</v>
      </c>
      <c r="B1358" s="1">
        <f>DATE(2012,3,30) + TIME(11,28,30)</f>
        <v>40998.478125000001</v>
      </c>
      <c r="C1358">
        <v>80</v>
      </c>
      <c r="D1358">
        <v>56.525390625</v>
      </c>
      <c r="E1358">
        <v>50</v>
      </c>
      <c r="F1358">
        <v>49.985965729</v>
      </c>
      <c r="G1358">
        <v>1209.5084228999999</v>
      </c>
      <c r="H1358">
        <v>1165.2463379000001</v>
      </c>
      <c r="I1358">
        <v>1493.2041016000001</v>
      </c>
      <c r="J1358">
        <v>1445.2753906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700.23906299999999</v>
      </c>
      <c r="B1359" s="1">
        <f>DATE(2012,3,31) + TIME(5,44,15)</f>
        <v>40999.239062499997</v>
      </c>
      <c r="C1359">
        <v>80</v>
      </c>
      <c r="D1359">
        <v>56.309474944999998</v>
      </c>
      <c r="E1359">
        <v>50</v>
      </c>
      <c r="F1359">
        <v>49.985977173000002</v>
      </c>
      <c r="G1359">
        <v>1209.1411132999999</v>
      </c>
      <c r="H1359">
        <v>1164.7076416</v>
      </c>
      <c r="I1359">
        <v>1493.1586914</v>
      </c>
      <c r="J1359">
        <v>1445.2301024999999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701</v>
      </c>
      <c r="B1360" s="1">
        <f>DATE(2012,4,1) + TIME(0,0,0)</f>
        <v>41000</v>
      </c>
      <c r="C1360">
        <v>80</v>
      </c>
      <c r="D1360">
        <v>56.102802277000002</v>
      </c>
      <c r="E1360">
        <v>50</v>
      </c>
      <c r="F1360">
        <v>49.985988616999997</v>
      </c>
      <c r="G1360">
        <v>1208.8145752</v>
      </c>
      <c r="H1360">
        <v>1164.2286377</v>
      </c>
      <c r="I1360">
        <v>1493.1175536999999</v>
      </c>
      <c r="J1360">
        <v>1445.1889647999999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702.52187500000002</v>
      </c>
      <c r="B1361" s="1">
        <f>DATE(2012,4,2) + TIME(12,31,29)</f>
        <v>41001.521863425929</v>
      </c>
      <c r="C1361">
        <v>80</v>
      </c>
      <c r="D1361">
        <v>55.862163543999998</v>
      </c>
      <c r="E1361">
        <v>50</v>
      </c>
      <c r="F1361">
        <v>49.986011505</v>
      </c>
      <c r="G1361">
        <v>1208.4698486</v>
      </c>
      <c r="H1361">
        <v>1163.6835937999999</v>
      </c>
      <c r="I1361">
        <v>1493.0765381000001</v>
      </c>
      <c r="J1361">
        <v>1445.1480713000001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705.14896299999998</v>
      </c>
      <c r="B1362" s="1">
        <f>DATE(2012,4,5) + TIME(3,34,30)</f>
        <v>41004.148958333331</v>
      </c>
      <c r="C1362">
        <v>80</v>
      </c>
      <c r="D1362">
        <v>55.453105927000003</v>
      </c>
      <c r="E1362">
        <v>50</v>
      </c>
      <c r="F1362">
        <v>49.986049651999998</v>
      </c>
      <c r="G1362">
        <v>1207.7962646000001</v>
      </c>
      <c r="H1362">
        <v>1162.6800536999999</v>
      </c>
      <c r="I1362">
        <v>1492.9959716999999</v>
      </c>
      <c r="J1362">
        <v>1445.0675048999999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706.49097900000004</v>
      </c>
      <c r="B1363" s="1">
        <f>DATE(2012,4,6) + TIME(11,47,0)</f>
        <v>41005.490972222222</v>
      </c>
      <c r="C1363">
        <v>80</v>
      </c>
      <c r="D1363">
        <v>54.842662810999997</v>
      </c>
      <c r="E1363">
        <v>50</v>
      </c>
      <c r="F1363">
        <v>49.986064911</v>
      </c>
      <c r="G1363">
        <v>1206.6237793</v>
      </c>
      <c r="H1363">
        <v>1161.0050048999999</v>
      </c>
      <c r="I1363">
        <v>1492.8579102000001</v>
      </c>
      <c r="J1363">
        <v>1444.9296875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707.29333199999996</v>
      </c>
      <c r="B1364" s="1">
        <f>DATE(2012,4,7) + TIME(7,2,23)</f>
        <v>41006.293321759258</v>
      </c>
      <c r="C1364">
        <v>80</v>
      </c>
      <c r="D1364">
        <v>54.476451873999999</v>
      </c>
      <c r="E1364">
        <v>50</v>
      </c>
      <c r="F1364">
        <v>49.986076355000002</v>
      </c>
      <c r="G1364">
        <v>1206.0183105000001</v>
      </c>
      <c r="H1364">
        <v>1160.1031493999999</v>
      </c>
      <c r="I1364">
        <v>1492.7869873</v>
      </c>
      <c r="J1364">
        <v>1444.8588867000001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708.095685</v>
      </c>
      <c r="B1365" s="1">
        <f>DATE(2012,4,8) + TIME(2,17,47)</f>
        <v>41007.095682870371</v>
      </c>
      <c r="C1365">
        <v>80</v>
      </c>
      <c r="D1365">
        <v>54.214454650999997</v>
      </c>
      <c r="E1365">
        <v>50</v>
      </c>
      <c r="F1365">
        <v>49.986091614000003</v>
      </c>
      <c r="G1365">
        <v>1205.6512451000001</v>
      </c>
      <c r="H1365">
        <v>1159.5214844</v>
      </c>
      <c r="I1365">
        <v>1492.7445068</v>
      </c>
      <c r="J1365">
        <v>1444.8162841999999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708.89803800000004</v>
      </c>
      <c r="B1366" s="1">
        <f>DATE(2012,4,8) + TIME(21,33,10)</f>
        <v>41007.898032407407</v>
      </c>
      <c r="C1366">
        <v>80</v>
      </c>
      <c r="D1366">
        <v>53.981967926000003</v>
      </c>
      <c r="E1366">
        <v>50</v>
      </c>
      <c r="F1366">
        <v>49.986103057999998</v>
      </c>
      <c r="G1366">
        <v>1205.2867432</v>
      </c>
      <c r="H1366">
        <v>1158.9655762</v>
      </c>
      <c r="I1366">
        <v>1492.7027588000001</v>
      </c>
      <c r="J1366">
        <v>1444.7746582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709.70039099999997</v>
      </c>
      <c r="B1367" s="1">
        <f>DATE(2012,4,9) + TIME(16,48,33)</f>
        <v>41008.700381944444</v>
      </c>
      <c r="C1367">
        <v>80</v>
      </c>
      <c r="D1367">
        <v>53.757625580000003</v>
      </c>
      <c r="E1367">
        <v>50</v>
      </c>
      <c r="F1367">
        <v>49.986114502</v>
      </c>
      <c r="G1367">
        <v>1204.9222411999999</v>
      </c>
      <c r="H1367">
        <v>1158.4158935999999</v>
      </c>
      <c r="I1367">
        <v>1492.6611327999999</v>
      </c>
      <c r="J1367">
        <v>1444.7330322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710.50274400000001</v>
      </c>
      <c r="B1368" s="1">
        <f>DATE(2012,4,10) + TIME(12,3,57)</f>
        <v>41009.502743055556</v>
      </c>
      <c r="C1368">
        <v>80</v>
      </c>
      <c r="D1368">
        <v>53.535335541000002</v>
      </c>
      <c r="E1368">
        <v>50</v>
      </c>
      <c r="F1368">
        <v>49.986125946000001</v>
      </c>
      <c r="G1368">
        <v>1204.557251</v>
      </c>
      <c r="H1368">
        <v>1157.8669434000001</v>
      </c>
      <c r="I1368">
        <v>1492.619751</v>
      </c>
      <c r="J1368">
        <v>1444.6916504000001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711.30509700000005</v>
      </c>
      <c r="B1369" s="1">
        <f>DATE(2012,4,11) + TIME(7,19,20)</f>
        <v>41010.305092592593</v>
      </c>
      <c r="C1369">
        <v>80</v>
      </c>
      <c r="D1369">
        <v>53.313373566000003</v>
      </c>
      <c r="E1369">
        <v>50</v>
      </c>
      <c r="F1369">
        <v>49.986137390000003</v>
      </c>
      <c r="G1369">
        <v>1204.1916504000001</v>
      </c>
      <c r="H1369">
        <v>1157.3168945</v>
      </c>
      <c r="I1369">
        <v>1492.5784911999999</v>
      </c>
      <c r="J1369">
        <v>1444.6503906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712.10744999999997</v>
      </c>
      <c r="B1370" s="1">
        <f>DATE(2012,4,12) + TIME(2,34,43)</f>
        <v>41011.107442129629</v>
      </c>
      <c r="C1370">
        <v>80</v>
      </c>
      <c r="D1370">
        <v>53.091278076000002</v>
      </c>
      <c r="E1370">
        <v>50</v>
      </c>
      <c r="F1370">
        <v>49.986148833999998</v>
      </c>
      <c r="G1370">
        <v>1203.8254394999999</v>
      </c>
      <c r="H1370">
        <v>1156.7653809000001</v>
      </c>
      <c r="I1370">
        <v>1492.5373535000001</v>
      </c>
      <c r="J1370">
        <v>1444.609375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712.90980300000001</v>
      </c>
      <c r="B1371" s="1">
        <f>DATE(2012,4,12) + TIME(21,50,7)</f>
        <v>41011.909803240742</v>
      </c>
      <c r="C1371">
        <v>80</v>
      </c>
      <c r="D1371">
        <v>52.868938446000001</v>
      </c>
      <c r="E1371">
        <v>50</v>
      </c>
      <c r="F1371">
        <v>49.986160278</v>
      </c>
      <c r="G1371">
        <v>1203.4584961</v>
      </c>
      <c r="H1371">
        <v>1156.2124022999999</v>
      </c>
      <c r="I1371">
        <v>1492.4963379000001</v>
      </c>
      <c r="J1371">
        <v>1444.5683594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713.71215600000005</v>
      </c>
      <c r="B1372" s="1">
        <f>DATE(2012,4,13) + TIME(17,5,30)</f>
        <v>41012.712152777778</v>
      </c>
      <c r="C1372">
        <v>80</v>
      </c>
      <c r="D1372">
        <v>52.646354674999998</v>
      </c>
      <c r="E1372">
        <v>50</v>
      </c>
      <c r="F1372">
        <v>49.986167907999999</v>
      </c>
      <c r="G1372">
        <v>1203.0909423999999</v>
      </c>
      <c r="H1372">
        <v>1155.6579589999999</v>
      </c>
      <c r="I1372">
        <v>1492.4554443</v>
      </c>
      <c r="J1372">
        <v>1444.5274658000001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714.51450899999998</v>
      </c>
      <c r="B1373" s="1">
        <f>DATE(2012,4,14) + TIME(12,20,53)</f>
        <v>41013.514502314814</v>
      </c>
      <c r="C1373">
        <v>80</v>
      </c>
      <c r="D1373">
        <v>52.423561096</v>
      </c>
      <c r="E1373">
        <v>50</v>
      </c>
      <c r="F1373">
        <v>49.986179352000001</v>
      </c>
      <c r="G1373">
        <v>1202.7229004000001</v>
      </c>
      <c r="H1373">
        <v>1155.1020507999999</v>
      </c>
      <c r="I1373">
        <v>1492.4146728999999</v>
      </c>
      <c r="J1373">
        <v>1444.4868164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715.31686300000001</v>
      </c>
      <c r="B1374" s="1">
        <f>DATE(2012,4,15) + TIME(7,36,16)</f>
        <v>41014.316851851851</v>
      </c>
      <c r="C1374">
        <v>80</v>
      </c>
      <c r="D1374">
        <v>52.200595856</v>
      </c>
      <c r="E1374">
        <v>50</v>
      </c>
      <c r="F1374">
        <v>49.986190796000002</v>
      </c>
      <c r="G1374">
        <v>1202.3542480000001</v>
      </c>
      <c r="H1374">
        <v>1154.5445557</v>
      </c>
      <c r="I1374">
        <v>1492.3740233999999</v>
      </c>
      <c r="J1374">
        <v>1444.4462891000001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716.11921600000005</v>
      </c>
      <c r="B1375" s="1">
        <f>DATE(2012,4,16) + TIME(2,51,40)</f>
        <v>41015.119212962964</v>
      </c>
      <c r="C1375">
        <v>80</v>
      </c>
      <c r="D1375">
        <v>51.977500915999997</v>
      </c>
      <c r="E1375">
        <v>50</v>
      </c>
      <c r="F1375">
        <v>49.986202239999997</v>
      </c>
      <c r="G1375">
        <v>1201.9849853999999</v>
      </c>
      <c r="H1375">
        <v>1153.9857178</v>
      </c>
      <c r="I1375">
        <v>1492.3336182</v>
      </c>
      <c r="J1375">
        <v>1444.4057617000001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716.92156899999998</v>
      </c>
      <c r="B1376" s="1">
        <f>DATE(2012,4,16) + TIME(22,7,3)</f>
        <v>41015.9215625</v>
      </c>
      <c r="C1376">
        <v>80</v>
      </c>
      <c r="D1376">
        <v>51.754314422999997</v>
      </c>
      <c r="E1376">
        <v>50</v>
      </c>
      <c r="F1376">
        <v>49.986213683999999</v>
      </c>
      <c r="G1376">
        <v>1201.6153564000001</v>
      </c>
      <c r="H1376">
        <v>1153.4255370999999</v>
      </c>
      <c r="I1376">
        <v>1492.2932129000001</v>
      </c>
      <c r="J1376">
        <v>1444.3654785000001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717.72392200000002</v>
      </c>
      <c r="B1377" s="1">
        <f>DATE(2012,4,17) + TIME(17,22,26)</f>
        <v>41016.723912037036</v>
      </c>
      <c r="C1377">
        <v>80</v>
      </c>
      <c r="D1377">
        <v>51.531082153</v>
      </c>
      <c r="E1377">
        <v>50</v>
      </c>
      <c r="F1377">
        <v>49.986225128000001</v>
      </c>
      <c r="G1377">
        <v>1201.2451172000001</v>
      </c>
      <c r="H1377">
        <v>1152.8641356999999</v>
      </c>
      <c r="I1377">
        <v>1492.2530518000001</v>
      </c>
      <c r="J1377">
        <v>1444.3253173999999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718.52627500000006</v>
      </c>
      <c r="B1378" s="1">
        <f>DATE(2012,4,18) + TIME(12,37,50)</f>
        <v>41017.526273148149</v>
      </c>
      <c r="C1378">
        <v>80</v>
      </c>
      <c r="D1378">
        <v>51.307849883999999</v>
      </c>
      <c r="E1378">
        <v>50</v>
      </c>
      <c r="F1378">
        <v>49.986236572000003</v>
      </c>
      <c r="G1378">
        <v>1200.8746338000001</v>
      </c>
      <c r="H1378">
        <v>1152.3015137</v>
      </c>
      <c r="I1378">
        <v>1492.2128906</v>
      </c>
      <c r="J1378">
        <v>1444.2852783000001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719.32862799999998</v>
      </c>
      <c r="B1379" s="1">
        <f>DATE(2012,4,19) + TIME(7,53,13)</f>
        <v>41018.328622685185</v>
      </c>
      <c r="C1379">
        <v>80</v>
      </c>
      <c r="D1379">
        <v>51.084651946999998</v>
      </c>
      <c r="E1379">
        <v>50</v>
      </c>
      <c r="F1379">
        <v>49.986248015999998</v>
      </c>
      <c r="G1379">
        <v>1200.5036620999999</v>
      </c>
      <c r="H1379">
        <v>1151.7376709</v>
      </c>
      <c r="I1379">
        <v>1492.1729736</v>
      </c>
      <c r="J1379">
        <v>1444.2452393000001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720.13098100000002</v>
      </c>
      <c r="B1380" s="1">
        <f>DATE(2012,4,20) + TIME(3,8,36)</f>
        <v>41019.130972222221</v>
      </c>
      <c r="C1380">
        <v>80</v>
      </c>
      <c r="D1380">
        <v>50.861530303999999</v>
      </c>
      <c r="E1380">
        <v>50</v>
      </c>
      <c r="F1380">
        <v>49.986259459999999</v>
      </c>
      <c r="G1380">
        <v>1200.1324463000001</v>
      </c>
      <c r="H1380">
        <v>1151.1727295000001</v>
      </c>
      <c r="I1380">
        <v>1492.1330565999999</v>
      </c>
      <c r="J1380">
        <v>1444.2054443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720.93333399999995</v>
      </c>
      <c r="B1381" s="1">
        <f>DATE(2012,4,20) + TIME(22,24,0)</f>
        <v>41019.933333333334</v>
      </c>
      <c r="C1381">
        <v>80</v>
      </c>
      <c r="D1381">
        <v>50.638542174999998</v>
      </c>
      <c r="E1381">
        <v>50</v>
      </c>
      <c r="F1381">
        <v>49.986270904999998</v>
      </c>
      <c r="G1381">
        <v>1199.7608643000001</v>
      </c>
      <c r="H1381">
        <v>1150.6068115</v>
      </c>
      <c r="I1381">
        <v>1492.0933838000001</v>
      </c>
      <c r="J1381">
        <v>1444.1657714999999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721.73568699999998</v>
      </c>
      <c r="B1382" s="1">
        <f>DATE(2012,4,21) + TIME(17,39,23)</f>
        <v>41020.735682870371</v>
      </c>
      <c r="C1382">
        <v>80</v>
      </c>
      <c r="D1382">
        <v>50.415718079000001</v>
      </c>
      <c r="E1382">
        <v>50</v>
      </c>
      <c r="F1382">
        <v>49.986278534</v>
      </c>
      <c r="G1382">
        <v>1199.3890381000001</v>
      </c>
      <c r="H1382">
        <v>1150.0399170000001</v>
      </c>
      <c r="I1382">
        <v>1492.0537108999999</v>
      </c>
      <c r="J1382">
        <v>1444.1262207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722.53804000000002</v>
      </c>
      <c r="B1383" s="1">
        <f>DATE(2012,4,22) + TIME(12,54,46)</f>
        <v>41021.538032407407</v>
      </c>
      <c r="C1383">
        <v>80</v>
      </c>
      <c r="D1383">
        <v>50.193084716999998</v>
      </c>
      <c r="E1383">
        <v>50</v>
      </c>
      <c r="F1383">
        <v>49.986289978000002</v>
      </c>
      <c r="G1383">
        <v>1199.0169678</v>
      </c>
      <c r="H1383">
        <v>1149.4720459</v>
      </c>
      <c r="I1383">
        <v>1492.0142822</v>
      </c>
      <c r="J1383">
        <v>1444.0866699000001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723.34039299999995</v>
      </c>
      <c r="B1384" s="1">
        <f>DATE(2012,4,23) + TIME(8,10,9)</f>
        <v>41022.340381944443</v>
      </c>
      <c r="C1384">
        <v>80</v>
      </c>
      <c r="D1384">
        <v>49.970642089999998</v>
      </c>
      <c r="E1384">
        <v>50</v>
      </c>
      <c r="F1384">
        <v>49.986301421999997</v>
      </c>
      <c r="G1384">
        <v>1198.6447754000001</v>
      </c>
      <c r="H1384">
        <v>1148.9033202999999</v>
      </c>
      <c r="I1384">
        <v>1491.9748535000001</v>
      </c>
      <c r="J1384">
        <v>1444.0473632999999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724.14274599999999</v>
      </c>
      <c r="B1385" s="1">
        <f>DATE(2012,4,24) + TIME(3,25,33)</f>
        <v>41023.142743055556</v>
      </c>
      <c r="C1385">
        <v>80</v>
      </c>
      <c r="D1385">
        <v>49.748298644999998</v>
      </c>
      <c r="E1385">
        <v>50</v>
      </c>
      <c r="F1385">
        <v>49.986312865999999</v>
      </c>
      <c r="G1385">
        <v>1198.2723389</v>
      </c>
      <c r="H1385">
        <v>1148.3338623</v>
      </c>
      <c r="I1385">
        <v>1491.9356689000001</v>
      </c>
      <c r="J1385">
        <v>1444.0081786999999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724.94509900000003</v>
      </c>
      <c r="B1386" s="1">
        <f>DATE(2012,4,24) + TIME(22,40,56)</f>
        <v>41023.945092592592</v>
      </c>
      <c r="C1386">
        <v>80</v>
      </c>
      <c r="D1386">
        <v>49.526210785000004</v>
      </c>
      <c r="E1386">
        <v>50</v>
      </c>
      <c r="F1386">
        <v>49.986324310000001</v>
      </c>
      <c r="G1386">
        <v>1197.8999022999999</v>
      </c>
      <c r="H1386">
        <v>1147.7635498</v>
      </c>
      <c r="I1386">
        <v>1491.8964844</v>
      </c>
      <c r="J1386">
        <v>1443.9689940999999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725.74745199999995</v>
      </c>
      <c r="B1387" s="1">
        <f>DATE(2012,4,25) + TIME(17,56,19)</f>
        <v>41024.747442129628</v>
      </c>
      <c r="C1387">
        <v>80</v>
      </c>
      <c r="D1387">
        <v>49.304431915000002</v>
      </c>
      <c r="E1387">
        <v>50</v>
      </c>
      <c r="F1387">
        <v>49.986335754000002</v>
      </c>
      <c r="G1387">
        <v>1197.5273437999999</v>
      </c>
      <c r="H1387">
        <v>1147.1925048999999</v>
      </c>
      <c r="I1387">
        <v>1491.8574219</v>
      </c>
      <c r="J1387">
        <v>1443.9299315999999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726.54980499999999</v>
      </c>
      <c r="B1388" s="1">
        <f>DATE(2012,4,26) + TIME(13,11,43)</f>
        <v>41025.549803240741</v>
      </c>
      <c r="C1388">
        <v>80</v>
      </c>
      <c r="D1388">
        <v>49.082996368000003</v>
      </c>
      <c r="E1388">
        <v>50</v>
      </c>
      <c r="F1388">
        <v>49.986347197999997</v>
      </c>
      <c r="G1388">
        <v>1197.1547852000001</v>
      </c>
      <c r="H1388">
        <v>1146.6209716999999</v>
      </c>
      <c r="I1388">
        <v>1491.8184814000001</v>
      </c>
      <c r="J1388">
        <v>1443.8911132999999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727.35215800000003</v>
      </c>
      <c r="B1389" s="1">
        <f>DATE(2012,4,27) + TIME(8,27,6)</f>
        <v>41026.352152777778</v>
      </c>
      <c r="C1389">
        <v>80</v>
      </c>
      <c r="D1389">
        <v>48.861938477000002</v>
      </c>
      <c r="E1389">
        <v>50</v>
      </c>
      <c r="F1389">
        <v>49.986354828000003</v>
      </c>
      <c r="G1389">
        <v>1196.7822266000001</v>
      </c>
      <c r="H1389">
        <v>1146.0488281</v>
      </c>
      <c r="I1389">
        <v>1491.7796631000001</v>
      </c>
      <c r="J1389">
        <v>1443.8522949000001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728.15451099999996</v>
      </c>
      <c r="B1390" s="1">
        <f>DATE(2012,4,28) + TIME(3,42,29)</f>
        <v>41027.154502314814</v>
      </c>
      <c r="C1390">
        <v>80</v>
      </c>
      <c r="D1390">
        <v>48.641296386999997</v>
      </c>
      <c r="E1390">
        <v>50</v>
      </c>
      <c r="F1390">
        <v>49.986366271999998</v>
      </c>
      <c r="G1390">
        <v>1196.409668</v>
      </c>
      <c r="H1390">
        <v>1145.4760742000001</v>
      </c>
      <c r="I1390">
        <v>1491.7409668</v>
      </c>
      <c r="J1390">
        <v>1443.8135986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728.956864</v>
      </c>
      <c r="B1391" s="1">
        <f>DATE(2012,4,28) + TIME(22,57,53)</f>
        <v>41027.956863425927</v>
      </c>
      <c r="C1391">
        <v>80</v>
      </c>
      <c r="D1391">
        <v>48.421100615999997</v>
      </c>
      <c r="E1391">
        <v>50</v>
      </c>
      <c r="F1391">
        <v>49.986377716</v>
      </c>
      <c r="G1391">
        <v>1196.0372314000001</v>
      </c>
      <c r="H1391">
        <v>1144.9029541</v>
      </c>
      <c r="I1391">
        <v>1491.7022704999999</v>
      </c>
      <c r="J1391">
        <v>1443.7750243999999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729.75921700000004</v>
      </c>
      <c r="B1392" s="1">
        <f>DATE(2012,4,29) + TIME(18,13,16)</f>
        <v>41028.759212962963</v>
      </c>
      <c r="C1392">
        <v>80</v>
      </c>
      <c r="D1392">
        <v>48.201385498</v>
      </c>
      <c r="E1392">
        <v>50</v>
      </c>
      <c r="F1392">
        <v>49.986389160000002</v>
      </c>
      <c r="G1392">
        <v>1195.6649170000001</v>
      </c>
      <c r="H1392">
        <v>1144.3294678</v>
      </c>
      <c r="I1392">
        <v>1491.6638184000001</v>
      </c>
      <c r="J1392">
        <v>1443.7365723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731</v>
      </c>
      <c r="B1393" s="1">
        <f>DATE(2012,5,1) + TIME(0,0,0)</f>
        <v>41030</v>
      </c>
      <c r="C1393">
        <v>80</v>
      </c>
      <c r="D1393">
        <v>47.957500457999998</v>
      </c>
      <c r="E1393">
        <v>50</v>
      </c>
      <c r="F1393">
        <v>49.986404419000003</v>
      </c>
      <c r="G1393">
        <v>1195.3044434000001</v>
      </c>
      <c r="H1393">
        <v>1143.7618408000001</v>
      </c>
      <c r="I1393">
        <v>1491.6251221</v>
      </c>
      <c r="J1393">
        <v>1443.697876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731.000001</v>
      </c>
      <c r="B1394" s="1">
        <f>DATE(2012,5,1) + TIME(0,0,0)</f>
        <v>41030</v>
      </c>
      <c r="C1394">
        <v>80</v>
      </c>
      <c r="D1394">
        <v>47.957881927000003</v>
      </c>
      <c r="E1394">
        <v>50</v>
      </c>
      <c r="F1394">
        <v>49.986129761000001</v>
      </c>
      <c r="G1394">
        <v>1249.0574951000001</v>
      </c>
      <c r="H1394">
        <v>1197.5797118999999</v>
      </c>
      <c r="I1394">
        <v>1441.5112305</v>
      </c>
      <c r="J1394">
        <v>1393.5797118999999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731.00000399999999</v>
      </c>
      <c r="B1395" s="1">
        <f>DATE(2012,5,1) + TIME(0,0,0)</f>
        <v>41030</v>
      </c>
      <c r="C1395">
        <v>80</v>
      </c>
      <c r="D1395">
        <v>47.958934784</v>
      </c>
      <c r="E1395">
        <v>50</v>
      </c>
      <c r="F1395">
        <v>49.985393524000003</v>
      </c>
      <c r="G1395">
        <v>1254.9564209</v>
      </c>
      <c r="H1395">
        <v>1203.6635742000001</v>
      </c>
      <c r="I1395">
        <v>1435.6788329999999</v>
      </c>
      <c r="J1395">
        <v>1387.7462158000001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731.00001299999997</v>
      </c>
      <c r="B1396" s="1">
        <f>DATE(2012,5,1) + TIME(0,0,1)</f>
        <v>41030.000011574077</v>
      </c>
      <c r="C1396">
        <v>80</v>
      </c>
      <c r="D1396">
        <v>47.961528778000002</v>
      </c>
      <c r="E1396">
        <v>50</v>
      </c>
      <c r="F1396">
        <v>49.983745575</v>
      </c>
      <c r="G1396">
        <v>1268.4112548999999</v>
      </c>
      <c r="H1396">
        <v>1217.3930664</v>
      </c>
      <c r="I1396">
        <v>1422.5963135</v>
      </c>
      <c r="J1396">
        <v>1374.6617432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731.00004000000001</v>
      </c>
      <c r="B1397" s="1">
        <f>DATE(2012,5,1) + TIME(0,0,3)</f>
        <v>41030.000034722223</v>
      </c>
      <c r="C1397">
        <v>80</v>
      </c>
      <c r="D1397">
        <v>47.967071533000002</v>
      </c>
      <c r="E1397">
        <v>50</v>
      </c>
      <c r="F1397">
        <v>49.980987548999998</v>
      </c>
      <c r="G1397">
        <v>1291.4268798999999</v>
      </c>
      <c r="H1397">
        <v>1240.559082</v>
      </c>
      <c r="I1397">
        <v>1400.7368164</v>
      </c>
      <c r="J1397">
        <v>1352.8009033000001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731.00012100000004</v>
      </c>
      <c r="B1398" s="1">
        <f>DATE(2012,5,1) + TIME(0,0,10)</f>
        <v>41030.000115740739</v>
      </c>
      <c r="C1398">
        <v>80</v>
      </c>
      <c r="D1398">
        <v>47.978607177999997</v>
      </c>
      <c r="E1398">
        <v>50</v>
      </c>
      <c r="F1398">
        <v>49.977615356000001</v>
      </c>
      <c r="G1398">
        <v>1320.0753173999999</v>
      </c>
      <c r="H1398">
        <v>1269.1478271000001</v>
      </c>
      <c r="I1398">
        <v>1374.0565185999999</v>
      </c>
      <c r="J1398">
        <v>1326.1220702999999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731.00036399999999</v>
      </c>
      <c r="B1399" s="1">
        <f>DATE(2012,5,1) + TIME(0,0,31)</f>
        <v>41030.000358796293</v>
      </c>
      <c r="C1399">
        <v>80</v>
      </c>
      <c r="D1399">
        <v>48.006271362</v>
      </c>
      <c r="E1399">
        <v>50</v>
      </c>
      <c r="F1399">
        <v>49.974124908</v>
      </c>
      <c r="G1399">
        <v>1349.9243164</v>
      </c>
      <c r="H1399">
        <v>1298.8778076000001</v>
      </c>
      <c r="I1399">
        <v>1346.5800781</v>
      </c>
      <c r="J1399">
        <v>1298.6494141000001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731.00109299999997</v>
      </c>
      <c r="B1400" s="1">
        <f>DATE(2012,5,1) + TIME(0,1,34)</f>
        <v>41030.001087962963</v>
      </c>
      <c r="C1400">
        <v>80</v>
      </c>
      <c r="D1400">
        <v>48.081993103000002</v>
      </c>
      <c r="E1400">
        <v>50</v>
      </c>
      <c r="F1400">
        <v>49.970569611000002</v>
      </c>
      <c r="G1400">
        <v>1380.2152100000001</v>
      </c>
      <c r="H1400">
        <v>1329.0515137</v>
      </c>
      <c r="I1400">
        <v>1319.1170654</v>
      </c>
      <c r="J1400">
        <v>1271.1903076000001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731.00328000000002</v>
      </c>
      <c r="B1401" s="1">
        <f>DATE(2012,5,1) + TIME(0,4,43)</f>
        <v>41030.003275462965</v>
      </c>
      <c r="C1401">
        <v>80</v>
      </c>
      <c r="D1401">
        <v>48.301063538000001</v>
      </c>
      <c r="E1401">
        <v>50</v>
      </c>
      <c r="F1401">
        <v>49.966808319000002</v>
      </c>
      <c r="G1401">
        <v>1411.8126221</v>
      </c>
      <c r="H1401">
        <v>1360.6633300999999</v>
      </c>
      <c r="I1401">
        <v>1291.5048827999999</v>
      </c>
      <c r="J1401">
        <v>1243.5797118999999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731.00984100000005</v>
      </c>
      <c r="B1402" s="1">
        <f>DATE(2012,5,1) + TIME(0,14,10)</f>
        <v>41030.009837962964</v>
      </c>
      <c r="C1402">
        <v>80</v>
      </c>
      <c r="D1402">
        <v>48.939105988000001</v>
      </c>
      <c r="E1402">
        <v>50</v>
      </c>
      <c r="F1402">
        <v>49.962394713999998</v>
      </c>
      <c r="G1402">
        <v>1445.7023925999999</v>
      </c>
      <c r="H1402">
        <v>1394.9989014</v>
      </c>
      <c r="I1402">
        <v>1263.1638184000001</v>
      </c>
      <c r="J1402">
        <v>1215.2369385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731.01937399999997</v>
      </c>
      <c r="B1403" s="1">
        <f>DATE(2012,5,1) + TIME(0,27,53)</f>
        <v>41030.019363425927</v>
      </c>
      <c r="C1403">
        <v>80</v>
      </c>
      <c r="D1403">
        <v>49.837337494000003</v>
      </c>
      <c r="E1403">
        <v>50</v>
      </c>
      <c r="F1403">
        <v>49.958763122999997</v>
      </c>
      <c r="G1403">
        <v>1468.5245361</v>
      </c>
      <c r="H1403">
        <v>1418.5394286999999</v>
      </c>
      <c r="I1403">
        <v>1244.2130127</v>
      </c>
      <c r="J1403">
        <v>1196.2839355000001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731.02917400000001</v>
      </c>
      <c r="B1404" s="1">
        <f>DATE(2012,5,1) + TIME(0,42,0)</f>
        <v>41030.029166666667</v>
      </c>
      <c r="C1404">
        <v>80</v>
      </c>
      <c r="D1404">
        <v>50.732658385999997</v>
      </c>
      <c r="E1404">
        <v>50</v>
      </c>
      <c r="F1404">
        <v>49.956066131999997</v>
      </c>
      <c r="G1404">
        <v>1481.7719727000001</v>
      </c>
      <c r="H1404">
        <v>1432.5028076000001</v>
      </c>
      <c r="I1404">
        <v>1233.1441649999999</v>
      </c>
      <c r="J1404">
        <v>1185.213501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731.03922799999998</v>
      </c>
      <c r="B1405" s="1">
        <f>DATE(2012,5,1) + TIME(0,56,29)</f>
        <v>41030.039224537039</v>
      </c>
      <c r="C1405">
        <v>80</v>
      </c>
      <c r="D1405">
        <v>51.623336792000003</v>
      </c>
      <c r="E1405">
        <v>50</v>
      </c>
      <c r="F1405">
        <v>49.953853606999999</v>
      </c>
      <c r="G1405">
        <v>1490.0501709</v>
      </c>
      <c r="H1405">
        <v>1441.4824219</v>
      </c>
      <c r="I1405">
        <v>1226.2227783000001</v>
      </c>
      <c r="J1405">
        <v>1178.2908935999999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731.04954299999997</v>
      </c>
      <c r="B1406" s="1">
        <f>DATE(2012,5,1) + TIME(1,11,20)</f>
        <v>41030.049537037034</v>
      </c>
      <c r="C1406">
        <v>80</v>
      </c>
      <c r="D1406">
        <v>52.508892058999997</v>
      </c>
      <c r="E1406">
        <v>50</v>
      </c>
      <c r="F1406">
        <v>49.951923370000003</v>
      </c>
      <c r="G1406">
        <v>1495.3444824000001</v>
      </c>
      <c r="H1406">
        <v>1447.4598389</v>
      </c>
      <c r="I1406">
        <v>1221.8171387</v>
      </c>
      <c r="J1406">
        <v>1173.8842772999999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731.06012899999996</v>
      </c>
      <c r="B1407" s="1">
        <f>DATE(2012,5,1) + TIME(1,26,35)</f>
        <v>41030.060127314813</v>
      </c>
      <c r="C1407">
        <v>80</v>
      </c>
      <c r="D1407">
        <v>53.389091491999999</v>
      </c>
      <c r="E1407">
        <v>50</v>
      </c>
      <c r="F1407">
        <v>49.95016098</v>
      </c>
      <c r="G1407">
        <v>1498.7073975000001</v>
      </c>
      <c r="H1407">
        <v>1451.4865723</v>
      </c>
      <c r="I1407">
        <v>1219.0233154</v>
      </c>
      <c r="J1407">
        <v>1171.0897216999999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731.07100100000002</v>
      </c>
      <c r="B1408" s="1">
        <f>DATE(2012,5,1) + TIME(1,42,14)</f>
        <v>41030.07099537037</v>
      </c>
      <c r="C1408">
        <v>80</v>
      </c>
      <c r="D1408">
        <v>54.263797760000003</v>
      </c>
      <c r="E1408">
        <v>50</v>
      </c>
      <c r="F1408">
        <v>49.948501587000003</v>
      </c>
      <c r="G1408">
        <v>1500.7717285000001</v>
      </c>
      <c r="H1408">
        <v>1454.1956786999999</v>
      </c>
      <c r="I1408">
        <v>1217.2795410000001</v>
      </c>
      <c r="J1408">
        <v>1169.3450928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731.08217400000001</v>
      </c>
      <c r="B1409" s="1">
        <f>DATE(2012,5,1) + TIME(1,58,19)</f>
        <v>41030.08216435185</v>
      </c>
      <c r="C1409">
        <v>80</v>
      </c>
      <c r="D1409">
        <v>55.132907867</v>
      </c>
      <c r="E1409">
        <v>50</v>
      </c>
      <c r="F1409">
        <v>49.946895599000001</v>
      </c>
      <c r="G1409">
        <v>1501.9468993999999</v>
      </c>
      <c r="H1409">
        <v>1455.9968262</v>
      </c>
      <c r="I1409">
        <v>1216.2193603999999</v>
      </c>
      <c r="J1409">
        <v>1168.2841797000001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731.09366699999998</v>
      </c>
      <c r="B1410" s="1">
        <f>DATE(2012,5,1) + TIME(2,14,52)</f>
        <v>41030.093657407408</v>
      </c>
      <c r="C1410">
        <v>80</v>
      </c>
      <c r="D1410">
        <v>55.996334075999997</v>
      </c>
      <c r="E1410">
        <v>50</v>
      </c>
      <c r="F1410">
        <v>49.9453125</v>
      </c>
      <c r="G1410">
        <v>1502.5089111</v>
      </c>
      <c r="H1410">
        <v>1457.166626</v>
      </c>
      <c r="I1410">
        <v>1215.5994873</v>
      </c>
      <c r="J1410">
        <v>1167.6636963000001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731.10549800000001</v>
      </c>
      <c r="B1411" s="1">
        <f>DATE(2012,5,1) + TIME(2,31,55)</f>
        <v>41030.105497685188</v>
      </c>
      <c r="C1411">
        <v>80</v>
      </c>
      <c r="D1411">
        <v>56.854000092</v>
      </c>
      <c r="E1411">
        <v>50</v>
      </c>
      <c r="F1411">
        <v>49.943729400999999</v>
      </c>
      <c r="G1411">
        <v>1502.6474608999999</v>
      </c>
      <c r="H1411">
        <v>1457.8953856999999</v>
      </c>
      <c r="I1411">
        <v>1215.2583007999999</v>
      </c>
      <c r="J1411">
        <v>1167.3218993999999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731.11769300000003</v>
      </c>
      <c r="B1412" s="1">
        <f>DATE(2012,5,1) + TIME(2,49,28)</f>
        <v>41030.117685185185</v>
      </c>
      <c r="C1412">
        <v>80</v>
      </c>
      <c r="D1412">
        <v>57.705959319999998</v>
      </c>
      <c r="E1412">
        <v>50</v>
      </c>
      <c r="F1412">
        <v>49.942134856999999</v>
      </c>
      <c r="G1412">
        <v>1502.4945068</v>
      </c>
      <c r="H1412">
        <v>1458.3155518000001</v>
      </c>
      <c r="I1412">
        <v>1215.0892334</v>
      </c>
      <c r="J1412">
        <v>1167.1520995999999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731.13027699999998</v>
      </c>
      <c r="B1413" s="1">
        <f>DATE(2012,5,1) + TIME(3,7,35)</f>
        <v>41030.130266203705</v>
      </c>
      <c r="C1413">
        <v>80</v>
      </c>
      <c r="D1413">
        <v>58.552249908</v>
      </c>
      <c r="E1413">
        <v>50</v>
      </c>
      <c r="F1413">
        <v>49.940513611</v>
      </c>
      <c r="G1413">
        <v>1502.1417236</v>
      </c>
      <c r="H1413">
        <v>1458.5196533000001</v>
      </c>
      <c r="I1413">
        <v>1215.0224608999999</v>
      </c>
      <c r="J1413">
        <v>1167.0847168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731.14327300000002</v>
      </c>
      <c r="B1414" s="1">
        <f>DATE(2012,5,1) + TIME(3,26,18)</f>
        <v>41030.143263888887</v>
      </c>
      <c r="C1414">
        <v>80</v>
      </c>
      <c r="D1414">
        <v>59.392536163000003</v>
      </c>
      <c r="E1414">
        <v>50</v>
      </c>
      <c r="F1414">
        <v>49.938861846999998</v>
      </c>
      <c r="G1414">
        <v>1501.6536865</v>
      </c>
      <c r="H1414">
        <v>1458.5723877</v>
      </c>
      <c r="I1414">
        <v>1215.0134277</v>
      </c>
      <c r="J1414">
        <v>1167.0750731999999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731.15670999999998</v>
      </c>
      <c r="B1415" s="1">
        <f>DATE(2012,5,1) + TIME(3,45,39)</f>
        <v>41030.156701388885</v>
      </c>
      <c r="C1415">
        <v>80</v>
      </c>
      <c r="D1415">
        <v>60.226554870999998</v>
      </c>
      <c r="E1415">
        <v>50</v>
      </c>
      <c r="F1415">
        <v>49.937168120999999</v>
      </c>
      <c r="G1415">
        <v>1501.0751952999999</v>
      </c>
      <c r="H1415">
        <v>1458.5191649999999</v>
      </c>
      <c r="I1415">
        <v>1215.0343018000001</v>
      </c>
      <c r="J1415">
        <v>1167.0952147999999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731.17062199999998</v>
      </c>
      <c r="B1416" s="1">
        <f>DATE(2012,5,1) + TIME(4,5,41)</f>
        <v>41030.170613425929</v>
      </c>
      <c r="C1416">
        <v>80</v>
      </c>
      <c r="D1416">
        <v>61.053913115999997</v>
      </c>
      <c r="E1416">
        <v>50</v>
      </c>
      <c r="F1416">
        <v>49.935432433999999</v>
      </c>
      <c r="G1416">
        <v>1500.4373779</v>
      </c>
      <c r="H1416">
        <v>1458.3917236</v>
      </c>
      <c r="I1416">
        <v>1215.0681152</v>
      </c>
      <c r="J1416">
        <v>1167.1282959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731.18504499999995</v>
      </c>
      <c r="B1417" s="1">
        <f>DATE(2012,5,1) + TIME(4,26,27)</f>
        <v>41030.185034722221</v>
      </c>
      <c r="C1417">
        <v>80</v>
      </c>
      <c r="D1417">
        <v>61.874908447000003</v>
      </c>
      <c r="E1417">
        <v>50</v>
      </c>
      <c r="F1417">
        <v>49.933647155999999</v>
      </c>
      <c r="G1417">
        <v>1499.7623291</v>
      </c>
      <c r="H1417">
        <v>1458.2124022999999</v>
      </c>
      <c r="I1417">
        <v>1215.1049805</v>
      </c>
      <c r="J1417">
        <v>1167.1644286999999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731.20001999999999</v>
      </c>
      <c r="B1418" s="1">
        <f>DATE(2012,5,1) + TIME(4,48,1)</f>
        <v>41030.200011574074</v>
      </c>
      <c r="C1418">
        <v>80</v>
      </c>
      <c r="D1418">
        <v>62.689411163000003</v>
      </c>
      <c r="E1418">
        <v>50</v>
      </c>
      <c r="F1418">
        <v>49.931812286000003</v>
      </c>
      <c r="G1418">
        <v>1499.0648193</v>
      </c>
      <c r="H1418">
        <v>1457.9969481999999</v>
      </c>
      <c r="I1418">
        <v>1215.1397704999999</v>
      </c>
      <c r="J1418">
        <v>1167.1984863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731.21559200000002</v>
      </c>
      <c r="B1419" s="1">
        <f>DATE(2012,5,1) + TIME(5,10,27)</f>
        <v>41030.215590277781</v>
      </c>
      <c r="C1419">
        <v>80</v>
      </c>
      <c r="D1419">
        <v>63.497264862000002</v>
      </c>
      <c r="E1419">
        <v>50</v>
      </c>
      <c r="F1419">
        <v>49.929916382000002</v>
      </c>
      <c r="G1419">
        <v>1498.3555908000001</v>
      </c>
      <c r="H1419">
        <v>1457.7559814000001</v>
      </c>
      <c r="I1419">
        <v>1215.1699219</v>
      </c>
      <c r="J1419">
        <v>1167.2279053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731.23181199999999</v>
      </c>
      <c r="B1420" s="1">
        <f>DATE(2012,5,1) + TIME(5,33,48)</f>
        <v>41030.231805555559</v>
      </c>
      <c r="C1420">
        <v>80</v>
      </c>
      <c r="D1420">
        <v>64.298301696999999</v>
      </c>
      <c r="E1420">
        <v>50</v>
      </c>
      <c r="F1420">
        <v>49.927959442000002</v>
      </c>
      <c r="G1420">
        <v>1497.6417236</v>
      </c>
      <c r="H1420">
        <v>1457.4974365</v>
      </c>
      <c r="I1420">
        <v>1215.1945800999999</v>
      </c>
      <c r="J1420">
        <v>1167.2518310999999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731.24874</v>
      </c>
      <c r="B1421" s="1">
        <f>DATE(2012,5,1) + TIME(5,58,11)</f>
        <v>41030.248738425929</v>
      </c>
      <c r="C1421">
        <v>80</v>
      </c>
      <c r="D1421">
        <v>65.092361449999999</v>
      </c>
      <c r="E1421">
        <v>50</v>
      </c>
      <c r="F1421">
        <v>49.925933837999999</v>
      </c>
      <c r="G1421">
        <v>1496.9282227000001</v>
      </c>
      <c r="H1421">
        <v>1457.2265625</v>
      </c>
      <c r="I1421">
        <v>1215.2139893000001</v>
      </c>
      <c r="J1421">
        <v>1167.2702637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731.26644099999999</v>
      </c>
      <c r="B1422" s="1">
        <f>DATE(2012,5,1) + TIME(6,23,40)</f>
        <v>41030.266435185185</v>
      </c>
      <c r="C1422">
        <v>80</v>
      </c>
      <c r="D1422">
        <v>65.879379271999994</v>
      </c>
      <c r="E1422">
        <v>50</v>
      </c>
      <c r="F1422">
        <v>49.923831939999999</v>
      </c>
      <c r="G1422">
        <v>1496.2183838000001</v>
      </c>
      <c r="H1422">
        <v>1456.9470214999999</v>
      </c>
      <c r="I1422">
        <v>1215.2285156</v>
      </c>
      <c r="J1422">
        <v>1167.2840576000001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731.28500399999996</v>
      </c>
      <c r="B1423" s="1">
        <f>DATE(2012,5,1) + TIME(6,50,24)</f>
        <v>41030.285000000003</v>
      </c>
      <c r="C1423">
        <v>80</v>
      </c>
      <c r="D1423">
        <v>66.659484863000003</v>
      </c>
      <c r="E1423">
        <v>50</v>
      </c>
      <c r="F1423">
        <v>49.921649932999998</v>
      </c>
      <c r="G1423">
        <v>1495.5139160000001</v>
      </c>
      <c r="H1423">
        <v>1456.6613769999999</v>
      </c>
      <c r="I1423">
        <v>1215.2390137</v>
      </c>
      <c r="J1423">
        <v>1167.2935791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731.30450699999994</v>
      </c>
      <c r="B1424" s="1">
        <f>DATE(2012,5,1) + TIME(7,18,29)</f>
        <v>41030.304502314815</v>
      </c>
      <c r="C1424">
        <v>80</v>
      </c>
      <c r="D1424">
        <v>67.431907654</v>
      </c>
      <c r="E1424">
        <v>50</v>
      </c>
      <c r="F1424">
        <v>49.919376372999999</v>
      </c>
      <c r="G1424">
        <v>1494.8166504000001</v>
      </c>
      <c r="H1424">
        <v>1456.3710937999999</v>
      </c>
      <c r="I1424">
        <v>1215.2460937999999</v>
      </c>
      <c r="J1424">
        <v>1167.2998047000001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731.32505000000003</v>
      </c>
      <c r="B1425" s="1">
        <f>DATE(2012,5,1) + TIME(7,48,4)</f>
        <v>41030.325046296297</v>
      </c>
      <c r="C1425">
        <v>80</v>
      </c>
      <c r="D1425">
        <v>68.196350097999996</v>
      </c>
      <c r="E1425">
        <v>50</v>
      </c>
      <c r="F1425">
        <v>49.917003631999997</v>
      </c>
      <c r="G1425">
        <v>1494.1274414</v>
      </c>
      <c r="H1425">
        <v>1456.0776367000001</v>
      </c>
      <c r="I1425">
        <v>1215.2506103999999</v>
      </c>
      <c r="J1425">
        <v>1167.3033447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731.34675200000004</v>
      </c>
      <c r="B1426" s="1">
        <f>DATE(2012,5,1) + TIME(8,19,19)</f>
        <v>41030.346747685187</v>
      </c>
      <c r="C1426">
        <v>80</v>
      </c>
      <c r="D1426">
        <v>68.952445983999993</v>
      </c>
      <c r="E1426">
        <v>50</v>
      </c>
      <c r="F1426">
        <v>49.914524077999999</v>
      </c>
      <c r="G1426">
        <v>1493.4465332</v>
      </c>
      <c r="H1426">
        <v>1455.78125</v>
      </c>
      <c r="I1426">
        <v>1215.2529297000001</v>
      </c>
      <c r="J1426">
        <v>1167.3046875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731.36975199999995</v>
      </c>
      <c r="B1427" s="1">
        <f>DATE(2012,5,1) + TIME(8,52,26)</f>
        <v>41030.369745370372</v>
      </c>
      <c r="C1427">
        <v>80</v>
      </c>
      <c r="D1427">
        <v>69.699806213000002</v>
      </c>
      <c r="E1427">
        <v>50</v>
      </c>
      <c r="F1427">
        <v>49.911918640000003</v>
      </c>
      <c r="G1427">
        <v>1492.7738036999999</v>
      </c>
      <c r="H1427">
        <v>1455.4825439000001</v>
      </c>
      <c r="I1427">
        <v>1215.2537841999999</v>
      </c>
      <c r="J1427">
        <v>1167.3044434000001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731.39421200000004</v>
      </c>
      <c r="B1428" s="1">
        <f>DATE(2012,5,1) + TIME(9,27,39)</f>
        <v>41030.394201388888</v>
      </c>
      <c r="C1428">
        <v>80</v>
      </c>
      <c r="D1428">
        <v>70.437522888000004</v>
      </c>
      <c r="E1428">
        <v>50</v>
      </c>
      <c r="F1428">
        <v>49.909179688000002</v>
      </c>
      <c r="G1428">
        <v>1492.109375</v>
      </c>
      <c r="H1428">
        <v>1455.1811522999999</v>
      </c>
      <c r="I1428">
        <v>1215.253418</v>
      </c>
      <c r="J1428">
        <v>1167.3029785000001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731.42033100000003</v>
      </c>
      <c r="B1429" s="1">
        <f>DATE(2012,5,1) + TIME(10,5,16)</f>
        <v>41030.420324074075</v>
      </c>
      <c r="C1429">
        <v>80</v>
      </c>
      <c r="D1429">
        <v>71.165229796999995</v>
      </c>
      <c r="E1429">
        <v>50</v>
      </c>
      <c r="F1429">
        <v>49.906284331999998</v>
      </c>
      <c r="G1429">
        <v>1491.4526367000001</v>
      </c>
      <c r="H1429">
        <v>1454.8770752</v>
      </c>
      <c r="I1429">
        <v>1215.2520752</v>
      </c>
      <c r="J1429">
        <v>1167.3004149999999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731.448352</v>
      </c>
      <c r="B1430" s="1">
        <f>DATE(2012,5,1) + TIME(10,45,37)</f>
        <v>41030.448344907411</v>
      </c>
      <c r="C1430">
        <v>80</v>
      </c>
      <c r="D1430">
        <v>71.882553100999999</v>
      </c>
      <c r="E1430">
        <v>50</v>
      </c>
      <c r="F1430">
        <v>49.903213501000003</v>
      </c>
      <c r="G1430">
        <v>1490.8028564000001</v>
      </c>
      <c r="H1430">
        <v>1454.5697021000001</v>
      </c>
      <c r="I1430">
        <v>1215.25</v>
      </c>
      <c r="J1430">
        <v>1167.2971190999999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731.47856899999999</v>
      </c>
      <c r="B1431" s="1">
        <f>DATE(2012,5,1) + TIME(11,29,8)</f>
        <v>41030.478564814817</v>
      </c>
      <c r="C1431">
        <v>80</v>
      </c>
      <c r="D1431">
        <v>72.588790893999999</v>
      </c>
      <c r="E1431">
        <v>50</v>
      </c>
      <c r="F1431">
        <v>49.899940491000002</v>
      </c>
      <c r="G1431">
        <v>1490.1593018000001</v>
      </c>
      <c r="H1431">
        <v>1454.2583007999999</v>
      </c>
      <c r="I1431">
        <v>1215.2473144999999</v>
      </c>
      <c r="J1431">
        <v>1167.2932129000001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731.51134999999999</v>
      </c>
      <c r="B1432" s="1">
        <f>DATE(2012,5,1) + TIME(12,16,20)</f>
        <v>41030.511342592596</v>
      </c>
      <c r="C1432">
        <v>80</v>
      </c>
      <c r="D1432">
        <v>73.283073424999998</v>
      </c>
      <c r="E1432">
        <v>50</v>
      </c>
      <c r="F1432">
        <v>49.896434784</v>
      </c>
      <c r="G1432">
        <v>1489.520874</v>
      </c>
      <c r="H1432">
        <v>1453.9420166</v>
      </c>
      <c r="I1432">
        <v>1215.2442627</v>
      </c>
      <c r="J1432">
        <v>1167.2886963000001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731.54716599999995</v>
      </c>
      <c r="B1433" s="1">
        <f>DATE(2012,5,1) + TIME(13,7,55)</f>
        <v>41030.547164351854</v>
      </c>
      <c r="C1433">
        <v>80</v>
      </c>
      <c r="D1433">
        <v>73.964538574000002</v>
      </c>
      <c r="E1433">
        <v>50</v>
      </c>
      <c r="F1433">
        <v>49.892650604000004</v>
      </c>
      <c r="G1433">
        <v>1488.8863524999999</v>
      </c>
      <c r="H1433">
        <v>1453.6196289</v>
      </c>
      <c r="I1433">
        <v>1215.2406006000001</v>
      </c>
      <c r="J1433">
        <v>1167.2835693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731.58663100000001</v>
      </c>
      <c r="B1434" s="1">
        <f>DATE(2012,5,1) + TIME(14,4,44)</f>
        <v>41030.58662037037</v>
      </c>
      <c r="C1434">
        <v>80</v>
      </c>
      <c r="D1434">
        <v>74.632110596000004</v>
      </c>
      <c r="E1434">
        <v>50</v>
      </c>
      <c r="F1434">
        <v>49.888542174999998</v>
      </c>
      <c r="G1434">
        <v>1488.2540283000001</v>
      </c>
      <c r="H1434">
        <v>1453.2894286999999</v>
      </c>
      <c r="I1434">
        <v>1215.2365723</v>
      </c>
      <c r="J1434">
        <v>1167.2779541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731.62839499999995</v>
      </c>
      <c r="B1435" s="1">
        <f>DATE(2012,5,1) + TIME(15,4,53)</f>
        <v>41030.628391203703</v>
      </c>
      <c r="C1435">
        <v>80</v>
      </c>
      <c r="D1435">
        <v>75.255920410000002</v>
      </c>
      <c r="E1435">
        <v>50</v>
      </c>
      <c r="F1435">
        <v>49.884235382</v>
      </c>
      <c r="G1435">
        <v>1487.6429443</v>
      </c>
      <c r="H1435">
        <v>1452.9575195</v>
      </c>
      <c r="I1435">
        <v>1215.2321777</v>
      </c>
      <c r="J1435">
        <v>1167.2717285000001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731.67025599999999</v>
      </c>
      <c r="B1436" s="1">
        <f>DATE(2012,5,1) + TIME(16,5,10)</f>
        <v>41030.670254629629</v>
      </c>
      <c r="C1436">
        <v>80</v>
      </c>
      <c r="D1436">
        <v>75.807754517000006</v>
      </c>
      <c r="E1436">
        <v>50</v>
      </c>
      <c r="F1436">
        <v>49.879932404000002</v>
      </c>
      <c r="G1436">
        <v>1487.078125</v>
      </c>
      <c r="H1436">
        <v>1452.6373291</v>
      </c>
      <c r="I1436">
        <v>1215.2272949000001</v>
      </c>
      <c r="J1436">
        <v>1167.2652588000001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731.71247400000004</v>
      </c>
      <c r="B1437" s="1">
        <f>DATE(2012,5,1) + TIME(17,5,57)</f>
        <v>41030.712465277778</v>
      </c>
      <c r="C1437">
        <v>80</v>
      </c>
      <c r="D1437">
        <v>76.298629761000001</v>
      </c>
      <c r="E1437">
        <v>50</v>
      </c>
      <c r="F1437">
        <v>49.875610352000002</v>
      </c>
      <c r="G1437">
        <v>1486.5593262</v>
      </c>
      <c r="H1437">
        <v>1452.3349608999999</v>
      </c>
      <c r="I1437">
        <v>1215.2225341999999</v>
      </c>
      <c r="J1437">
        <v>1167.2586670000001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731.75519799999995</v>
      </c>
      <c r="B1438" s="1">
        <f>DATE(2012,5,1) + TIME(18,7,29)</f>
        <v>41030.755196759259</v>
      </c>
      <c r="C1438">
        <v>80</v>
      </c>
      <c r="D1438">
        <v>76.736137389999996</v>
      </c>
      <c r="E1438">
        <v>50</v>
      </c>
      <c r="F1438">
        <v>49.871253967000001</v>
      </c>
      <c r="G1438">
        <v>1486.0797118999999</v>
      </c>
      <c r="H1438">
        <v>1452.0472411999999</v>
      </c>
      <c r="I1438">
        <v>1215.2176514</v>
      </c>
      <c r="J1438">
        <v>1167.2520752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731.79857400000003</v>
      </c>
      <c r="B1439" s="1">
        <f>DATE(2012,5,1) + TIME(19,9,56)</f>
        <v>41030.798564814817</v>
      </c>
      <c r="C1439">
        <v>80</v>
      </c>
      <c r="D1439">
        <v>77.126625060999999</v>
      </c>
      <c r="E1439">
        <v>50</v>
      </c>
      <c r="F1439">
        <v>49.866847991999997</v>
      </c>
      <c r="G1439">
        <v>1485.6336670000001</v>
      </c>
      <c r="H1439">
        <v>1451.7723389</v>
      </c>
      <c r="I1439">
        <v>1215.2126464999999</v>
      </c>
      <c r="J1439">
        <v>1167.2453613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731.84275000000002</v>
      </c>
      <c r="B1440" s="1">
        <f>DATE(2012,5,1) + TIME(20,13,33)</f>
        <v>41030.842743055553</v>
      </c>
      <c r="C1440">
        <v>80</v>
      </c>
      <c r="D1440">
        <v>77.475440978999998</v>
      </c>
      <c r="E1440">
        <v>50</v>
      </c>
      <c r="F1440">
        <v>49.862384796000001</v>
      </c>
      <c r="G1440">
        <v>1485.2167969</v>
      </c>
      <c r="H1440">
        <v>1451.5081786999999</v>
      </c>
      <c r="I1440">
        <v>1215.2076416</v>
      </c>
      <c r="J1440">
        <v>1167.2386475000001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731.88787100000002</v>
      </c>
      <c r="B1441" s="1">
        <f>DATE(2012,5,1) + TIME(21,18,32)</f>
        <v>41030.887870370374</v>
      </c>
      <c r="C1441">
        <v>80</v>
      </c>
      <c r="D1441">
        <v>77.787132263000004</v>
      </c>
      <c r="E1441">
        <v>50</v>
      </c>
      <c r="F1441">
        <v>49.857845306000002</v>
      </c>
      <c r="G1441">
        <v>1484.8251952999999</v>
      </c>
      <c r="H1441">
        <v>1451.2532959</v>
      </c>
      <c r="I1441">
        <v>1215.2023925999999</v>
      </c>
      <c r="J1441">
        <v>1167.2316894999999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731.93409099999997</v>
      </c>
      <c r="B1442" s="1">
        <f>DATE(2012,5,1) + TIME(22,25,5)</f>
        <v>41030.93408564815</v>
      </c>
      <c r="C1442">
        <v>80</v>
      </c>
      <c r="D1442">
        <v>78.065597534000005</v>
      </c>
      <c r="E1442">
        <v>50</v>
      </c>
      <c r="F1442">
        <v>49.853218079000001</v>
      </c>
      <c r="G1442">
        <v>1484.4555664</v>
      </c>
      <c r="H1442">
        <v>1451.0063477000001</v>
      </c>
      <c r="I1442">
        <v>1215.1971435999999</v>
      </c>
      <c r="J1442">
        <v>1167.2246094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731.98157200000003</v>
      </c>
      <c r="B1443" s="1">
        <f>DATE(2012,5,1) + TIME(23,33,27)</f>
        <v>41030.981562499997</v>
      </c>
      <c r="C1443">
        <v>80</v>
      </c>
      <c r="D1443">
        <v>78.314231872999997</v>
      </c>
      <c r="E1443">
        <v>50</v>
      </c>
      <c r="F1443">
        <v>49.848491668999998</v>
      </c>
      <c r="G1443">
        <v>1484.1051024999999</v>
      </c>
      <c r="H1443">
        <v>1450.7661132999999</v>
      </c>
      <c r="I1443">
        <v>1215.1917725000001</v>
      </c>
      <c r="J1443">
        <v>1167.2172852000001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732.03048699999999</v>
      </c>
      <c r="B1444" s="1">
        <f>DATE(2012,5,2) + TIME(0,43,54)</f>
        <v>41031.030486111114</v>
      </c>
      <c r="C1444">
        <v>80</v>
      </c>
      <c r="D1444">
        <v>78.535995482999994</v>
      </c>
      <c r="E1444">
        <v>50</v>
      </c>
      <c r="F1444">
        <v>49.843647003000001</v>
      </c>
      <c r="G1444">
        <v>1483.7713623</v>
      </c>
      <c r="H1444">
        <v>1450.53125</v>
      </c>
      <c r="I1444">
        <v>1215.1862793</v>
      </c>
      <c r="J1444">
        <v>1167.2098389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732.08102699999995</v>
      </c>
      <c r="B1445" s="1">
        <f>DATE(2012,5,2) + TIME(1,56,40)</f>
        <v>41031.081018518518</v>
      </c>
      <c r="C1445">
        <v>80</v>
      </c>
      <c r="D1445">
        <v>78.733497619999994</v>
      </c>
      <c r="E1445">
        <v>50</v>
      </c>
      <c r="F1445">
        <v>49.838668822999999</v>
      </c>
      <c r="G1445">
        <v>1483.4520264</v>
      </c>
      <c r="H1445">
        <v>1450.3010254000001</v>
      </c>
      <c r="I1445">
        <v>1215.1805420000001</v>
      </c>
      <c r="J1445">
        <v>1167.2022704999999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732.13343399999997</v>
      </c>
      <c r="B1446" s="1">
        <f>DATE(2012,5,2) + TIME(3,12,8)</f>
        <v>41031.133425925924</v>
      </c>
      <c r="C1446">
        <v>80</v>
      </c>
      <c r="D1446">
        <v>78.909141540999997</v>
      </c>
      <c r="E1446">
        <v>50</v>
      </c>
      <c r="F1446">
        <v>49.833534241000002</v>
      </c>
      <c r="G1446">
        <v>1483.1451416</v>
      </c>
      <c r="H1446">
        <v>1450.0743408000001</v>
      </c>
      <c r="I1446">
        <v>1215.1746826000001</v>
      </c>
      <c r="J1446">
        <v>1167.1943358999999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732.18790999999999</v>
      </c>
      <c r="B1447" s="1">
        <f>DATE(2012,5,2) + TIME(4,30,35)</f>
        <v>41031.187905092593</v>
      </c>
      <c r="C1447">
        <v>80</v>
      </c>
      <c r="D1447">
        <v>79.064872742000006</v>
      </c>
      <c r="E1447">
        <v>50</v>
      </c>
      <c r="F1447">
        <v>49.828227996999999</v>
      </c>
      <c r="G1447">
        <v>1482.8487548999999</v>
      </c>
      <c r="H1447">
        <v>1449.8500977000001</v>
      </c>
      <c r="I1447">
        <v>1215.1685791</v>
      </c>
      <c r="J1447">
        <v>1167.1860352000001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732.24472300000002</v>
      </c>
      <c r="B1448" s="1">
        <f>DATE(2012,5,2) + TIME(5,52,24)</f>
        <v>41031.244722222225</v>
      </c>
      <c r="C1448">
        <v>80</v>
      </c>
      <c r="D1448">
        <v>79.202537536999998</v>
      </c>
      <c r="E1448">
        <v>50</v>
      </c>
      <c r="F1448">
        <v>49.822731017999999</v>
      </c>
      <c r="G1448">
        <v>1482.5611572</v>
      </c>
      <c r="H1448">
        <v>1449.6276855000001</v>
      </c>
      <c r="I1448">
        <v>1215.1622314000001</v>
      </c>
      <c r="J1448">
        <v>1167.1774902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732.30417799999998</v>
      </c>
      <c r="B1449" s="1">
        <f>DATE(2012,5,2) + TIME(7,18,0)</f>
        <v>41031.304166666669</v>
      </c>
      <c r="C1449">
        <v>80</v>
      </c>
      <c r="D1449">
        <v>79.323814392000003</v>
      </c>
      <c r="E1449">
        <v>50</v>
      </c>
      <c r="F1449">
        <v>49.817012787000003</v>
      </c>
      <c r="G1449">
        <v>1482.2810059000001</v>
      </c>
      <c r="H1449">
        <v>1449.4061279</v>
      </c>
      <c r="I1449">
        <v>1215.1555175999999</v>
      </c>
      <c r="J1449">
        <v>1167.1685791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732.366625</v>
      </c>
      <c r="B1450" s="1">
        <f>DATE(2012,5,2) + TIME(8,47,56)</f>
        <v>41031.366620370369</v>
      </c>
      <c r="C1450">
        <v>80</v>
      </c>
      <c r="D1450">
        <v>79.430213928000001</v>
      </c>
      <c r="E1450">
        <v>50</v>
      </c>
      <c r="F1450">
        <v>49.811042786000002</v>
      </c>
      <c r="G1450">
        <v>1482.0067139</v>
      </c>
      <c r="H1450">
        <v>1449.1846923999999</v>
      </c>
      <c r="I1450">
        <v>1215.1485596</v>
      </c>
      <c r="J1450">
        <v>1167.1593018000001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732.43246599999998</v>
      </c>
      <c r="B1451" s="1">
        <f>DATE(2012,5,2) + TIME(10,22,45)</f>
        <v>41031.43246527778</v>
      </c>
      <c r="C1451">
        <v>80</v>
      </c>
      <c r="D1451">
        <v>79.523094177000004</v>
      </c>
      <c r="E1451">
        <v>50</v>
      </c>
      <c r="F1451">
        <v>49.804794311999999</v>
      </c>
      <c r="G1451">
        <v>1481.7365723</v>
      </c>
      <c r="H1451">
        <v>1448.9622803</v>
      </c>
      <c r="I1451">
        <v>1215.1412353999999</v>
      </c>
      <c r="J1451">
        <v>1167.1494141000001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732.50182600000005</v>
      </c>
      <c r="B1452" s="1">
        <f>DATE(2012,5,2) + TIME(12,2,37)</f>
        <v>41031.501817129632</v>
      </c>
      <c r="C1452">
        <v>80</v>
      </c>
      <c r="D1452">
        <v>79.603393554999997</v>
      </c>
      <c r="E1452">
        <v>50</v>
      </c>
      <c r="F1452">
        <v>49.798252106</v>
      </c>
      <c r="G1452">
        <v>1481.4694824000001</v>
      </c>
      <c r="H1452">
        <v>1448.7381591999999</v>
      </c>
      <c r="I1452">
        <v>1215.1335449000001</v>
      </c>
      <c r="J1452">
        <v>1167.1391602000001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732.57472399999995</v>
      </c>
      <c r="B1453" s="1">
        <f>DATE(2012,5,2) + TIME(13,47,36)</f>
        <v>41031.57472222222</v>
      </c>
      <c r="C1453">
        <v>80</v>
      </c>
      <c r="D1453">
        <v>79.672035217000001</v>
      </c>
      <c r="E1453">
        <v>50</v>
      </c>
      <c r="F1453">
        <v>49.791416167999998</v>
      </c>
      <c r="G1453">
        <v>1481.2050781</v>
      </c>
      <c r="H1453">
        <v>1448.5123291</v>
      </c>
      <c r="I1453">
        <v>1215.1253661999999</v>
      </c>
      <c r="J1453">
        <v>1167.1281738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732.65164900000002</v>
      </c>
      <c r="B1454" s="1">
        <f>DATE(2012,5,2) + TIME(15,38,22)</f>
        <v>41031.651643518519</v>
      </c>
      <c r="C1454">
        <v>80</v>
      </c>
      <c r="D1454">
        <v>79.730377196999996</v>
      </c>
      <c r="E1454">
        <v>50</v>
      </c>
      <c r="F1454">
        <v>49.784244536999999</v>
      </c>
      <c r="G1454">
        <v>1480.9432373</v>
      </c>
      <c r="H1454">
        <v>1448.2851562000001</v>
      </c>
      <c r="I1454">
        <v>1215.1168213000001</v>
      </c>
      <c r="J1454">
        <v>1167.1168213000001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732.73316999999997</v>
      </c>
      <c r="B1455" s="1">
        <f>DATE(2012,5,2) + TIME(17,35,45)</f>
        <v>41031.733159722222</v>
      </c>
      <c r="C1455">
        <v>80</v>
      </c>
      <c r="D1455">
        <v>79.779609679999993</v>
      </c>
      <c r="E1455">
        <v>50</v>
      </c>
      <c r="F1455">
        <v>49.776691436999997</v>
      </c>
      <c r="G1455">
        <v>1480.6824951000001</v>
      </c>
      <c r="H1455">
        <v>1448.0557861</v>
      </c>
      <c r="I1455">
        <v>1215.1076660000001</v>
      </c>
      <c r="J1455">
        <v>1167.1047363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732.81996900000001</v>
      </c>
      <c r="B1456" s="1">
        <f>DATE(2012,5,2) + TIME(19,40,45)</f>
        <v>41031.819965277777</v>
      </c>
      <c r="C1456">
        <v>80</v>
      </c>
      <c r="D1456">
        <v>79.820838928000001</v>
      </c>
      <c r="E1456">
        <v>50</v>
      </c>
      <c r="F1456">
        <v>49.768707274999997</v>
      </c>
      <c r="G1456">
        <v>1480.4212646000001</v>
      </c>
      <c r="H1456">
        <v>1447.8229980000001</v>
      </c>
      <c r="I1456">
        <v>1215.0981445</v>
      </c>
      <c r="J1456">
        <v>1167.0919189000001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732.90832</v>
      </c>
      <c r="B1457" s="1">
        <f>DATE(2012,5,2) + TIME(21,47,58)</f>
        <v>41031.908310185187</v>
      </c>
      <c r="C1457">
        <v>80</v>
      </c>
      <c r="D1457">
        <v>79.853729247999993</v>
      </c>
      <c r="E1457">
        <v>50</v>
      </c>
      <c r="F1457">
        <v>49.760555267000001</v>
      </c>
      <c r="G1457">
        <v>1480.1589355000001</v>
      </c>
      <c r="H1457">
        <v>1447.5860596</v>
      </c>
      <c r="I1457">
        <v>1215.0878906</v>
      </c>
      <c r="J1457">
        <v>1167.0784911999999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732.99703</v>
      </c>
      <c r="B1458" s="1">
        <f>DATE(2012,5,2) + TIME(23,55,43)</f>
        <v>41031.997025462966</v>
      </c>
      <c r="C1458">
        <v>80</v>
      </c>
      <c r="D1458">
        <v>79.879608153999996</v>
      </c>
      <c r="E1458">
        <v>50</v>
      </c>
      <c r="F1458">
        <v>49.752330780000001</v>
      </c>
      <c r="G1458">
        <v>1479.9052733999999</v>
      </c>
      <c r="H1458">
        <v>1447.3549805</v>
      </c>
      <c r="I1458">
        <v>1215.0773925999999</v>
      </c>
      <c r="J1458">
        <v>1167.0646973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733.086455</v>
      </c>
      <c r="B1459" s="1">
        <f>DATE(2012,5,3) + TIME(2,4,29)</f>
        <v>41032.086446759262</v>
      </c>
      <c r="C1459">
        <v>80</v>
      </c>
      <c r="D1459">
        <v>79.900039672999995</v>
      </c>
      <c r="E1459">
        <v>50</v>
      </c>
      <c r="F1459">
        <v>49.744022369</v>
      </c>
      <c r="G1459">
        <v>1479.6624756000001</v>
      </c>
      <c r="H1459">
        <v>1447.1320800999999</v>
      </c>
      <c r="I1459">
        <v>1215.0667725000001</v>
      </c>
      <c r="J1459">
        <v>1167.0509033000001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733.17692999999997</v>
      </c>
      <c r="B1460" s="1">
        <f>DATE(2012,5,3) + TIME(4,14,46)</f>
        <v>41032.176921296297</v>
      </c>
      <c r="C1460">
        <v>80</v>
      </c>
      <c r="D1460">
        <v>79.916183472</v>
      </c>
      <c r="E1460">
        <v>50</v>
      </c>
      <c r="F1460">
        <v>49.735614777000002</v>
      </c>
      <c r="G1460">
        <v>1479.4284668</v>
      </c>
      <c r="H1460">
        <v>1446.9160156</v>
      </c>
      <c r="I1460">
        <v>1215.0561522999999</v>
      </c>
      <c r="J1460">
        <v>1167.0369873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733.26877899999999</v>
      </c>
      <c r="B1461" s="1">
        <f>DATE(2012,5,3) + TIME(6,27,2)</f>
        <v>41032.268773148149</v>
      </c>
      <c r="C1461">
        <v>80</v>
      </c>
      <c r="D1461">
        <v>79.928970336999996</v>
      </c>
      <c r="E1461">
        <v>50</v>
      </c>
      <c r="F1461">
        <v>49.727081298999998</v>
      </c>
      <c r="G1461">
        <v>1479.2015381000001</v>
      </c>
      <c r="H1461">
        <v>1446.7055664</v>
      </c>
      <c r="I1461">
        <v>1215.0454102000001</v>
      </c>
      <c r="J1461">
        <v>1167.0228271000001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733.36232700000005</v>
      </c>
      <c r="B1462" s="1">
        <f>DATE(2012,5,3) + TIME(8,41,45)</f>
        <v>41032.362326388888</v>
      </c>
      <c r="C1462">
        <v>80</v>
      </c>
      <c r="D1462">
        <v>79.939086914000001</v>
      </c>
      <c r="E1462">
        <v>50</v>
      </c>
      <c r="F1462">
        <v>49.718410491999997</v>
      </c>
      <c r="G1462">
        <v>1478.9803466999999</v>
      </c>
      <c r="H1462">
        <v>1446.4993896000001</v>
      </c>
      <c r="I1462">
        <v>1215.0344238</v>
      </c>
      <c r="J1462">
        <v>1167.0084228999999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733.45790499999998</v>
      </c>
      <c r="B1463" s="1">
        <f>DATE(2012,5,3) + TIME(10,59,23)</f>
        <v>41032.457905092589</v>
      </c>
      <c r="C1463">
        <v>80</v>
      </c>
      <c r="D1463">
        <v>79.947097778</v>
      </c>
      <c r="E1463">
        <v>50</v>
      </c>
      <c r="F1463">
        <v>49.709579468000001</v>
      </c>
      <c r="G1463">
        <v>1478.7636719</v>
      </c>
      <c r="H1463">
        <v>1446.296875</v>
      </c>
      <c r="I1463">
        <v>1215.0233154</v>
      </c>
      <c r="J1463">
        <v>1166.9937743999999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733.55586400000004</v>
      </c>
      <c r="B1464" s="1">
        <f>DATE(2012,5,3) + TIME(13,20,26)</f>
        <v>41032.555856481478</v>
      </c>
      <c r="C1464">
        <v>80</v>
      </c>
      <c r="D1464">
        <v>79.953437804999993</v>
      </c>
      <c r="E1464">
        <v>50</v>
      </c>
      <c r="F1464">
        <v>49.700553894000002</v>
      </c>
      <c r="G1464">
        <v>1478.5504149999999</v>
      </c>
      <c r="H1464">
        <v>1446.0969238</v>
      </c>
      <c r="I1464">
        <v>1215.0119629000001</v>
      </c>
      <c r="J1464">
        <v>1166.9788818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733.65664100000004</v>
      </c>
      <c r="B1465" s="1">
        <f>DATE(2012,5,3) + TIME(15,45,33)</f>
        <v>41032.656631944446</v>
      </c>
      <c r="C1465">
        <v>80</v>
      </c>
      <c r="D1465">
        <v>79.958442688000005</v>
      </c>
      <c r="E1465">
        <v>50</v>
      </c>
      <c r="F1465">
        <v>49.691310883</v>
      </c>
      <c r="G1465">
        <v>1478.3394774999999</v>
      </c>
      <c r="H1465">
        <v>1445.8989257999999</v>
      </c>
      <c r="I1465">
        <v>1215.0003661999999</v>
      </c>
      <c r="J1465">
        <v>1166.963501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733.76059999999995</v>
      </c>
      <c r="B1466" s="1">
        <f>DATE(2012,5,3) + TIME(18,15,15)</f>
        <v>41032.76059027778</v>
      </c>
      <c r="C1466">
        <v>80</v>
      </c>
      <c r="D1466">
        <v>79.962387085000003</v>
      </c>
      <c r="E1466">
        <v>50</v>
      </c>
      <c r="F1466">
        <v>49.681816101000003</v>
      </c>
      <c r="G1466">
        <v>1478.1301269999999</v>
      </c>
      <c r="H1466">
        <v>1445.7019043</v>
      </c>
      <c r="I1466">
        <v>1214.9884033000001</v>
      </c>
      <c r="J1466">
        <v>1166.9477539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733.86819100000002</v>
      </c>
      <c r="B1467" s="1">
        <f>DATE(2012,5,3) + TIME(20,50,11)</f>
        <v>41032.86818287037</v>
      </c>
      <c r="C1467">
        <v>80</v>
      </c>
      <c r="D1467">
        <v>79.965492248999993</v>
      </c>
      <c r="E1467">
        <v>50</v>
      </c>
      <c r="F1467">
        <v>49.672035217000001</v>
      </c>
      <c r="G1467">
        <v>1477.9215088000001</v>
      </c>
      <c r="H1467">
        <v>1445.505249</v>
      </c>
      <c r="I1467">
        <v>1214.9760742000001</v>
      </c>
      <c r="J1467">
        <v>1166.9315185999999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733.97940000000006</v>
      </c>
      <c r="B1468" s="1">
        <f>DATE(2012,5,3) + TIME(23,30,20)</f>
        <v>41032.979398148149</v>
      </c>
      <c r="C1468">
        <v>80</v>
      </c>
      <c r="D1468">
        <v>79.967918396000002</v>
      </c>
      <c r="E1468">
        <v>50</v>
      </c>
      <c r="F1468">
        <v>49.661968231000003</v>
      </c>
      <c r="G1468">
        <v>1477.7128906</v>
      </c>
      <c r="H1468">
        <v>1445.3082274999999</v>
      </c>
      <c r="I1468">
        <v>1214.9632568</v>
      </c>
      <c r="J1468">
        <v>1166.9146728999999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734.09470099999999</v>
      </c>
      <c r="B1469" s="1">
        <f>DATE(2012,5,4) + TIME(2,16,22)</f>
        <v>41033.094699074078</v>
      </c>
      <c r="C1469">
        <v>80</v>
      </c>
      <c r="D1469">
        <v>79.969810486</v>
      </c>
      <c r="E1469">
        <v>50</v>
      </c>
      <c r="F1469">
        <v>49.651573181000003</v>
      </c>
      <c r="G1469">
        <v>1477.5042725000001</v>
      </c>
      <c r="H1469">
        <v>1445.1112060999999</v>
      </c>
      <c r="I1469">
        <v>1214.9500731999999</v>
      </c>
      <c r="J1469">
        <v>1166.8973389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734.21466299999997</v>
      </c>
      <c r="B1470" s="1">
        <f>DATE(2012,5,4) + TIME(5,9,6)</f>
        <v>41033.21465277778</v>
      </c>
      <c r="C1470">
        <v>80</v>
      </c>
      <c r="D1470">
        <v>79.971290588000002</v>
      </c>
      <c r="E1470">
        <v>50</v>
      </c>
      <c r="F1470">
        <v>49.640811919999997</v>
      </c>
      <c r="G1470">
        <v>1477.2950439000001</v>
      </c>
      <c r="H1470">
        <v>1444.9134521000001</v>
      </c>
      <c r="I1470">
        <v>1214.9364014</v>
      </c>
      <c r="J1470">
        <v>1166.8792725000001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734.33994099999995</v>
      </c>
      <c r="B1471" s="1">
        <f>DATE(2012,5,4) + TIME(8,9,30)</f>
        <v>41033.339930555558</v>
      </c>
      <c r="C1471">
        <v>80</v>
      </c>
      <c r="D1471">
        <v>79.972434997999997</v>
      </c>
      <c r="E1471">
        <v>50</v>
      </c>
      <c r="F1471">
        <v>49.629631042</v>
      </c>
      <c r="G1471">
        <v>1477.0844727000001</v>
      </c>
      <c r="H1471">
        <v>1444.7142334</v>
      </c>
      <c r="I1471">
        <v>1214.9221190999999</v>
      </c>
      <c r="J1471">
        <v>1166.8605957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734.47126900000001</v>
      </c>
      <c r="B1472" s="1">
        <f>DATE(2012,5,4) + TIME(11,18,37)</f>
        <v>41033.471261574072</v>
      </c>
      <c r="C1472">
        <v>80</v>
      </c>
      <c r="D1472">
        <v>79.973327636999997</v>
      </c>
      <c r="E1472">
        <v>50</v>
      </c>
      <c r="F1472">
        <v>49.617977142000001</v>
      </c>
      <c r="G1472">
        <v>1476.8717041</v>
      </c>
      <c r="H1472">
        <v>1444.5128173999999</v>
      </c>
      <c r="I1472">
        <v>1214.9072266000001</v>
      </c>
      <c r="J1472">
        <v>1166.8409423999999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734.60957299999995</v>
      </c>
      <c r="B1473" s="1">
        <f>DATE(2012,5,4) + TIME(14,37,47)</f>
        <v>41033.609571759262</v>
      </c>
      <c r="C1473">
        <v>80</v>
      </c>
      <c r="D1473">
        <v>79.974021911999998</v>
      </c>
      <c r="E1473">
        <v>50</v>
      </c>
      <c r="F1473">
        <v>49.605777740000001</v>
      </c>
      <c r="G1473">
        <v>1476.6558838000001</v>
      </c>
      <c r="H1473">
        <v>1444.3084716999999</v>
      </c>
      <c r="I1473">
        <v>1214.8916016000001</v>
      </c>
      <c r="J1473">
        <v>1166.8204346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734.75254600000005</v>
      </c>
      <c r="B1474" s="1">
        <f>DATE(2012,5,4) + TIME(18,3,40)</f>
        <v>41033.752546296295</v>
      </c>
      <c r="C1474">
        <v>80</v>
      </c>
      <c r="D1474">
        <v>79.974555968999994</v>
      </c>
      <c r="E1474">
        <v>50</v>
      </c>
      <c r="F1474">
        <v>49.593162536999998</v>
      </c>
      <c r="G1474">
        <v>1476.4361572</v>
      </c>
      <c r="H1474">
        <v>1444.1003418</v>
      </c>
      <c r="I1474">
        <v>1214.8751221</v>
      </c>
      <c r="J1474">
        <v>1166.7989502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734.89590399999997</v>
      </c>
      <c r="B1475" s="1">
        <f>DATE(2012,5,4) + TIME(21,30,6)</f>
        <v>41033.895902777775</v>
      </c>
      <c r="C1475">
        <v>80</v>
      </c>
      <c r="D1475">
        <v>79.974945067999997</v>
      </c>
      <c r="E1475">
        <v>50</v>
      </c>
      <c r="F1475">
        <v>49.580398559999999</v>
      </c>
      <c r="G1475">
        <v>1476.2164307</v>
      </c>
      <c r="H1475">
        <v>1443.8920897999999</v>
      </c>
      <c r="I1475">
        <v>1214.8581543</v>
      </c>
      <c r="J1475">
        <v>1166.7767334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735.04022099999997</v>
      </c>
      <c r="B1476" s="1">
        <f>DATE(2012,5,5) + TIME(0,57,55)</f>
        <v>41034.040219907409</v>
      </c>
      <c r="C1476">
        <v>80</v>
      </c>
      <c r="D1476">
        <v>79.975250243999994</v>
      </c>
      <c r="E1476">
        <v>50</v>
      </c>
      <c r="F1476">
        <v>49.567489623999997</v>
      </c>
      <c r="G1476">
        <v>1476.0031738</v>
      </c>
      <c r="H1476">
        <v>1443.6900635</v>
      </c>
      <c r="I1476">
        <v>1214.8409423999999</v>
      </c>
      <c r="J1476">
        <v>1166.7545166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735.18604300000004</v>
      </c>
      <c r="B1477" s="1">
        <f>DATE(2012,5,5) + TIME(4,27,54)</f>
        <v>41034.186041666668</v>
      </c>
      <c r="C1477">
        <v>80</v>
      </c>
      <c r="D1477">
        <v>79.975479125999996</v>
      </c>
      <c r="E1477">
        <v>50</v>
      </c>
      <c r="F1477">
        <v>49.554431915000002</v>
      </c>
      <c r="G1477">
        <v>1475.7952881000001</v>
      </c>
      <c r="H1477">
        <v>1443.4929199000001</v>
      </c>
      <c r="I1477">
        <v>1214.8237305</v>
      </c>
      <c r="J1477">
        <v>1166.7320557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735.33391400000005</v>
      </c>
      <c r="B1478" s="1">
        <f>DATE(2012,5,5) + TIME(8,0,50)</f>
        <v>41034.333912037036</v>
      </c>
      <c r="C1478">
        <v>80</v>
      </c>
      <c r="D1478">
        <v>79.975654602000006</v>
      </c>
      <c r="E1478">
        <v>50</v>
      </c>
      <c r="F1478">
        <v>49.541198729999998</v>
      </c>
      <c r="G1478">
        <v>1475.5916748</v>
      </c>
      <c r="H1478">
        <v>1443.2998047000001</v>
      </c>
      <c r="I1478">
        <v>1214.8063964999999</v>
      </c>
      <c r="J1478">
        <v>1166.7092285000001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735.48437699999999</v>
      </c>
      <c r="B1479" s="1">
        <f>DATE(2012,5,5) + TIME(11,37,30)</f>
        <v>41034.484375</v>
      </c>
      <c r="C1479">
        <v>80</v>
      </c>
      <c r="D1479">
        <v>79.975791931000003</v>
      </c>
      <c r="E1479">
        <v>50</v>
      </c>
      <c r="F1479">
        <v>49.527763366999999</v>
      </c>
      <c r="G1479">
        <v>1475.3913574000001</v>
      </c>
      <c r="H1479">
        <v>1443.1098632999999</v>
      </c>
      <c r="I1479">
        <v>1214.7886963000001</v>
      </c>
      <c r="J1479">
        <v>1166.6861572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735.63799700000004</v>
      </c>
      <c r="B1480" s="1">
        <f>DATE(2012,5,5) + TIME(15,18,42)</f>
        <v>41034.637986111113</v>
      </c>
      <c r="C1480">
        <v>80</v>
      </c>
      <c r="D1480">
        <v>79.975906371999997</v>
      </c>
      <c r="E1480">
        <v>50</v>
      </c>
      <c r="F1480">
        <v>49.514083862</v>
      </c>
      <c r="G1480">
        <v>1475.1934814000001</v>
      </c>
      <c r="H1480">
        <v>1442.9221190999999</v>
      </c>
      <c r="I1480">
        <v>1214.7707519999999</v>
      </c>
      <c r="J1480">
        <v>1166.6627197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735.79548299999999</v>
      </c>
      <c r="B1481" s="1">
        <f>DATE(2012,5,5) + TIME(19,5,29)</f>
        <v>41034.795474537037</v>
      </c>
      <c r="C1481">
        <v>80</v>
      </c>
      <c r="D1481">
        <v>79.975997925000001</v>
      </c>
      <c r="E1481">
        <v>50</v>
      </c>
      <c r="F1481">
        <v>49.500118256</v>
      </c>
      <c r="G1481">
        <v>1474.9971923999999</v>
      </c>
      <c r="H1481">
        <v>1442.7358397999999</v>
      </c>
      <c r="I1481">
        <v>1214.7524414</v>
      </c>
      <c r="J1481">
        <v>1166.6386719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735.95721500000002</v>
      </c>
      <c r="B1482" s="1">
        <f>DATE(2012,5,5) + TIME(22,58,23)</f>
        <v>41034.95721064815</v>
      </c>
      <c r="C1482">
        <v>80</v>
      </c>
      <c r="D1482">
        <v>79.976066588999998</v>
      </c>
      <c r="E1482">
        <v>50</v>
      </c>
      <c r="F1482">
        <v>49.485832213999998</v>
      </c>
      <c r="G1482">
        <v>1474.8017577999999</v>
      </c>
      <c r="H1482">
        <v>1442.550293</v>
      </c>
      <c r="I1482">
        <v>1214.7336425999999</v>
      </c>
      <c r="J1482">
        <v>1166.6141356999999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736.12262699999997</v>
      </c>
      <c r="B1483" s="1">
        <f>DATE(2012,5,6) + TIME(2,56,34)</f>
        <v>41035.122615740744</v>
      </c>
      <c r="C1483">
        <v>80</v>
      </c>
      <c r="D1483">
        <v>79.976127625000004</v>
      </c>
      <c r="E1483">
        <v>50</v>
      </c>
      <c r="F1483">
        <v>49.471248627000001</v>
      </c>
      <c r="G1483">
        <v>1474.6065673999999</v>
      </c>
      <c r="H1483">
        <v>1442.3648682</v>
      </c>
      <c r="I1483">
        <v>1214.7143555</v>
      </c>
      <c r="J1483">
        <v>1166.5888672000001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736.29247199999998</v>
      </c>
      <c r="B1484" s="1">
        <f>DATE(2012,5,6) + TIME(7,1,9)</f>
        <v>41035.29246527778</v>
      </c>
      <c r="C1484">
        <v>80</v>
      </c>
      <c r="D1484">
        <v>79.976173400999997</v>
      </c>
      <c r="E1484">
        <v>50</v>
      </c>
      <c r="F1484">
        <v>49.456321715999998</v>
      </c>
      <c r="G1484">
        <v>1474.4124756000001</v>
      </c>
      <c r="H1484">
        <v>1442.1805420000001</v>
      </c>
      <c r="I1484">
        <v>1214.6945800999999</v>
      </c>
      <c r="J1484">
        <v>1166.5631103999999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736.46734300000003</v>
      </c>
      <c r="B1485" s="1">
        <f>DATE(2012,5,6) + TIME(11,12,58)</f>
        <v>41035.46733796296</v>
      </c>
      <c r="C1485">
        <v>80</v>
      </c>
      <c r="D1485">
        <v>79.976211547999995</v>
      </c>
      <c r="E1485">
        <v>50</v>
      </c>
      <c r="F1485">
        <v>49.441009520999998</v>
      </c>
      <c r="G1485">
        <v>1474.2186279</v>
      </c>
      <c r="H1485">
        <v>1441.9964600000001</v>
      </c>
      <c r="I1485">
        <v>1214.6743164</v>
      </c>
      <c r="J1485">
        <v>1166.536499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736.64799200000004</v>
      </c>
      <c r="B1486" s="1">
        <f>DATE(2012,5,6) + TIME(15,33,6)</f>
        <v>41035.647986111115</v>
      </c>
      <c r="C1486">
        <v>80</v>
      </c>
      <c r="D1486">
        <v>79.976242064999994</v>
      </c>
      <c r="E1486">
        <v>50</v>
      </c>
      <c r="F1486">
        <v>49.425254821999999</v>
      </c>
      <c r="G1486">
        <v>1474.0244141000001</v>
      </c>
      <c r="H1486">
        <v>1441.8118896000001</v>
      </c>
      <c r="I1486">
        <v>1214.6534423999999</v>
      </c>
      <c r="J1486">
        <v>1166.5092772999999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736.83527300000003</v>
      </c>
      <c r="B1487" s="1">
        <f>DATE(2012,5,6) + TIME(20,2,47)</f>
        <v>41035.835266203707</v>
      </c>
      <c r="C1487">
        <v>80</v>
      </c>
      <c r="D1487">
        <v>79.976264954000001</v>
      </c>
      <c r="E1487">
        <v>50</v>
      </c>
      <c r="F1487">
        <v>49.409000397</v>
      </c>
      <c r="G1487">
        <v>1473.8293457</v>
      </c>
      <c r="H1487">
        <v>1441.6264647999999</v>
      </c>
      <c r="I1487">
        <v>1214.6318358999999</v>
      </c>
      <c r="J1487">
        <v>1166.480957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737.030169</v>
      </c>
      <c r="B1488" s="1">
        <f>DATE(2012,5,7) + TIME(0,43,26)</f>
        <v>41036.030162037037</v>
      </c>
      <c r="C1488">
        <v>80</v>
      </c>
      <c r="D1488">
        <v>79.976287842000005</v>
      </c>
      <c r="E1488">
        <v>50</v>
      </c>
      <c r="F1488">
        <v>49.392169952000003</v>
      </c>
      <c r="G1488">
        <v>1473.6325684000001</v>
      </c>
      <c r="H1488">
        <v>1441.4393310999999</v>
      </c>
      <c r="I1488">
        <v>1214.6094971</v>
      </c>
      <c r="J1488">
        <v>1166.4517822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737.227395</v>
      </c>
      <c r="B1489" s="1">
        <f>DATE(2012,5,7) + TIME(5,27,26)</f>
        <v>41036.227384259262</v>
      </c>
      <c r="C1489">
        <v>80</v>
      </c>
      <c r="D1489">
        <v>79.976303100999999</v>
      </c>
      <c r="E1489">
        <v>50</v>
      </c>
      <c r="F1489">
        <v>49.375026703000003</v>
      </c>
      <c r="G1489">
        <v>1473.4333495999999</v>
      </c>
      <c r="H1489">
        <v>1441.2497559000001</v>
      </c>
      <c r="I1489">
        <v>1214.5861815999999</v>
      </c>
      <c r="J1489">
        <v>1166.4213867000001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737.42563199999995</v>
      </c>
      <c r="B1490" s="1">
        <f>DATE(2012,5,7) + TIME(10,12,54)</f>
        <v>41036.425625000003</v>
      </c>
      <c r="C1490">
        <v>80</v>
      </c>
      <c r="D1490">
        <v>79.976318359000004</v>
      </c>
      <c r="E1490">
        <v>50</v>
      </c>
      <c r="F1490">
        <v>49.357696533000002</v>
      </c>
      <c r="G1490">
        <v>1473.2371826000001</v>
      </c>
      <c r="H1490">
        <v>1441.0631103999999</v>
      </c>
      <c r="I1490">
        <v>1214.5625</v>
      </c>
      <c r="J1490">
        <v>1166.3907471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737.62561800000003</v>
      </c>
      <c r="B1491" s="1">
        <f>DATE(2012,5,7) + TIME(15,0,53)</f>
        <v>41036.625613425924</v>
      </c>
      <c r="C1491">
        <v>80</v>
      </c>
      <c r="D1491">
        <v>79.976325989000003</v>
      </c>
      <c r="E1491">
        <v>50</v>
      </c>
      <c r="F1491">
        <v>49.340179442999997</v>
      </c>
      <c r="G1491">
        <v>1473.0451660000001</v>
      </c>
      <c r="H1491">
        <v>1440.880249</v>
      </c>
      <c r="I1491">
        <v>1214.5388184000001</v>
      </c>
      <c r="J1491">
        <v>1166.3598632999999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737.82807400000002</v>
      </c>
      <c r="B1492" s="1">
        <f>DATE(2012,5,7) + TIME(19,52,25)</f>
        <v>41036.828067129631</v>
      </c>
      <c r="C1492">
        <v>80</v>
      </c>
      <c r="D1492">
        <v>79.976341247999997</v>
      </c>
      <c r="E1492">
        <v>50</v>
      </c>
      <c r="F1492">
        <v>49.322463988999999</v>
      </c>
      <c r="G1492">
        <v>1472.8564452999999</v>
      </c>
      <c r="H1492">
        <v>1440.7005615</v>
      </c>
      <c r="I1492">
        <v>1214.5147704999999</v>
      </c>
      <c r="J1492">
        <v>1166.3286132999999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738.03372300000001</v>
      </c>
      <c r="B1493" s="1">
        <f>DATE(2012,5,8) + TIME(0,48,33)</f>
        <v>41037.033715277779</v>
      </c>
      <c r="C1493">
        <v>80</v>
      </c>
      <c r="D1493">
        <v>79.976348877000007</v>
      </c>
      <c r="E1493">
        <v>50</v>
      </c>
      <c r="F1493">
        <v>49.304515838999997</v>
      </c>
      <c r="G1493">
        <v>1472.6702881000001</v>
      </c>
      <c r="H1493">
        <v>1440.5231934000001</v>
      </c>
      <c r="I1493">
        <v>1214.4906006000001</v>
      </c>
      <c r="J1493">
        <v>1166.2969971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738.24332100000004</v>
      </c>
      <c r="B1494" s="1">
        <f>DATE(2012,5,8) + TIME(5,50,22)</f>
        <v>41037.243310185186</v>
      </c>
      <c r="C1494">
        <v>80</v>
      </c>
      <c r="D1494">
        <v>79.976348877000007</v>
      </c>
      <c r="E1494">
        <v>50</v>
      </c>
      <c r="F1494">
        <v>49.286285399999997</v>
      </c>
      <c r="G1494">
        <v>1472.4857178</v>
      </c>
      <c r="H1494">
        <v>1440.3474120999999</v>
      </c>
      <c r="I1494">
        <v>1214.4659423999999</v>
      </c>
      <c r="J1494">
        <v>1166.2647704999999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738.45781399999998</v>
      </c>
      <c r="B1495" s="1">
        <f>DATE(2012,5,8) + TIME(10,59,15)</f>
        <v>41037.457812499997</v>
      </c>
      <c r="C1495">
        <v>80</v>
      </c>
      <c r="D1495">
        <v>79.976356506000002</v>
      </c>
      <c r="E1495">
        <v>50</v>
      </c>
      <c r="F1495">
        <v>49.267715453999998</v>
      </c>
      <c r="G1495">
        <v>1472.3023682</v>
      </c>
      <c r="H1495">
        <v>1440.1724853999999</v>
      </c>
      <c r="I1495">
        <v>1214.4407959</v>
      </c>
      <c r="J1495">
        <v>1166.2320557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738.67794400000002</v>
      </c>
      <c r="B1496" s="1">
        <f>DATE(2012,5,8) + TIME(16,16,14)</f>
        <v>41037.677939814814</v>
      </c>
      <c r="C1496">
        <v>80</v>
      </c>
      <c r="D1496">
        <v>79.976356506000002</v>
      </c>
      <c r="E1496">
        <v>50</v>
      </c>
      <c r="F1496">
        <v>49.248744965</v>
      </c>
      <c r="G1496">
        <v>1472.1191406</v>
      </c>
      <c r="H1496">
        <v>1439.9978027</v>
      </c>
      <c r="I1496">
        <v>1214.4151611</v>
      </c>
      <c r="J1496">
        <v>1166.1984863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738.90466900000001</v>
      </c>
      <c r="B1497" s="1">
        <f>DATE(2012,5,8) + TIME(21,42,43)</f>
        <v>41037.904664351852</v>
      </c>
      <c r="C1497">
        <v>80</v>
      </c>
      <c r="D1497">
        <v>79.976364136000001</v>
      </c>
      <c r="E1497">
        <v>50</v>
      </c>
      <c r="F1497">
        <v>49.229305267000001</v>
      </c>
      <c r="G1497">
        <v>1471.9356689000001</v>
      </c>
      <c r="H1497">
        <v>1439.8227539</v>
      </c>
      <c r="I1497">
        <v>1214.3887939000001</v>
      </c>
      <c r="J1497">
        <v>1166.1640625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739.13695399999995</v>
      </c>
      <c r="B1498" s="1">
        <f>DATE(2012,5,9) + TIME(3,17,12)</f>
        <v>41038.136944444443</v>
      </c>
      <c r="C1498">
        <v>80</v>
      </c>
      <c r="D1498">
        <v>79.976364136000001</v>
      </c>
      <c r="E1498">
        <v>50</v>
      </c>
      <c r="F1498">
        <v>49.209423065000003</v>
      </c>
      <c r="G1498">
        <v>1471.7512207</v>
      </c>
      <c r="H1498">
        <v>1439.6467285000001</v>
      </c>
      <c r="I1498">
        <v>1214.3616943</v>
      </c>
      <c r="J1498">
        <v>1166.1286620999999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739.37531799999999</v>
      </c>
      <c r="B1499" s="1">
        <f>DATE(2012,5,9) + TIME(9,0,27)</f>
        <v>41038.3753125</v>
      </c>
      <c r="C1499">
        <v>80</v>
      </c>
      <c r="D1499">
        <v>79.976364136000001</v>
      </c>
      <c r="E1499">
        <v>50</v>
      </c>
      <c r="F1499">
        <v>49.189067841000004</v>
      </c>
      <c r="G1499">
        <v>1471.5667725000001</v>
      </c>
      <c r="H1499">
        <v>1439.4704589999999</v>
      </c>
      <c r="I1499">
        <v>1214.3337402</v>
      </c>
      <c r="J1499">
        <v>1166.0922852000001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739.62069499999996</v>
      </c>
      <c r="B1500" s="1">
        <f>DATE(2012,5,9) + TIME(14,53,48)</f>
        <v>41038.620694444442</v>
      </c>
      <c r="C1500">
        <v>80</v>
      </c>
      <c r="D1500">
        <v>79.976371764999996</v>
      </c>
      <c r="E1500">
        <v>50</v>
      </c>
      <c r="F1500">
        <v>49.168193817000002</v>
      </c>
      <c r="G1500">
        <v>1471.3819579999999</v>
      </c>
      <c r="H1500">
        <v>1439.2938231999999</v>
      </c>
      <c r="I1500">
        <v>1214.3051757999999</v>
      </c>
      <c r="J1500">
        <v>1166.0550536999999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739.87419699999998</v>
      </c>
      <c r="B1501" s="1">
        <f>DATE(2012,5,9) + TIME(20,58,50)</f>
        <v>41038.874189814815</v>
      </c>
      <c r="C1501">
        <v>80</v>
      </c>
      <c r="D1501">
        <v>79.976371764999996</v>
      </c>
      <c r="E1501">
        <v>50</v>
      </c>
      <c r="F1501">
        <v>49.146728516000003</v>
      </c>
      <c r="G1501">
        <v>1471.1961670000001</v>
      </c>
      <c r="H1501">
        <v>1439.1163329999999</v>
      </c>
      <c r="I1501">
        <v>1214.2757568</v>
      </c>
      <c r="J1501">
        <v>1166.0166016000001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740.13489100000004</v>
      </c>
      <c r="B1502" s="1">
        <f>DATE(2012,5,10) + TIME(3,14,14)</f>
        <v>41039.134884259256</v>
      </c>
      <c r="C1502">
        <v>80</v>
      </c>
      <c r="D1502">
        <v>79.976371764999996</v>
      </c>
      <c r="E1502">
        <v>50</v>
      </c>
      <c r="F1502">
        <v>49.124691009999999</v>
      </c>
      <c r="G1502">
        <v>1471.0087891000001</v>
      </c>
      <c r="H1502">
        <v>1438.9371338000001</v>
      </c>
      <c r="I1502">
        <v>1214.2453613</v>
      </c>
      <c r="J1502">
        <v>1165.9770507999999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740.39662299999998</v>
      </c>
      <c r="B1503" s="1">
        <f>DATE(2012,5,10) + TIME(9,31,8)</f>
        <v>41039.396620370368</v>
      </c>
      <c r="C1503">
        <v>80</v>
      </c>
      <c r="D1503">
        <v>79.976371764999996</v>
      </c>
      <c r="E1503">
        <v>50</v>
      </c>
      <c r="F1503">
        <v>49.102371216000002</v>
      </c>
      <c r="G1503">
        <v>1470.8205565999999</v>
      </c>
      <c r="H1503">
        <v>1438.7570800999999</v>
      </c>
      <c r="I1503">
        <v>1214.2139893000001</v>
      </c>
      <c r="J1503">
        <v>1165.9364014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740.66037700000004</v>
      </c>
      <c r="B1504" s="1">
        <f>DATE(2012,5,10) + TIME(15,50,56)</f>
        <v>41039.660370370373</v>
      </c>
      <c r="C1504">
        <v>80</v>
      </c>
      <c r="D1504">
        <v>79.976379394999995</v>
      </c>
      <c r="E1504">
        <v>50</v>
      </c>
      <c r="F1504">
        <v>49.079833983999997</v>
      </c>
      <c r="G1504">
        <v>1470.6359863</v>
      </c>
      <c r="H1504">
        <v>1438.5804443</v>
      </c>
      <c r="I1504">
        <v>1214.1826172000001</v>
      </c>
      <c r="J1504">
        <v>1165.8955077999999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740.92712300000005</v>
      </c>
      <c r="B1505" s="1">
        <f>DATE(2012,5,10) + TIME(22,15,3)</f>
        <v>41039.927118055559</v>
      </c>
      <c r="C1505">
        <v>80</v>
      </c>
      <c r="D1505">
        <v>79.976379394999995</v>
      </c>
      <c r="E1505">
        <v>50</v>
      </c>
      <c r="F1505">
        <v>49.057067871000001</v>
      </c>
      <c r="G1505">
        <v>1470.4542236</v>
      </c>
      <c r="H1505">
        <v>1438.4063721</v>
      </c>
      <c r="I1505">
        <v>1214.1508789</v>
      </c>
      <c r="J1505">
        <v>1165.8542480000001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741.19783600000005</v>
      </c>
      <c r="B1506" s="1">
        <f>DATE(2012,5,11) + TIME(4,44,53)</f>
        <v>41040.197835648149</v>
      </c>
      <c r="C1506">
        <v>80</v>
      </c>
      <c r="D1506">
        <v>79.976379394999995</v>
      </c>
      <c r="E1506">
        <v>50</v>
      </c>
      <c r="F1506">
        <v>49.034046173</v>
      </c>
      <c r="G1506">
        <v>1470.2746582</v>
      </c>
      <c r="H1506">
        <v>1438.2342529</v>
      </c>
      <c r="I1506">
        <v>1214.1188964999999</v>
      </c>
      <c r="J1506">
        <v>1165.8125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741.47355400000004</v>
      </c>
      <c r="B1507" s="1">
        <f>DATE(2012,5,11) + TIME(11,21,55)</f>
        <v>41040.473553240743</v>
      </c>
      <c r="C1507">
        <v>80</v>
      </c>
      <c r="D1507">
        <v>79.976379394999995</v>
      </c>
      <c r="E1507">
        <v>50</v>
      </c>
      <c r="F1507">
        <v>49.010704040999997</v>
      </c>
      <c r="G1507">
        <v>1470.0963135</v>
      </c>
      <c r="H1507">
        <v>1438.0632324000001</v>
      </c>
      <c r="I1507">
        <v>1214.0863036999999</v>
      </c>
      <c r="J1507">
        <v>1165.7701416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741.75548200000003</v>
      </c>
      <c r="B1508" s="1">
        <f>DATE(2012,5,11) + TIME(18,7,53)</f>
        <v>41040.755474537036</v>
      </c>
      <c r="C1508">
        <v>80</v>
      </c>
      <c r="D1508">
        <v>79.976387024000005</v>
      </c>
      <c r="E1508">
        <v>50</v>
      </c>
      <c r="F1508">
        <v>48.986965179000002</v>
      </c>
      <c r="G1508">
        <v>1469.9185791</v>
      </c>
      <c r="H1508">
        <v>1437.8929443</v>
      </c>
      <c r="I1508">
        <v>1214.0532227000001</v>
      </c>
      <c r="J1508">
        <v>1165.7269286999999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742.04464299999995</v>
      </c>
      <c r="B1509" s="1">
        <f>DATE(2012,5,12) + TIME(1,4,17)</f>
        <v>41041.044641203705</v>
      </c>
      <c r="C1509">
        <v>80</v>
      </c>
      <c r="D1509">
        <v>79.976387024000005</v>
      </c>
      <c r="E1509">
        <v>50</v>
      </c>
      <c r="F1509">
        <v>48.962749481000003</v>
      </c>
      <c r="G1509">
        <v>1469.7408447</v>
      </c>
      <c r="H1509">
        <v>1437.7224120999999</v>
      </c>
      <c r="I1509">
        <v>1214.0192870999999</v>
      </c>
      <c r="J1509">
        <v>1165.6827393000001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742.34219199999995</v>
      </c>
      <c r="B1510" s="1">
        <f>DATE(2012,5,12) + TIME(8,12,45)</f>
        <v>41041.342187499999</v>
      </c>
      <c r="C1510">
        <v>80</v>
      </c>
      <c r="D1510">
        <v>79.976387024000005</v>
      </c>
      <c r="E1510">
        <v>50</v>
      </c>
      <c r="F1510">
        <v>48.937980652</v>
      </c>
      <c r="G1510">
        <v>1469.5625</v>
      </c>
      <c r="H1510">
        <v>1437.5511475000001</v>
      </c>
      <c r="I1510">
        <v>1213.9844971</v>
      </c>
      <c r="J1510">
        <v>1165.6374512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742.64493900000002</v>
      </c>
      <c r="B1511" s="1">
        <f>DATE(2012,5,12) + TIME(15,28,42)</f>
        <v>41041.644930555558</v>
      </c>
      <c r="C1511">
        <v>80</v>
      </c>
      <c r="D1511">
        <v>79.976387024000005</v>
      </c>
      <c r="E1511">
        <v>50</v>
      </c>
      <c r="F1511">
        <v>48.912750244000001</v>
      </c>
      <c r="G1511">
        <v>1469.3828125</v>
      </c>
      <c r="H1511">
        <v>1437.3786620999999</v>
      </c>
      <c r="I1511">
        <v>1213.9487305</v>
      </c>
      <c r="J1511">
        <v>1165.5909423999999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742.95406600000001</v>
      </c>
      <c r="B1512" s="1">
        <f>DATE(2012,5,12) + TIME(22,53,51)</f>
        <v>41041.954062500001</v>
      </c>
      <c r="C1512">
        <v>80</v>
      </c>
      <c r="D1512">
        <v>79.976394653</v>
      </c>
      <c r="E1512">
        <v>50</v>
      </c>
      <c r="F1512">
        <v>48.887054442999997</v>
      </c>
      <c r="G1512">
        <v>1469.2039795000001</v>
      </c>
      <c r="H1512">
        <v>1437.2067870999999</v>
      </c>
      <c r="I1512">
        <v>1213.9122314000001</v>
      </c>
      <c r="J1512">
        <v>1165.5435791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743.27087700000004</v>
      </c>
      <c r="B1513" s="1">
        <f>DATE(2012,5,13) + TIME(6,30,3)</f>
        <v>41042.270868055559</v>
      </c>
      <c r="C1513">
        <v>80</v>
      </c>
      <c r="D1513">
        <v>79.976394653</v>
      </c>
      <c r="E1513">
        <v>50</v>
      </c>
      <c r="F1513">
        <v>48.860836028999998</v>
      </c>
      <c r="G1513">
        <v>1469.0251464999999</v>
      </c>
      <c r="H1513">
        <v>1437.0349120999999</v>
      </c>
      <c r="I1513">
        <v>1213.875</v>
      </c>
      <c r="J1513">
        <v>1165.4951172000001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743.59651799999995</v>
      </c>
      <c r="B1514" s="1">
        <f>DATE(2012,5,13) + TIME(14,18,59)</f>
        <v>41042.596516203703</v>
      </c>
      <c r="C1514">
        <v>80</v>
      </c>
      <c r="D1514">
        <v>79.976402282999999</v>
      </c>
      <c r="E1514">
        <v>50</v>
      </c>
      <c r="F1514">
        <v>48.834026336999997</v>
      </c>
      <c r="G1514">
        <v>1468.8458252</v>
      </c>
      <c r="H1514">
        <v>1436.8624268000001</v>
      </c>
      <c r="I1514">
        <v>1213.8369141000001</v>
      </c>
      <c r="J1514">
        <v>1165.4454346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743.923903</v>
      </c>
      <c r="B1515" s="1">
        <f>DATE(2012,5,13) + TIME(22,10,25)</f>
        <v>41042.923900462964</v>
      </c>
      <c r="C1515">
        <v>80</v>
      </c>
      <c r="D1515">
        <v>79.976402282999999</v>
      </c>
      <c r="E1515">
        <v>50</v>
      </c>
      <c r="F1515">
        <v>48.806884766000003</v>
      </c>
      <c r="G1515">
        <v>1468.6654053</v>
      </c>
      <c r="H1515">
        <v>1436.6887207</v>
      </c>
      <c r="I1515">
        <v>1213.7976074000001</v>
      </c>
      <c r="J1515">
        <v>1165.3945312000001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744.25351699999999</v>
      </c>
      <c r="B1516" s="1">
        <f>DATE(2012,5,14) + TIME(6,5,3)</f>
        <v>41043.253506944442</v>
      </c>
      <c r="C1516">
        <v>80</v>
      </c>
      <c r="D1516">
        <v>79.976402282999999</v>
      </c>
      <c r="E1516">
        <v>50</v>
      </c>
      <c r="F1516">
        <v>48.779525757000002</v>
      </c>
      <c r="G1516">
        <v>1468.4876709</v>
      </c>
      <c r="H1516">
        <v>1436.5177002</v>
      </c>
      <c r="I1516">
        <v>1213.7580565999999</v>
      </c>
      <c r="J1516">
        <v>1165.3432617000001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744.58654200000001</v>
      </c>
      <c r="B1517" s="1">
        <f>DATE(2012,5,14) + TIME(14,4,37)</f>
        <v>41043.586539351854</v>
      </c>
      <c r="C1517">
        <v>80</v>
      </c>
      <c r="D1517">
        <v>79.976409911999994</v>
      </c>
      <c r="E1517">
        <v>50</v>
      </c>
      <c r="F1517">
        <v>48.751949310000001</v>
      </c>
      <c r="G1517">
        <v>1468.3123779</v>
      </c>
      <c r="H1517">
        <v>1436.3488769999999</v>
      </c>
      <c r="I1517">
        <v>1213.7182617000001</v>
      </c>
      <c r="J1517">
        <v>1165.291626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744.92417</v>
      </c>
      <c r="B1518" s="1">
        <f>DATE(2012,5,14) + TIME(22,10,48)</f>
        <v>41043.924166666664</v>
      </c>
      <c r="C1518">
        <v>80</v>
      </c>
      <c r="D1518">
        <v>79.976409911999994</v>
      </c>
      <c r="E1518">
        <v>50</v>
      </c>
      <c r="F1518">
        <v>48.724121093999997</v>
      </c>
      <c r="G1518">
        <v>1468.1389160000001</v>
      </c>
      <c r="H1518">
        <v>1436.1817627</v>
      </c>
      <c r="I1518">
        <v>1213.6781006000001</v>
      </c>
      <c r="J1518">
        <v>1165.2393798999999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745.26763500000004</v>
      </c>
      <c r="B1519" s="1">
        <f>DATE(2012,5,15) + TIME(6,25,23)</f>
        <v>41044.267627314817</v>
      </c>
      <c r="C1519">
        <v>80</v>
      </c>
      <c r="D1519">
        <v>79.976417541999993</v>
      </c>
      <c r="E1519">
        <v>50</v>
      </c>
      <c r="F1519">
        <v>48.695964813000003</v>
      </c>
      <c r="G1519">
        <v>1467.9665527</v>
      </c>
      <c r="H1519">
        <v>1436.0155029</v>
      </c>
      <c r="I1519">
        <v>1213.6373291</v>
      </c>
      <c r="J1519">
        <v>1165.1864014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745.61844699999995</v>
      </c>
      <c r="B1520" s="1">
        <f>DATE(2012,5,15) + TIME(14,50,33)</f>
        <v>41044.618437500001</v>
      </c>
      <c r="C1520">
        <v>80</v>
      </c>
      <c r="D1520">
        <v>79.976425171000002</v>
      </c>
      <c r="E1520">
        <v>50</v>
      </c>
      <c r="F1520">
        <v>48.667385101000001</v>
      </c>
      <c r="G1520">
        <v>1467.7945557</v>
      </c>
      <c r="H1520">
        <v>1435.8496094</v>
      </c>
      <c r="I1520">
        <v>1213.5958252</v>
      </c>
      <c r="J1520">
        <v>1165.1324463000001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745.97786499999995</v>
      </c>
      <c r="B1521" s="1">
        <f>DATE(2012,5,15) + TIME(23,28,7)</f>
        <v>41044.977858796294</v>
      </c>
      <c r="C1521">
        <v>80</v>
      </c>
      <c r="D1521">
        <v>79.976425171000002</v>
      </c>
      <c r="E1521">
        <v>50</v>
      </c>
      <c r="F1521">
        <v>48.638290404999999</v>
      </c>
      <c r="G1521">
        <v>1467.6223144999999</v>
      </c>
      <c r="H1521">
        <v>1435.6834716999999</v>
      </c>
      <c r="I1521">
        <v>1213.5534668</v>
      </c>
      <c r="J1521">
        <v>1165.0773925999999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746.34742700000004</v>
      </c>
      <c r="B1522" s="1">
        <f>DATE(2012,5,16) + TIME(8,20,17)</f>
        <v>41045.347418981481</v>
      </c>
      <c r="C1522">
        <v>80</v>
      </c>
      <c r="D1522">
        <v>79.976432799999998</v>
      </c>
      <c r="E1522">
        <v>50</v>
      </c>
      <c r="F1522">
        <v>48.608570098999998</v>
      </c>
      <c r="G1522">
        <v>1467.4493408000001</v>
      </c>
      <c r="H1522">
        <v>1435.5163574000001</v>
      </c>
      <c r="I1522">
        <v>1213.5100098</v>
      </c>
      <c r="J1522">
        <v>1165.0209961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746.72636499999999</v>
      </c>
      <c r="B1523" s="1">
        <f>DATE(2012,5,16) + TIME(17,25,57)</f>
        <v>41045.726354166669</v>
      </c>
      <c r="C1523">
        <v>80</v>
      </c>
      <c r="D1523">
        <v>79.976432799999998</v>
      </c>
      <c r="E1523">
        <v>50</v>
      </c>
      <c r="F1523">
        <v>48.578197479000004</v>
      </c>
      <c r="G1523">
        <v>1467.2749022999999</v>
      </c>
      <c r="H1523">
        <v>1435.3479004000001</v>
      </c>
      <c r="I1523">
        <v>1213.4652100000001</v>
      </c>
      <c r="J1523">
        <v>1164.9630127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747.11202600000001</v>
      </c>
      <c r="B1524" s="1">
        <f>DATE(2012,5,17) + TIME(2,41,19)</f>
        <v>41046.112025462964</v>
      </c>
      <c r="C1524">
        <v>80</v>
      </c>
      <c r="D1524">
        <v>79.976440429999997</v>
      </c>
      <c r="E1524">
        <v>50</v>
      </c>
      <c r="F1524">
        <v>48.547267914000003</v>
      </c>
      <c r="G1524">
        <v>1467.0994873</v>
      </c>
      <c r="H1524">
        <v>1435.1783447</v>
      </c>
      <c r="I1524">
        <v>1213.4193115</v>
      </c>
      <c r="J1524">
        <v>1164.9034423999999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747.50600099999997</v>
      </c>
      <c r="B1525" s="1">
        <f>DATE(2012,5,17) + TIME(12,8,38)</f>
        <v>41046.505995370368</v>
      </c>
      <c r="C1525">
        <v>80</v>
      </c>
      <c r="D1525">
        <v>79.976448059000006</v>
      </c>
      <c r="E1525">
        <v>50</v>
      </c>
      <c r="F1525">
        <v>48.515781402999998</v>
      </c>
      <c r="G1525">
        <v>1466.9244385</v>
      </c>
      <c r="H1525">
        <v>1435.0091553</v>
      </c>
      <c r="I1525">
        <v>1213.3725586</v>
      </c>
      <c r="J1525">
        <v>1164.8428954999999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747.90430400000002</v>
      </c>
      <c r="B1526" s="1">
        <f>DATE(2012,5,17) + TIME(21,42,11)</f>
        <v>41046.904293981483</v>
      </c>
      <c r="C1526">
        <v>80</v>
      </c>
      <c r="D1526">
        <v>79.976455688000001</v>
      </c>
      <c r="E1526">
        <v>50</v>
      </c>
      <c r="F1526">
        <v>48.483879088999998</v>
      </c>
      <c r="G1526">
        <v>1466.7490233999999</v>
      </c>
      <c r="H1526">
        <v>1434.8394774999999</v>
      </c>
      <c r="I1526">
        <v>1213.3248291</v>
      </c>
      <c r="J1526">
        <v>1164.7810059000001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748.30496200000005</v>
      </c>
      <c r="B1527" s="1">
        <f>DATE(2012,5,18) + TIME(7,19,8)</f>
        <v>41047.3049537037</v>
      </c>
      <c r="C1527">
        <v>80</v>
      </c>
      <c r="D1527">
        <v>79.976455688000001</v>
      </c>
      <c r="E1527">
        <v>50</v>
      </c>
      <c r="F1527">
        <v>48.451721190999997</v>
      </c>
      <c r="G1527">
        <v>1466.5750731999999</v>
      </c>
      <c r="H1527">
        <v>1434.6711425999999</v>
      </c>
      <c r="I1527">
        <v>1213.2763672000001</v>
      </c>
      <c r="J1527">
        <v>1164.7185059000001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748.709428</v>
      </c>
      <c r="B1528" s="1">
        <f>DATE(2012,5,18) + TIME(17,1,34)</f>
        <v>41047.709421296298</v>
      </c>
      <c r="C1528">
        <v>80</v>
      </c>
      <c r="D1528">
        <v>79.976463318</v>
      </c>
      <c r="E1528">
        <v>50</v>
      </c>
      <c r="F1528">
        <v>48.419353485000002</v>
      </c>
      <c r="G1528">
        <v>1466.4034423999999</v>
      </c>
      <c r="H1528">
        <v>1434.5048827999999</v>
      </c>
      <c r="I1528">
        <v>1213.2276611</v>
      </c>
      <c r="J1528">
        <v>1164.6553954999999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749.11915899999997</v>
      </c>
      <c r="B1529" s="1">
        <f>DATE(2012,5,19) + TIME(2,51,35)</f>
        <v>41048.119155092594</v>
      </c>
      <c r="C1529">
        <v>80</v>
      </c>
      <c r="D1529">
        <v>79.976470946999996</v>
      </c>
      <c r="E1529">
        <v>50</v>
      </c>
      <c r="F1529">
        <v>48.386726379000002</v>
      </c>
      <c r="G1529">
        <v>1466.2332764</v>
      </c>
      <c r="H1529">
        <v>1434.3399658000001</v>
      </c>
      <c r="I1529">
        <v>1213.1784668</v>
      </c>
      <c r="J1529">
        <v>1164.5916748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749.535662</v>
      </c>
      <c r="B1530" s="1">
        <f>DATE(2012,5,19) + TIME(12,51,21)</f>
        <v>41048.53565972222</v>
      </c>
      <c r="C1530">
        <v>80</v>
      </c>
      <c r="D1530">
        <v>79.976478576999995</v>
      </c>
      <c r="E1530">
        <v>50</v>
      </c>
      <c r="F1530">
        <v>48.353755950999997</v>
      </c>
      <c r="G1530">
        <v>1466.0642089999999</v>
      </c>
      <c r="H1530">
        <v>1434.1760254000001</v>
      </c>
      <c r="I1530">
        <v>1213.1286620999999</v>
      </c>
      <c r="J1530">
        <v>1164.5270995999999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749.96075699999994</v>
      </c>
      <c r="B1531" s="1">
        <f>DATE(2012,5,19) + TIME(23,3,29)</f>
        <v>41048.960752314815</v>
      </c>
      <c r="C1531">
        <v>80</v>
      </c>
      <c r="D1531">
        <v>79.976486206000004</v>
      </c>
      <c r="E1531">
        <v>50</v>
      </c>
      <c r="F1531">
        <v>48.320331572999997</v>
      </c>
      <c r="G1531">
        <v>1465.8952637</v>
      </c>
      <c r="H1531">
        <v>1434.0123291</v>
      </c>
      <c r="I1531">
        <v>1213.0778809000001</v>
      </c>
      <c r="J1531">
        <v>1164.4614257999999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750.396029</v>
      </c>
      <c r="B1532" s="1">
        <f>DATE(2012,5,20) + TIME(9,30,16)</f>
        <v>41049.396018518521</v>
      </c>
      <c r="C1532">
        <v>80</v>
      </c>
      <c r="D1532">
        <v>79.976493834999999</v>
      </c>
      <c r="E1532">
        <v>50</v>
      </c>
      <c r="F1532">
        <v>48.286334990999997</v>
      </c>
      <c r="G1532">
        <v>1465.7260742000001</v>
      </c>
      <c r="H1532">
        <v>1433.8481445</v>
      </c>
      <c r="I1532">
        <v>1213.0261230000001</v>
      </c>
      <c r="J1532">
        <v>1164.3942870999999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750.84300299999995</v>
      </c>
      <c r="B1533" s="1">
        <f>DATE(2012,5,20) + TIME(20,13,55)</f>
        <v>41049.842997685184</v>
      </c>
      <c r="C1533">
        <v>80</v>
      </c>
      <c r="D1533">
        <v>79.976501464999998</v>
      </c>
      <c r="E1533">
        <v>50</v>
      </c>
      <c r="F1533">
        <v>48.251651764000002</v>
      </c>
      <c r="G1533">
        <v>1465.5559082</v>
      </c>
      <c r="H1533">
        <v>1433.6829834</v>
      </c>
      <c r="I1533">
        <v>1212.9730225000001</v>
      </c>
      <c r="J1533">
        <v>1164.3255615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751.30218100000002</v>
      </c>
      <c r="B1534" s="1">
        <f>DATE(2012,5,21) + TIME(7,15,8)</f>
        <v>41050.302175925928</v>
      </c>
      <c r="C1534">
        <v>80</v>
      </c>
      <c r="D1534">
        <v>79.976509093999994</v>
      </c>
      <c r="E1534">
        <v>50</v>
      </c>
      <c r="F1534">
        <v>48.216201781999999</v>
      </c>
      <c r="G1534">
        <v>1465.3842772999999</v>
      </c>
      <c r="H1534">
        <v>1433.5163574000001</v>
      </c>
      <c r="I1534">
        <v>1212.918457</v>
      </c>
      <c r="J1534">
        <v>1164.2550048999999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751.76937599999997</v>
      </c>
      <c r="B1535" s="1">
        <f>DATE(2012,5,21) + TIME(18,27,54)</f>
        <v>41050.769375000003</v>
      </c>
      <c r="C1535">
        <v>80</v>
      </c>
      <c r="D1535">
        <v>79.976516724000007</v>
      </c>
      <c r="E1535">
        <v>50</v>
      </c>
      <c r="F1535">
        <v>48.180076599000003</v>
      </c>
      <c r="G1535">
        <v>1465.2113036999999</v>
      </c>
      <c r="H1535">
        <v>1433.3481445</v>
      </c>
      <c r="I1535">
        <v>1212.8621826000001</v>
      </c>
      <c r="J1535">
        <v>1164.1824951000001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752.24393799999996</v>
      </c>
      <c r="B1536" s="1">
        <f>DATE(2012,5,22) + TIME(5,51,16)</f>
        <v>41051.243935185186</v>
      </c>
      <c r="C1536">
        <v>80</v>
      </c>
      <c r="D1536">
        <v>79.976524353000002</v>
      </c>
      <c r="E1536">
        <v>50</v>
      </c>
      <c r="F1536">
        <v>48.143402100000003</v>
      </c>
      <c r="G1536">
        <v>1465.0383300999999</v>
      </c>
      <c r="H1536">
        <v>1433.1800536999999</v>
      </c>
      <c r="I1536">
        <v>1212.8050536999999</v>
      </c>
      <c r="J1536">
        <v>1164.1086425999999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752.72049800000002</v>
      </c>
      <c r="B1537" s="1">
        <f>DATE(2012,5,22) + TIME(17,17,30)</f>
        <v>41051.720486111109</v>
      </c>
      <c r="C1537">
        <v>80</v>
      </c>
      <c r="D1537">
        <v>79.976531981999997</v>
      </c>
      <c r="E1537">
        <v>50</v>
      </c>
      <c r="F1537">
        <v>48.106403350999997</v>
      </c>
      <c r="G1537">
        <v>1464.8657227000001</v>
      </c>
      <c r="H1537">
        <v>1433.0123291</v>
      </c>
      <c r="I1537">
        <v>1212.7468262</v>
      </c>
      <c r="J1537">
        <v>1164.0335693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753.19985099999997</v>
      </c>
      <c r="B1538" s="1">
        <f>DATE(2012,5,23) + TIME(4,47,47)</f>
        <v>41052.199849537035</v>
      </c>
      <c r="C1538">
        <v>80</v>
      </c>
      <c r="D1538">
        <v>79.976539611999996</v>
      </c>
      <c r="E1538">
        <v>50</v>
      </c>
      <c r="F1538">
        <v>48.069225310999997</v>
      </c>
      <c r="G1538">
        <v>1464.6955565999999</v>
      </c>
      <c r="H1538">
        <v>1432.8466797000001</v>
      </c>
      <c r="I1538">
        <v>1212.6882324000001</v>
      </c>
      <c r="J1538">
        <v>1163.9580077999999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753.68369299999995</v>
      </c>
      <c r="B1539" s="1">
        <f>DATE(2012,5,23) + TIME(16,24,31)</f>
        <v>41052.683692129627</v>
      </c>
      <c r="C1539">
        <v>80</v>
      </c>
      <c r="D1539">
        <v>79.976547241000006</v>
      </c>
      <c r="E1539">
        <v>50</v>
      </c>
      <c r="F1539">
        <v>48.031867980999998</v>
      </c>
      <c r="G1539">
        <v>1464.5273437999999</v>
      </c>
      <c r="H1539">
        <v>1432.6829834</v>
      </c>
      <c r="I1539">
        <v>1212.6293945</v>
      </c>
      <c r="J1539">
        <v>1163.8818358999999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754.17373399999997</v>
      </c>
      <c r="B1540" s="1">
        <f>DATE(2012,5,24) + TIME(4,10,10)</f>
        <v>41053.173726851855</v>
      </c>
      <c r="C1540">
        <v>80</v>
      </c>
      <c r="D1540">
        <v>79.976554871000005</v>
      </c>
      <c r="E1540">
        <v>50</v>
      </c>
      <c r="F1540">
        <v>47.994251251000001</v>
      </c>
      <c r="G1540">
        <v>1464.3604736</v>
      </c>
      <c r="H1540">
        <v>1432.5205077999999</v>
      </c>
      <c r="I1540">
        <v>1212.5698242000001</v>
      </c>
      <c r="J1540">
        <v>1163.8049315999999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754.67175099999997</v>
      </c>
      <c r="B1541" s="1">
        <f>DATE(2012,5,24) + TIME(16,7,19)</f>
        <v>41053.671747685185</v>
      </c>
      <c r="C1541">
        <v>80</v>
      </c>
      <c r="D1541">
        <v>79.9765625</v>
      </c>
      <c r="E1541">
        <v>50</v>
      </c>
      <c r="F1541">
        <v>47.956264496000003</v>
      </c>
      <c r="G1541">
        <v>1464.1943358999999</v>
      </c>
      <c r="H1541">
        <v>1432.3586425999999</v>
      </c>
      <c r="I1541">
        <v>1212.5093993999999</v>
      </c>
      <c r="J1541">
        <v>1163.7269286999999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755.179801</v>
      </c>
      <c r="B1542" s="1">
        <f>DATE(2012,5,25) + TIME(4,18,54)</f>
        <v>41054.179791666669</v>
      </c>
      <c r="C1542">
        <v>80</v>
      </c>
      <c r="D1542">
        <v>79.976577758999994</v>
      </c>
      <c r="E1542">
        <v>50</v>
      </c>
      <c r="F1542">
        <v>47.917778015000003</v>
      </c>
      <c r="G1542">
        <v>1464.0283202999999</v>
      </c>
      <c r="H1542">
        <v>1432.1967772999999</v>
      </c>
      <c r="I1542">
        <v>1212.447876</v>
      </c>
      <c r="J1542">
        <v>1163.6475829999999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755.69994799999995</v>
      </c>
      <c r="B1543" s="1">
        <f>DATE(2012,5,25) + TIME(16,47,55)</f>
        <v>41054.699942129628</v>
      </c>
      <c r="C1543">
        <v>80</v>
      </c>
      <c r="D1543">
        <v>79.976585388000004</v>
      </c>
      <c r="E1543">
        <v>50</v>
      </c>
      <c r="F1543">
        <v>47.878646850999999</v>
      </c>
      <c r="G1543">
        <v>1463.8616943</v>
      </c>
      <c r="H1543">
        <v>1432.0344238</v>
      </c>
      <c r="I1543">
        <v>1212.3851318</v>
      </c>
      <c r="J1543">
        <v>1163.5665283000001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756.23429499999997</v>
      </c>
      <c r="B1544" s="1">
        <f>DATE(2012,5,26) + TIME(5,37,23)</f>
        <v>41055.234293981484</v>
      </c>
      <c r="C1544">
        <v>80</v>
      </c>
      <c r="D1544">
        <v>79.976593018000003</v>
      </c>
      <c r="E1544">
        <v>50</v>
      </c>
      <c r="F1544">
        <v>47.838722228999998</v>
      </c>
      <c r="G1544">
        <v>1463.6940918</v>
      </c>
      <c r="H1544">
        <v>1431.8709716999999</v>
      </c>
      <c r="I1544">
        <v>1212.3206786999999</v>
      </c>
      <c r="J1544">
        <v>1163.4833983999999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756.78536599999995</v>
      </c>
      <c r="B1545" s="1">
        <f>DATE(2012,5,26) + TIME(18,50,55)</f>
        <v>41055.785358796296</v>
      </c>
      <c r="C1545">
        <v>80</v>
      </c>
      <c r="D1545">
        <v>79.976600646999998</v>
      </c>
      <c r="E1545">
        <v>50</v>
      </c>
      <c r="F1545">
        <v>47.797840118000003</v>
      </c>
      <c r="G1545">
        <v>1463.5249022999999</v>
      </c>
      <c r="H1545">
        <v>1431.7058105000001</v>
      </c>
      <c r="I1545">
        <v>1212.2545166</v>
      </c>
      <c r="J1545">
        <v>1163.3979492000001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757.33894099999998</v>
      </c>
      <c r="B1546" s="1">
        <f>DATE(2012,5,27) + TIME(8,8,4)</f>
        <v>41056.338935185187</v>
      </c>
      <c r="C1546">
        <v>80</v>
      </c>
      <c r="D1546">
        <v>79.976615906000006</v>
      </c>
      <c r="E1546">
        <v>50</v>
      </c>
      <c r="F1546">
        <v>47.756298065000003</v>
      </c>
      <c r="G1546">
        <v>1463.3532714999999</v>
      </c>
      <c r="H1546">
        <v>1431.5382079999999</v>
      </c>
      <c r="I1546">
        <v>1212.1859131000001</v>
      </c>
      <c r="J1546">
        <v>1163.3098144999999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757.89392799999996</v>
      </c>
      <c r="B1547" s="1">
        <f>DATE(2012,5,27) + TIME(21,27,15)</f>
        <v>41056.893923611111</v>
      </c>
      <c r="C1547">
        <v>80</v>
      </c>
      <c r="D1547">
        <v>79.976623535000002</v>
      </c>
      <c r="E1547">
        <v>50</v>
      </c>
      <c r="F1547">
        <v>47.714508057000003</v>
      </c>
      <c r="G1547">
        <v>1463.1837158000001</v>
      </c>
      <c r="H1547">
        <v>1431.3726807</v>
      </c>
      <c r="I1547">
        <v>1212.1169434000001</v>
      </c>
      <c r="J1547">
        <v>1163.2210693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758.45230900000001</v>
      </c>
      <c r="B1548" s="1">
        <f>DATE(2012,5,28) + TIME(10,51,19)</f>
        <v>41057.452303240738</v>
      </c>
      <c r="C1548">
        <v>80</v>
      </c>
      <c r="D1548">
        <v>79.976638793999996</v>
      </c>
      <c r="E1548">
        <v>50</v>
      </c>
      <c r="F1548">
        <v>47.672580719000003</v>
      </c>
      <c r="G1548">
        <v>1463.0164795000001</v>
      </c>
      <c r="H1548">
        <v>1431.2093506000001</v>
      </c>
      <c r="I1548">
        <v>1212.0477295000001</v>
      </c>
      <c r="J1548">
        <v>1163.1318358999999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759.01606000000004</v>
      </c>
      <c r="B1549" s="1">
        <f>DATE(2012,5,29) + TIME(0,23,7)</f>
        <v>41058.016053240739</v>
      </c>
      <c r="C1549">
        <v>80</v>
      </c>
      <c r="D1549">
        <v>79.976646423000005</v>
      </c>
      <c r="E1549">
        <v>50</v>
      </c>
      <c r="F1549">
        <v>47.630474091000004</v>
      </c>
      <c r="G1549">
        <v>1462.8510742000001</v>
      </c>
      <c r="H1549">
        <v>1431.0476074000001</v>
      </c>
      <c r="I1549">
        <v>1211.9779053</v>
      </c>
      <c r="J1549">
        <v>1163.0418701000001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759.58719099999996</v>
      </c>
      <c r="B1550" s="1">
        <f>DATE(2012,5,29) + TIME(14,5,33)</f>
        <v>41058.587187500001</v>
      </c>
      <c r="C1550">
        <v>80</v>
      </c>
      <c r="D1550">
        <v>79.976654053000004</v>
      </c>
      <c r="E1550">
        <v>50</v>
      </c>
      <c r="F1550">
        <v>47.588073729999998</v>
      </c>
      <c r="G1550">
        <v>1462.6867675999999</v>
      </c>
      <c r="H1550">
        <v>1430.8869629000001</v>
      </c>
      <c r="I1550">
        <v>1211.9073486</v>
      </c>
      <c r="J1550">
        <v>1162.9509277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760.16779599999995</v>
      </c>
      <c r="B1551" s="1">
        <f>DATE(2012,5,30) + TIME(4,1,37)</f>
        <v>41059.16778935185</v>
      </c>
      <c r="C1551">
        <v>80</v>
      </c>
      <c r="D1551">
        <v>79.976669311999999</v>
      </c>
      <c r="E1551">
        <v>50</v>
      </c>
      <c r="F1551">
        <v>47.545249939000001</v>
      </c>
      <c r="G1551">
        <v>1462.5229492000001</v>
      </c>
      <c r="H1551">
        <v>1430.7266846</v>
      </c>
      <c r="I1551">
        <v>1211.8355713000001</v>
      </c>
      <c r="J1551">
        <v>1162.8585204999999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760.76033199999995</v>
      </c>
      <c r="B1552" s="1">
        <f>DATE(2012,5,30) + TIME(18,14,52)</f>
        <v>41059.760324074072</v>
      </c>
      <c r="C1552">
        <v>80</v>
      </c>
      <c r="D1552">
        <v>79.976684570000003</v>
      </c>
      <c r="E1552">
        <v>50</v>
      </c>
      <c r="F1552">
        <v>47.501842498999999</v>
      </c>
      <c r="G1552">
        <v>1462.3590088000001</v>
      </c>
      <c r="H1552">
        <v>1430.5662841999999</v>
      </c>
      <c r="I1552">
        <v>1211.7625731999999</v>
      </c>
      <c r="J1552">
        <v>1162.7644043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761.36723600000005</v>
      </c>
      <c r="B1553" s="1">
        <f>DATE(2012,5,31) + TIME(8,48,49)</f>
        <v>41060.3672337963</v>
      </c>
      <c r="C1553">
        <v>80</v>
      </c>
      <c r="D1553">
        <v>79.976692200000002</v>
      </c>
      <c r="E1553">
        <v>50</v>
      </c>
      <c r="F1553">
        <v>47.457687378000003</v>
      </c>
      <c r="G1553">
        <v>1462.1944579999999</v>
      </c>
      <c r="H1553">
        <v>1430.4051514</v>
      </c>
      <c r="I1553">
        <v>1211.6878661999999</v>
      </c>
      <c r="J1553">
        <v>1162.6680908000001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762</v>
      </c>
      <c r="B1554" s="1">
        <f>DATE(2012,6,1) + TIME(0,0,0)</f>
        <v>41061</v>
      </c>
      <c r="C1554">
        <v>80</v>
      </c>
      <c r="D1554">
        <v>79.976707458000007</v>
      </c>
      <c r="E1554">
        <v>50</v>
      </c>
      <c r="F1554">
        <v>47.412380218999999</v>
      </c>
      <c r="G1554">
        <v>1462.0285644999999</v>
      </c>
      <c r="H1554">
        <v>1430.2425536999999</v>
      </c>
      <c r="I1554">
        <v>1211.6110839999999</v>
      </c>
      <c r="J1554">
        <v>1162.5692139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762.62222899999995</v>
      </c>
      <c r="B1555" s="1">
        <f>DATE(2012,6,1) + TIME(14,56,0)</f>
        <v>41061.62222222222</v>
      </c>
      <c r="C1555">
        <v>80</v>
      </c>
      <c r="D1555">
        <v>79.976715088000006</v>
      </c>
      <c r="E1555">
        <v>50</v>
      </c>
      <c r="F1555">
        <v>47.366455078000001</v>
      </c>
      <c r="G1555">
        <v>1461.8583983999999</v>
      </c>
      <c r="H1555">
        <v>1430.0759277</v>
      </c>
      <c r="I1555">
        <v>1211.5308838000001</v>
      </c>
      <c r="J1555">
        <v>1162.4664307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763.26406799999995</v>
      </c>
      <c r="B1556" s="1">
        <f>DATE(2012,6,2) + TIME(6,20,15)</f>
        <v>41062.264062499999</v>
      </c>
      <c r="C1556">
        <v>80</v>
      </c>
      <c r="D1556">
        <v>79.976730347</v>
      </c>
      <c r="E1556">
        <v>50</v>
      </c>
      <c r="F1556">
        <v>47.320133208999998</v>
      </c>
      <c r="G1556">
        <v>1461.6936035000001</v>
      </c>
      <c r="H1556">
        <v>1429.9143065999999</v>
      </c>
      <c r="I1556">
        <v>1211.4517822</v>
      </c>
      <c r="J1556">
        <v>1162.3642577999999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763.90822900000001</v>
      </c>
      <c r="B1557" s="1">
        <f>DATE(2012,6,2) + TIME(21,47,50)</f>
        <v>41062.908217592594</v>
      </c>
      <c r="C1557">
        <v>80</v>
      </c>
      <c r="D1557">
        <v>79.976745605000005</v>
      </c>
      <c r="E1557">
        <v>50</v>
      </c>
      <c r="F1557">
        <v>47.273269653</v>
      </c>
      <c r="G1557">
        <v>1461.5263672000001</v>
      </c>
      <c r="H1557">
        <v>1429.7503661999999</v>
      </c>
      <c r="I1557">
        <v>1211.3698730000001</v>
      </c>
      <c r="J1557">
        <v>1162.2591553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764.55699200000004</v>
      </c>
      <c r="B1558" s="1">
        <f>DATE(2012,6,3) + TIME(13,22,4)</f>
        <v>41063.556990740741</v>
      </c>
      <c r="C1558">
        <v>80</v>
      </c>
      <c r="D1558">
        <v>79.976753235000004</v>
      </c>
      <c r="E1558">
        <v>50</v>
      </c>
      <c r="F1558">
        <v>47.226139068999998</v>
      </c>
      <c r="G1558">
        <v>1461.3610839999999</v>
      </c>
      <c r="H1558">
        <v>1429.5882568</v>
      </c>
      <c r="I1558">
        <v>1211.2875977000001</v>
      </c>
      <c r="J1558">
        <v>1162.1531981999999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765.21259599999996</v>
      </c>
      <c r="B1559" s="1">
        <f>DATE(2012,6,4) + TIME(5,6,8)</f>
        <v>41064.212592592594</v>
      </c>
      <c r="C1559">
        <v>80</v>
      </c>
      <c r="D1559">
        <v>79.976768493999998</v>
      </c>
      <c r="E1559">
        <v>50</v>
      </c>
      <c r="F1559">
        <v>47.178730010999999</v>
      </c>
      <c r="G1559">
        <v>1461.1972656</v>
      </c>
      <c r="H1559">
        <v>1429.4274902</v>
      </c>
      <c r="I1559">
        <v>1211.2043457</v>
      </c>
      <c r="J1559">
        <v>1162.0461425999999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765.87607000000003</v>
      </c>
      <c r="B1560" s="1">
        <f>DATE(2012,6,4) + TIME(21,1,32)</f>
        <v>41064.876064814816</v>
      </c>
      <c r="C1560">
        <v>80</v>
      </c>
      <c r="D1560">
        <v>79.976783752000003</v>
      </c>
      <c r="E1560">
        <v>50</v>
      </c>
      <c r="F1560">
        <v>47.130966186999999</v>
      </c>
      <c r="G1560">
        <v>1461.0343018000001</v>
      </c>
      <c r="H1560">
        <v>1429.2674560999999</v>
      </c>
      <c r="I1560">
        <v>1211.1199951000001</v>
      </c>
      <c r="J1560">
        <v>1161.9375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766.54980599999999</v>
      </c>
      <c r="B1561" s="1">
        <f>DATE(2012,6,5) + TIME(13,11,43)</f>
        <v>41065.549803240741</v>
      </c>
      <c r="C1561">
        <v>80</v>
      </c>
      <c r="D1561">
        <v>79.976799010999997</v>
      </c>
      <c r="E1561">
        <v>50</v>
      </c>
      <c r="F1561">
        <v>47.082733154000003</v>
      </c>
      <c r="G1561">
        <v>1460.8717041</v>
      </c>
      <c r="H1561">
        <v>1429.1079102000001</v>
      </c>
      <c r="I1561">
        <v>1211.0343018000001</v>
      </c>
      <c r="J1561">
        <v>1161.8272704999999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767.23633900000004</v>
      </c>
      <c r="B1562" s="1">
        <f>DATE(2012,6,6) + TIME(5,40,19)</f>
        <v>41066.236331018517</v>
      </c>
      <c r="C1562">
        <v>80</v>
      </c>
      <c r="D1562">
        <v>79.976814270000006</v>
      </c>
      <c r="E1562">
        <v>50</v>
      </c>
      <c r="F1562">
        <v>47.033878326</v>
      </c>
      <c r="G1562">
        <v>1460.7092285000001</v>
      </c>
      <c r="H1562">
        <v>1428.9482422000001</v>
      </c>
      <c r="I1562">
        <v>1210.9471435999999</v>
      </c>
      <c r="J1562">
        <v>1161.7149658000001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767.93885899999998</v>
      </c>
      <c r="B1563" s="1">
        <f>DATE(2012,6,6) + TIME(22,31,57)</f>
        <v>41066.938854166663</v>
      </c>
      <c r="C1563">
        <v>80</v>
      </c>
      <c r="D1563">
        <v>79.976829529</v>
      </c>
      <c r="E1563">
        <v>50</v>
      </c>
      <c r="F1563">
        <v>46.984214782999999</v>
      </c>
      <c r="G1563">
        <v>1460.5461425999999</v>
      </c>
      <c r="H1563">
        <v>1428.7880858999999</v>
      </c>
      <c r="I1563">
        <v>1210.8579102000001</v>
      </c>
      <c r="J1563">
        <v>1161.6000977000001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768.65725899999995</v>
      </c>
      <c r="B1564" s="1">
        <f>DATE(2012,6,7) + TIME(15,46,27)</f>
        <v>41067.657256944447</v>
      </c>
      <c r="C1564">
        <v>80</v>
      </c>
      <c r="D1564">
        <v>79.976844787999994</v>
      </c>
      <c r="E1564">
        <v>50</v>
      </c>
      <c r="F1564">
        <v>46.933609009000001</v>
      </c>
      <c r="G1564">
        <v>1460.3818358999999</v>
      </c>
      <c r="H1564">
        <v>1428.6264647999999</v>
      </c>
      <c r="I1564">
        <v>1210.7662353999999</v>
      </c>
      <c r="J1564">
        <v>1161.4821777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769.38713900000005</v>
      </c>
      <c r="B1565" s="1">
        <f>DATE(2012,6,8) + TIME(9,17,28)</f>
        <v>41068.387129629627</v>
      </c>
      <c r="C1565">
        <v>80</v>
      </c>
      <c r="D1565">
        <v>79.976860045999999</v>
      </c>
      <c r="E1565">
        <v>50</v>
      </c>
      <c r="F1565">
        <v>46.882118224999999</v>
      </c>
      <c r="G1565">
        <v>1460.2163086</v>
      </c>
      <c r="H1565">
        <v>1428.4637451000001</v>
      </c>
      <c r="I1565">
        <v>1210.6722411999999</v>
      </c>
      <c r="J1565">
        <v>1161.3612060999999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770.11937999999998</v>
      </c>
      <c r="B1566" s="1">
        <f>DATE(2012,6,9) + TIME(2,51,54)</f>
        <v>41069.119375000002</v>
      </c>
      <c r="C1566">
        <v>80</v>
      </c>
      <c r="D1566">
        <v>79.976875304999993</v>
      </c>
      <c r="E1566">
        <v>50</v>
      </c>
      <c r="F1566">
        <v>46.830074310000001</v>
      </c>
      <c r="G1566">
        <v>1460.0506591999999</v>
      </c>
      <c r="H1566">
        <v>1428.3007812000001</v>
      </c>
      <c r="I1566">
        <v>1210.5761719</v>
      </c>
      <c r="J1566">
        <v>1161.237793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770.85530600000004</v>
      </c>
      <c r="B1567" s="1">
        <f>DATE(2012,6,9) + TIME(20,31,38)</f>
        <v>41069.855300925927</v>
      </c>
      <c r="C1567">
        <v>80</v>
      </c>
      <c r="D1567">
        <v>79.976890564000001</v>
      </c>
      <c r="E1567">
        <v>50</v>
      </c>
      <c r="F1567">
        <v>46.777797698999997</v>
      </c>
      <c r="G1567">
        <v>1459.8868408000001</v>
      </c>
      <c r="H1567">
        <v>1428.1396483999999</v>
      </c>
      <c r="I1567">
        <v>1210.4794922000001</v>
      </c>
      <c r="J1567">
        <v>1161.1132812000001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771.59747600000003</v>
      </c>
      <c r="B1568" s="1">
        <f>DATE(2012,6,10) + TIME(14,20,21)</f>
        <v>41070.59746527778</v>
      </c>
      <c r="C1568">
        <v>80</v>
      </c>
      <c r="D1568">
        <v>79.976905822999996</v>
      </c>
      <c r="E1568">
        <v>50</v>
      </c>
      <c r="F1568">
        <v>46.725284576</v>
      </c>
      <c r="G1568">
        <v>1459.7247314000001</v>
      </c>
      <c r="H1568">
        <v>1427.9801024999999</v>
      </c>
      <c r="I1568">
        <v>1210.3818358999999</v>
      </c>
      <c r="J1568">
        <v>1160.9876709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772.34851200000003</v>
      </c>
      <c r="B1569" s="1">
        <f>DATE(2012,6,11) + TIME(8,21,51)</f>
        <v>41071.348506944443</v>
      </c>
      <c r="C1569">
        <v>80</v>
      </c>
      <c r="D1569">
        <v>79.976921082000004</v>
      </c>
      <c r="E1569">
        <v>50</v>
      </c>
      <c r="F1569">
        <v>46.672420502000001</v>
      </c>
      <c r="G1569">
        <v>1459.5637207</v>
      </c>
      <c r="H1569">
        <v>1427.8214111</v>
      </c>
      <c r="I1569">
        <v>1210.2830810999999</v>
      </c>
      <c r="J1569">
        <v>1160.8602295000001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773.11113799999998</v>
      </c>
      <c r="B1570" s="1">
        <f>DATE(2012,6,12) + TIME(2,40,2)</f>
        <v>41072.111134259256</v>
      </c>
      <c r="C1570">
        <v>80</v>
      </c>
      <c r="D1570">
        <v>79.976936339999995</v>
      </c>
      <c r="E1570">
        <v>50</v>
      </c>
      <c r="F1570">
        <v>46.619022369</v>
      </c>
      <c r="G1570">
        <v>1459.4030762</v>
      </c>
      <c r="H1570">
        <v>1427.6632079999999</v>
      </c>
      <c r="I1570">
        <v>1210.1824951000001</v>
      </c>
      <c r="J1570">
        <v>1160.7307129000001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773.88825199999997</v>
      </c>
      <c r="B1571" s="1">
        <f>DATE(2012,6,12) + TIME(21,19,5)</f>
        <v>41072.888252314813</v>
      </c>
      <c r="C1571">
        <v>80</v>
      </c>
      <c r="D1571">
        <v>79.976951599000003</v>
      </c>
      <c r="E1571">
        <v>50</v>
      </c>
      <c r="F1571">
        <v>46.564910888999997</v>
      </c>
      <c r="G1571">
        <v>1459.2421875</v>
      </c>
      <c r="H1571">
        <v>1427.5047606999999</v>
      </c>
      <c r="I1571">
        <v>1210.0800781</v>
      </c>
      <c r="J1571">
        <v>1160.5986327999999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774.68229199999996</v>
      </c>
      <c r="B1572" s="1">
        <f>DATE(2012,6,13) + TIME(16,22,30)</f>
        <v>41073.682291666664</v>
      </c>
      <c r="C1572">
        <v>80</v>
      </c>
      <c r="D1572">
        <v>79.976966857999997</v>
      </c>
      <c r="E1572">
        <v>50</v>
      </c>
      <c r="F1572">
        <v>46.509887695000003</v>
      </c>
      <c r="G1572">
        <v>1459.0808105000001</v>
      </c>
      <c r="H1572">
        <v>1427.3457031</v>
      </c>
      <c r="I1572">
        <v>1209.9750977000001</v>
      </c>
      <c r="J1572">
        <v>1160.4632568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775.48796900000002</v>
      </c>
      <c r="B1573" s="1">
        <f>DATE(2012,6,14) + TIME(11,42,40)</f>
        <v>41074.487962962965</v>
      </c>
      <c r="C1573">
        <v>80</v>
      </c>
      <c r="D1573">
        <v>79.976982117000006</v>
      </c>
      <c r="E1573">
        <v>50</v>
      </c>
      <c r="F1573">
        <v>46.453933716000002</v>
      </c>
      <c r="G1573">
        <v>1458.9182129000001</v>
      </c>
      <c r="H1573">
        <v>1427.1853027</v>
      </c>
      <c r="I1573">
        <v>1209.8671875</v>
      </c>
      <c r="J1573">
        <v>1160.3242187999999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776.30612900000006</v>
      </c>
      <c r="B1574" s="1">
        <f>DATE(2012,6,15) + TIME(7,20,49)</f>
        <v>41075.306122685186</v>
      </c>
      <c r="C1574">
        <v>80</v>
      </c>
      <c r="D1574">
        <v>79.977005004999995</v>
      </c>
      <c r="E1574">
        <v>50</v>
      </c>
      <c r="F1574">
        <v>46.397171020999998</v>
      </c>
      <c r="G1574">
        <v>1458.7554932</v>
      </c>
      <c r="H1574">
        <v>1427.0250243999999</v>
      </c>
      <c r="I1574">
        <v>1209.7572021000001</v>
      </c>
      <c r="J1574">
        <v>1160.1823730000001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777.13412000000005</v>
      </c>
      <c r="B1575" s="1">
        <f>DATE(2012,6,16) + TIME(3,13,7)</f>
        <v>41076.134108796294</v>
      </c>
      <c r="C1575">
        <v>80</v>
      </c>
      <c r="D1575">
        <v>79.977020264000004</v>
      </c>
      <c r="E1575">
        <v>50</v>
      </c>
      <c r="F1575">
        <v>46.339660645000002</v>
      </c>
      <c r="G1575">
        <v>1458.5927733999999</v>
      </c>
      <c r="H1575">
        <v>1426.8643798999999</v>
      </c>
      <c r="I1575">
        <v>1209.6447754000001</v>
      </c>
      <c r="J1575">
        <v>1160.0373535000001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777.96654799999999</v>
      </c>
      <c r="B1576" s="1">
        <f>DATE(2012,6,16) + TIME(23,11,49)</f>
        <v>41076.966539351852</v>
      </c>
      <c r="C1576">
        <v>80</v>
      </c>
      <c r="D1576">
        <v>79.977035521999994</v>
      </c>
      <c r="E1576">
        <v>50</v>
      </c>
      <c r="F1576">
        <v>46.281604766999997</v>
      </c>
      <c r="G1576">
        <v>1458.4304199000001</v>
      </c>
      <c r="H1576">
        <v>1426.7042236</v>
      </c>
      <c r="I1576">
        <v>1209.5303954999999</v>
      </c>
      <c r="J1576">
        <v>1159.8897704999999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778.806331</v>
      </c>
      <c r="B1577" s="1">
        <f>DATE(2012,6,17) + TIME(19,21,6)</f>
        <v>41077.806319444448</v>
      </c>
      <c r="C1577">
        <v>80</v>
      </c>
      <c r="D1577">
        <v>79.977050781000003</v>
      </c>
      <c r="E1577">
        <v>50</v>
      </c>
      <c r="F1577">
        <v>46.223155974999997</v>
      </c>
      <c r="G1577">
        <v>1458.2694091999999</v>
      </c>
      <c r="H1577">
        <v>1426.5452881000001</v>
      </c>
      <c r="I1577">
        <v>1209.4147949000001</v>
      </c>
      <c r="J1577">
        <v>1159.7403564000001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779.65646300000003</v>
      </c>
      <c r="B1578" s="1">
        <f>DATE(2012,6,18) + TIME(15,45,18)</f>
        <v>41078.656458333331</v>
      </c>
      <c r="C1578">
        <v>80</v>
      </c>
      <c r="D1578">
        <v>79.977073669000006</v>
      </c>
      <c r="E1578">
        <v>50</v>
      </c>
      <c r="F1578">
        <v>46.164199828999998</v>
      </c>
      <c r="G1578">
        <v>1458.109375</v>
      </c>
      <c r="H1578">
        <v>1426.3873291</v>
      </c>
      <c r="I1578">
        <v>1209.2973632999999</v>
      </c>
      <c r="J1578">
        <v>1159.588501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780.51998400000002</v>
      </c>
      <c r="B1579" s="1">
        <f>DATE(2012,6,19) + TIME(12,28,46)</f>
        <v>41079.519976851851</v>
      </c>
      <c r="C1579">
        <v>80</v>
      </c>
      <c r="D1579">
        <v>79.977088928000001</v>
      </c>
      <c r="E1579">
        <v>50</v>
      </c>
      <c r="F1579">
        <v>46.104553223000003</v>
      </c>
      <c r="G1579">
        <v>1457.9495850000001</v>
      </c>
      <c r="H1579">
        <v>1426.2294922000001</v>
      </c>
      <c r="I1579">
        <v>1209.1777344</v>
      </c>
      <c r="J1579">
        <v>1159.4338379000001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781.391212</v>
      </c>
      <c r="B1580" s="1">
        <f>DATE(2012,6,20) + TIME(9,23,20)</f>
        <v>41080.391203703701</v>
      </c>
      <c r="C1580">
        <v>80</v>
      </c>
      <c r="D1580">
        <v>79.977111816000004</v>
      </c>
      <c r="E1580">
        <v>50</v>
      </c>
      <c r="F1580">
        <v>46.044174194</v>
      </c>
      <c r="G1580">
        <v>1457.7894286999999</v>
      </c>
      <c r="H1580">
        <v>1426.0712891000001</v>
      </c>
      <c r="I1580">
        <v>1209.0554199000001</v>
      </c>
      <c r="J1580">
        <v>1159.2755127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782.27328999999997</v>
      </c>
      <c r="B1581" s="1">
        <f>DATE(2012,6,21) + TIME(6,33,32)</f>
        <v>41081.273287037038</v>
      </c>
      <c r="C1581">
        <v>80</v>
      </c>
      <c r="D1581">
        <v>79.977127074999999</v>
      </c>
      <c r="E1581">
        <v>50</v>
      </c>
      <c r="F1581">
        <v>45.983150481999999</v>
      </c>
      <c r="G1581">
        <v>1457.6301269999999</v>
      </c>
      <c r="H1581">
        <v>1425.9139404</v>
      </c>
      <c r="I1581">
        <v>1208.9311522999999</v>
      </c>
      <c r="J1581">
        <v>1159.114624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783.16988600000002</v>
      </c>
      <c r="B1582" s="1">
        <f>DATE(2012,6,22) + TIME(4,4,38)</f>
        <v>41082.16988425926</v>
      </c>
      <c r="C1582">
        <v>80</v>
      </c>
      <c r="D1582">
        <v>79.977142334000007</v>
      </c>
      <c r="E1582">
        <v>50</v>
      </c>
      <c r="F1582">
        <v>45.921333312999998</v>
      </c>
      <c r="G1582">
        <v>1457.4710693</v>
      </c>
      <c r="H1582">
        <v>1425.7567139</v>
      </c>
      <c r="I1582">
        <v>1208.8044434000001</v>
      </c>
      <c r="J1582">
        <v>1158.9503173999999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784.08420000000001</v>
      </c>
      <c r="B1583" s="1">
        <f>DATE(2012,6,23) + TIME(2,1,14)</f>
        <v>41083.084189814814</v>
      </c>
      <c r="C1583">
        <v>80</v>
      </c>
      <c r="D1583">
        <v>79.977165221999996</v>
      </c>
      <c r="E1583">
        <v>50</v>
      </c>
      <c r="F1583">
        <v>45.858493805000002</v>
      </c>
      <c r="G1583">
        <v>1457.3116454999999</v>
      </c>
      <c r="H1583">
        <v>1425.5991211</v>
      </c>
      <c r="I1583">
        <v>1208.6746826000001</v>
      </c>
      <c r="J1583">
        <v>1158.7819824000001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784.55098699999996</v>
      </c>
      <c r="B1584" s="1">
        <f>DATE(2012,6,23) + TIME(13,13,25)</f>
        <v>41083.550983796296</v>
      </c>
      <c r="C1584">
        <v>80</v>
      </c>
      <c r="D1584">
        <v>79.977172851999995</v>
      </c>
      <c r="E1584">
        <v>50</v>
      </c>
      <c r="F1584">
        <v>45.808078766000001</v>
      </c>
      <c r="G1584">
        <v>1457.1523437999999</v>
      </c>
      <c r="H1584">
        <v>1425.4415283000001</v>
      </c>
      <c r="I1584">
        <v>1208.5407714999999</v>
      </c>
      <c r="J1584">
        <v>1158.6177978999999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785.01777400000003</v>
      </c>
      <c r="B1585" s="1">
        <f>DATE(2012,6,24) + TIME(0,25,35)</f>
        <v>41084.017766203702</v>
      </c>
      <c r="C1585">
        <v>80</v>
      </c>
      <c r="D1585">
        <v>79.977180481000005</v>
      </c>
      <c r="E1585">
        <v>50</v>
      </c>
      <c r="F1585">
        <v>45.767803192000002</v>
      </c>
      <c r="G1585">
        <v>1457.0692139</v>
      </c>
      <c r="H1585">
        <v>1425.359375</v>
      </c>
      <c r="I1585">
        <v>1208.4715576000001</v>
      </c>
      <c r="J1585">
        <v>1158.5225829999999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785.48456099999999</v>
      </c>
      <c r="B1586" s="1">
        <f>DATE(2012,6,24) + TIME(11,37,46)</f>
        <v>41084.484560185185</v>
      </c>
      <c r="C1586">
        <v>80</v>
      </c>
      <c r="D1586">
        <v>79.977195739999999</v>
      </c>
      <c r="E1586">
        <v>50</v>
      </c>
      <c r="F1586">
        <v>45.731830596999998</v>
      </c>
      <c r="G1586">
        <v>1456.9886475000001</v>
      </c>
      <c r="H1586">
        <v>1425.2795410000001</v>
      </c>
      <c r="I1586">
        <v>1208.4029541</v>
      </c>
      <c r="J1586">
        <v>1158.4309082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785.95134900000005</v>
      </c>
      <c r="B1587" s="1">
        <f>DATE(2012,6,24) + TIME(22,49,56)</f>
        <v>41084.951342592591</v>
      </c>
      <c r="C1587">
        <v>80</v>
      </c>
      <c r="D1587">
        <v>79.977203368999994</v>
      </c>
      <c r="E1587">
        <v>50</v>
      </c>
      <c r="F1587">
        <v>45.697673797999997</v>
      </c>
      <c r="G1587">
        <v>1456.9086914</v>
      </c>
      <c r="H1587">
        <v>1425.2004394999999</v>
      </c>
      <c r="I1587">
        <v>1208.3339844</v>
      </c>
      <c r="J1587">
        <v>1158.3400879000001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786.418136</v>
      </c>
      <c r="B1588" s="1">
        <f>DATE(2012,6,25) + TIME(10,2,6)</f>
        <v>41085.418124999997</v>
      </c>
      <c r="C1588">
        <v>80</v>
      </c>
      <c r="D1588">
        <v>79.977210998999993</v>
      </c>
      <c r="E1588">
        <v>50</v>
      </c>
      <c r="F1588">
        <v>45.664283752000003</v>
      </c>
      <c r="G1588">
        <v>1456.8292236</v>
      </c>
      <c r="H1588">
        <v>1425.1219481999999</v>
      </c>
      <c r="I1588">
        <v>1208.2645264</v>
      </c>
      <c r="J1588">
        <v>1158.2492675999999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786.88492299999996</v>
      </c>
      <c r="B1589" s="1">
        <f>DATE(2012,6,25) + TIME(21,14,17)</f>
        <v>41085.884918981479</v>
      </c>
      <c r="C1589">
        <v>80</v>
      </c>
      <c r="D1589">
        <v>79.977226256999998</v>
      </c>
      <c r="E1589">
        <v>50</v>
      </c>
      <c r="F1589">
        <v>45.631202698000003</v>
      </c>
      <c r="G1589">
        <v>1456.7503661999999</v>
      </c>
      <c r="H1589">
        <v>1425.0438231999999</v>
      </c>
      <c r="I1589">
        <v>1208.1948242000001</v>
      </c>
      <c r="J1589">
        <v>1158.1582031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787.81849799999998</v>
      </c>
      <c r="B1590" s="1">
        <f>DATE(2012,6,26) + TIME(19,38,38)</f>
        <v>41086.818495370368</v>
      </c>
      <c r="C1590">
        <v>80</v>
      </c>
      <c r="D1590">
        <v>79.977249146000005</v>
      </c>
      <c r="E1590">
        <v>50</v>
      </c>
      <c r="F1590">
        <v>45.589305877999998</v>
      </c>
      <c r="G1590">
        <v>1456.6719971</v>
      </c>
      <c r="H1590">
        <v>1424.9661865</v>
      </c>
      <c r="I1590">
        <v>1208.1254882999999</v>
      </c>
      <c r="J1590">
        <v>1158.0611572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788.75483899999995</v>
      </c>
      <c r="B1591" s="1">
        <f>DATE(2012,6,27) + TIME(18,6,58)</f>
        <v>41087.754837962966</v>
      </c>
      <c r="C1591">
        <v>80</v>
      </c>
      <c r="D1591">
        <v>79.977264403999996</v>
      </c>
      <c r="E1591">
        <v>50</v>
      </c>
      <c r="F1591">
        <v>45.530002594000003</v>
      </c>
      <c r="G1591">
        <v>1456.5179443</v>
      </c>
      <c r="H1591">
        <v>1424.8137207</v>
      </c>
      <c r="I1591">
        <v>1207.9851074000001</v>
      </c>
      <c r="J1591">
        <v>1157.8826904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789.705918</v>
      </c>
      <c r="B1592" s="1">
        <f>DATE(2012,6,28) + TIME(16,56,31)</f>
        <v>41088.705914351849</v>
      </c>
      <c r="C1592">
        <v>80</v>
      </c>
      <c r="D1592">
        <v>79.977287292</v>
      </c>
      <c r="E1592">
        <v>50</v>
      </c>
      <c r="F1592">
        <v>45.465538025000001</v>
      </c>
      <c r="G1592">
        <v>1456.3643798999999</v>
      </c>
      <c r="H1592">
        <v>1424.6617432</v>
      </c>
      <c r="I1592">
        <v>1207.8426514</v>
      </c>
      <c r="J1592">
        <v>1157.697876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790.67521899999997</v>
      </c>
      <c r="B1593" s="1">
        <f>DATE(2012,6,29) + TIME(16,12,18)</f>
        <v>41089.675208333334</v>
      </c>
      <c r="C1593">
        <v>80</v>
      </c>
      <c r="D1593">
        <v>79.977302550999994</v>
      </c>
      <c r="E1593">
        <v>50</v>
      </c>
      <c r="F1593">
        <v>45.398742675999998</v>
      </c>
      <c r="G1593">
        <v>1456.2103271000001</v>
      </c>
      <c r="H1593">
        <v>1424.5091553</v>
      </c>
      <c r="I1593">
        <v>1207.6967772999999</v>
      </c>
      <c r="J1593">
        <v>1157.5074463000001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791.66603299999997</v>
      </c>
      <c r="B1594" s="1">
        <f>DATE(2012,6,30) + TIME(15,59,5)</f>
        <v>41090.666030092594</v>
      </c>
      <c r="C1594">
        <v>80</v>
      </c>
      <c r="D1594">
        <v>79.977325438999998</v>
      </c>
      <c r="E1594">
        <v>50</v>
      </c>
      <c r="F1594">
        <v>45.330192566000001</v>
      </c>
      <c r="G1594">
        <v>1456.0554199000001</v>
      </c>
      <c r="H1594">
        <v>1424.3557129000001</v>
      </c>
      <c r="I1594">
        <v>1207.5467529</v>
      </c>
      <c r="J1594">
        <v>1157.3110352000001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792</v>
      </c>
      <c r="B1595" s="1">
        <f>DATE(2012,7,1) + TIME(0,0,0)</f>
        <v>41091</v>
      </c>
      <c r="C1595">
        <v>80</v>
      </c>
      <c r="D1595">
        <v>79.977325438999998</v>
      </c>
      <c r="E1595">
        <v>50</v>
      </c>
      <c r="F1595">
        <v>45.283924102999997</v>
      </c>
      <c r="G1595">
        <v>1455.9020995999999</v>
      </c>
      <c r="H1595">
        <v>1424.2038574000001</v>
      </c>
      <c r="I1595">
        <v>1207.3917236</v>
      </c>
      <c r="J1595">
        <v>1157.1257324000001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793.015984</v>
      </c>
      <c r="B1596" s="1">
        <f>DATE(2012,7,2) + TIME(0,23,1)</f>
        <v>41092.015983796293</v>
      </c>
      <c r="C1596">
        <v>80</v>
      </c>
      <c r="D1596">
        <v>79.977355957</v>
      </c>
      <c r="E1596">
        <v>50</v>
      </c>
      <c r="F1596">
        <v>45.230293273999997</v>
      </c>
      <c r="G1596">
        <v>1455.8454589999999</v>
      </c>
      <c r="H1596">
        <v>1424.1478271000001</v>
      </c>
      <c r="I1596">
        <v>1207.3387451000001</v>
      </c>
      <c r="J1596">
        <v>1157.0336914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794.042148</v>
      </c>
      <c r="B1597" s="1">
        <f>DATE(2012,7,3) + TIME(1,0,41)</f>
        <v>41093.042141203703</v>
      </c>
      <c r="C1597">
        <v>80</v>
      </c>
      <c r="D1597">
        <v>79.977371215999995</v>
      </c>
      <c r="E1597">
        <v>50</v>
      </c>
      <c r="F1597">
        <v>45.162441254000001</v>
      </c>
      <c r="G1597">
        <v>1455.6893310999999</v>
      </c>
      <c r="H1597">
        <v>1423.9930420000001</v>
      </c>
      <c r="I1597">
        <v>1207.1784668</v>
      </c>
      <c r="J1597">
        <v>1156.8266602000001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795.07243900000003</v>
      </c>
      <c r="B1598" s="1">
        <f>DATE(2012,7,4) + TIME(1,44,18)</f>
        <v>41094.072430555556</v>
      </c>
      <c r="C1598">
        <v>80</v>
      </c>
      <c r="D1598">
        <v>79.977394103999998</v>
      </c>
      <c r="E1598">
        <v>50</v>
      </c>
      <c r="F1598">
        <v>45.090316772000001</v>
      </c>
      <c r="G1598">
        <v>1455.5323486</v>
      </c>
      <c r="H1598">
        <v>1423.8374022999999</v>
      </c>
      <c r="I1598">
        <v>1207.0142822</v>
      </c>
      <c r="J1598">
        <v>1156.6115723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796.10997099999997</v>
      </c>
      <c r="B1599" s="1">
        <f>DATE(2012,7,5) + TIME(2,38,21)</f>
        <v>41095.109965277778</v>
      </c>
      <c r="C1599">
        <v>80</v>
      </c>
      <c r="D1599">
        <v>79.977416992000002</v>
      </c>
      <c r="E1599">
        <v>50</v>
      </c>
      <c r="F1599">
        <v>45.016605376999998</v>
      </c>
      <c r="G1599">
        <v>1455.3767089999999</v>
      </c>
      <c r="H1599">
        <v>1423.6831055</v>
      </c>
      <c r="I1599">
        <v>1206.8477783000001</v>
      </c>
      <c r="J1599">
        <v>1156.3922118999999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797.15732100000002</v>
      </c>
      <c r="B1600" s="1">
        <f>DATE(2012,7,6) + TIME(3,46,32)</f>
        <v>41096.157314814816</v>
      </c>
      <c r="C1600">
        <v>80</v>
      </c>
      <c r="D1600">
        <v>79.977439880000006</v>
      </c>
      <c r="E1600">
        <v>50</v>
      </c>
      <c r="F1600">
        <v>44.941799164000003</v>
      </c>
      <c r="G1600">
        <v>1455.2219238</v>
      </c>
      <c r="H1600">
        <v>1423.5296631000001</v>
      </c>
      <c r="I1600">
        <v>1206.6782227000001</v>
      </c>
      <c r="J1600">
        <v>1156.1683350000001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798.21818199999996</v>
      </c>
      <c r="B1601" s="1">
        <f>DATE(2012,7,7) + TIME(5,14,10)</f>
        <v>41097.218171296299</v>
      </c>
      <c r="C1601">
        <v>80</v>
      </c>
      <c r="D1601">
        <v>79.977462768999999</v>
      </c>
      <c r="E1601">
        <v>50</v>
      </c>
      <c r="F1601">
        <v>44.865844727000002</v>
      </c>
      <c r="G1601">
        <v>1455.067749</v>
      </c>
      <c r="H1601">
        <v>1423.3767089999999</v>
      </c>
      <c r="I1601">
        <v>1206.505249</v>
      </c>
      <c r="J1601">
        <v>1155.9394531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799.29658400000005</v>
      </c>
      <c r="B1602" s="1">
        <f>DATE(2012,7,8) + TIME(7,7,4)</f>
        <v>41098.296574074076</v>
      </c>
      <c r="C1602">
        <v>80</v>
      </c>
      <c r="D1602">
        <v>79.977485657000003</v>
      </c>
      <c r="E1602">
        <v>50</v>
      </c>
      <c r="F1602">
        <v>44.788482666</v>
      </c>
      <c r="G1602">
        <v>1454.9134521000001</v>
      </c>
      <c r="H1602">
        <v>1423.2236327999999</v>
      </c>
      <c r="I1602">
        <v>1206.328125</v>
      </c>
      <c r="J1602">
        <v>1155.7044678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800.39697000000001</v>
      </c>
      <c r="B1603" s="1">
        <f>DATE(2012,7,9) + TIME(9,31,38)</f>
        <v>41099.396967592591</v>
      </c>
      <c r="C1603">
        <v>80</v>
      </c>
      <c r="D1603">
        <v>79.977508545000006</v>
      </c>
      <c r="E1603">
        <v>50</v>
      </c>
      <c r="F1603">
        <v>44.709392547999997</v>
      </c>
      <c r="G1603">
        <v>1454.7586670000001</v>
      </c>
      <c r="H1603">
        <v>1423.0700684000001</v>
      </c>
      <c r="I1603">
        <v>1206.145874</v>
      </c>
      <c r="J1603">
        <v>1155.4624022999999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801.49975700000005</v>
      </c>
      <c r="B1604" s="1">
        <f>DATE(2012,7,10) + TIME(11,59,38)</f>
        <v>41100.499745370369</v>
      </c>
      <c r="C1604">
        <v>80</v>
      </c>
      <c r="D1604">
        <v>79.977531432999996</v>
      </c>
      <c r="E1604">
        <v>50</v>
      </c>
      <c r="F1604">
        <v>44.628620148000003</v>
      </c>
      <c r="G1604">
        <v>1454.6026611</v>
      </c>
      <c r="H1604">
        <v>1422.9152832</v>
      </c>
      <c r="I1604">
        <v>1205.9578856999999</v>
      </c>
      <c r="J1604">
        <v>1155.2122803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802.60574199999996</v>
      </c>
      <c r="B1605" s="1">
        <f>DATE(2012,7,11) + TIME(14,32,16)</f>
        <v>41101.605740740742</v>
      </c>
      <c r="C1605">
        <v>80</v>
      </c>
      <c r="D1605">
        <v>79.977554321</v>
      </c>
      <c r="E1605">
        <v>50</v>
      </c>
      <c r="F1605">
        <v>44.546875</v>
      </c>
      <c r="G1605">
        <v>1454.4483643000001</v>
      </c>
      <c r="H1605">
        <v>1422.7620850000001</v>
      </c>
      <c r="I1605">
        <v>1205.7670897999999</v>
      </c>
      <c r="J1605">
        <v>1154.9577637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803.71831199999997</v>
      </c>
      <c r="B1606" s="1">
        <f>DATE(2012,7,12) + TIME(17,14,22)</f>
        <v>41102.718310185184</v>
      </c>
      <c r="C1606">
        <v>80</v>
      </c>
      <c r="D1606">
        <v>79.977577209000003</v>
      </c>
      <c r="E1606">
        <v>50</v>
      </c>
      <c r="F1606">
        <v>44.464210510000001</v>
      </c>
      <c r="G1606">
        <v>1454.2954102000001</v>
      </c>
      <c r="H1606">
        <v>1422.6103516000001</v>
      </c>
      <c r="I1606">
        <v>1205.5733643000001</v>
      </c>
      <c r="J1606">
        <v>1154.6988524999999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804.84111600000006</v>
      </c>
      <c r="B1607" s="1">
        <f>DATE(2012,7,13) + TIME(20,11,12)</f>
        <v>41103.841111111113</v>
      </c>
      <c r="C1607">
        <v>80</v>
      </c>
      <c r="D1607">
        <v>79.977600097999996</v>
      </c>
      <c r="E1607">
        <v>50</v>
      </c>
      <c r="F1607">
        <v>44.380409241000002</v>
      </c>
      <c r="G1607">
        <v>1454.1435547000001</v>
      </c>
      <c r="H1607">
        <v>1422.4594727000001</v>
      </c>
      <c r="I1607">
        <v>1205.3760986</v>
      </c>
      <c r="J1607">
        <v>1154.4344481999999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805.97791099999995</v>
      </c>
      <c r="B1608" s="1">
        <f>DATE(2012,7,14) + TIME(23,28,11)</f>
        <v>41104.977905092594</v>
      </c>
      <c r="C1608">
        <v>80</v>
      </c>
      <c r="D1608">
        <v>79.977622986</v>
      </c>
      <c r="E1608">
        <v>50</v>
      </c>
      <c r="F1608">
        <v>44.295169829999999</v>
      </c>
      <c r="G1608">
        <v>1453.9920654</v>
      </c>
      <c r="H1608">
        <v>1422.309082</v>
      </c>
      <c r="I1608">
        <v>1205.1745605000001</v>
      </c>
      <c r="J1608">
        <v>1154.1635742000001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807.13264000000004</v>
      </c>
      <c r="B1609" s="1">
        <f>DATE(2012,7,16) + TIME(3,11,0)</f>
        <v>41106.132638888892</v>
      </c>
      <c r="C1609">
        <v>80</v>
      </c>
      <c r="D1609">
        <v>79.977645874000004</v>
      </c>
      <c r="E1609">
        <v>50</v>
      </c>
      <c r="F1609">
        <v>44.208156586000001</v>
      </c>
      <c r="G1609">
        <v>1453.8406981999999</v>
      </c>
      <c r="H1609">
        <v>1422.1586914</v>
      </c>
      <c r="I1609">
        <v>1204.9678954999999</v>
      </c>
      <c r="J1609">
        <v>1153.8852539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808.30772300000001</v>
      </c>
      <c r="B1610" s="1">
        <f>DATE(2012,7,17) + TIME(7,23,7)</f>
        <v>41107.307719907411</v>
      </c>
      <c r="C1610">
        <v>80</v>
      </c>
      <c r="D1610">
        <v>79.977668761999993</v>
      </c>
      <c r="E1610">
        <v>50</v>
      </c>
      <c r="F1610">
        <v>44.119033813000001</v>
      </c>
      <c r="G1610">
        <v>1453.6887207</v>
      </c>
      <c r="H1610">
        <v>1422.0078125</v>
      </c>
      <c r="I1610">
        <v>1204.755249</v>
      </c>
      <c r="J1610">
        <v>1153.5981445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809.49300600000004</v>
      </c>
      <c r="B1611" s="1">
        <f>DATE(2012,7,18) + TIME(11,49,55)</f>
        <v>41108.492997685185</v>
      </c>
      <c r="C1611">
        <v>80</v>
      </c>
      <c r="D1611">
        <v>79.977691649999997</v>
      </c>
      <c r="E1611">
        <v>50</v>
      </c>
      <c r="F1611">
        <v>44.027736664000003</v>
      </c>
      <c r="G1611">
        <v>1453.5360106999999</v>
      </c>
      <c r="H1611">
        <v>1421.8560791</v>
      </c>
      <c r="I1611">
        <v>1204.5360106999999</v>
      </c>
      <c r="J1611">
        <v>1153.3015137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810.67914199999996</v>
      </c>
      <c r="B1612" s="1">
        <f>DATE(2012,7,19) + TIME(16,17,57)</f>
        <v>41109.679131944446</v>
      </c>
      <c r="C1612">
        <v>80</v>
      </c>
      <c r="D1612">
        <v>79.977714539000004</v>
      </c>
      <c r="E1612">
        <v>50</v>
      </c>
      <c r="F1612">
        <v>43.934795379999997</v>
      </c>
      <c r="G1612">
        <v>1453.3837891000001</v>
      </c>
      <c r="H1612">
        <v>1421.7048339999999</v>
      </c>
      <c r="I1612">
        <v>1204.3117675999999</v>
      </c>
      <c r="J1612">
        <v>1152.9975586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811.87121999999999</v>
      </c>
      <c r="B1613" s="1">
        <f>DATE(2012,7,20) + TIME(20,54,33)</f>
        <v>41110.871215277781</v>
      </c>
      <c r="C1613">
        <v>80</v>
      </c>
      <c r="D1613">
        <v>79.977737426999994</v>
      </c>
      <c r="E1613">
        <v>50</v>
      </c>
      <c r="F1613">
        <v>43.840595245000003</v>
      </c>
      <c r="G1613">
        <v>1453.2332764</v>
      </c>
      <c r="H1613">
        <v>1421.5552978999999</v>
      </c>
      <c r="I1613">
        <v>1204.0843506000001</v>
      </c>
      <c r="J1613">
        <v>1152.6881103999999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813.07390199999998</v>
      </c>
      <c r="B1614" s="1">
        <f>DATE(2012,7,22) + TIME(1,46,25)</f>
        <v>41112.073900462965</v>
      </c>
      <c r="C1614">
        <v>80</v>
      </c>
      <c r="D1614">
        <v>79.977767943999993</v>
      </c>
      <c r="E1614">
        <v>50</v>
      </c>
      <c r="F1614">
        <v>43.744888306</v>
      </c>
      <c r="G1614">
        <v>1453.0838623</v>
      </c>
      <c r="H1614">
        <v>1421.4067382999999</v>
      </c>
      <c r="I1614">
        <v>1203.8527832</v>
      </c>
      <c r="J1614">
        <v>1152.3719481999999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814.29110900000001</v>
      </c>
      <c r="B1615" s="1">
        <f>DATE(2012,7,23) + TIME(6,59,11)</f>
        <v>41113.29109953704</v>
      </c>
      <c r="C1615">
        <v>80</v>
      </c>
      <c r="D1615">
        <v>79.977790833</v>
      </c>
      <c r="E1615">
        <v>50</v>
      </c>
      <c r="F1615">
        <v>43.647293091000002</v>
      </c>
      <c r="G1615">
        <v>1452.9349365</v>
      </c>
      <c r="H1615">
        <v>1421.2586670000001</v>
      </c>
      <c r="I1615">
        <v>1203.6158447</v>
      </c>
      <c r="J1615">
        <v>1152.0477295000001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815.52595099999996</v>
      </c>
      <c r="B1616" s="1">
        <f>DATE(2012,7,24) + TIME(12,37,22)</f>
        <v>41114.525949074072</v>
      </c>
      <c r="C1616">
        <v>80</v>
      </c>
      <c r="D1616">
        <v>79.977813721000004</v>
      </c>
      <c r="E1616">
        <v>50</v>
      </c>
      <c r="F1616">
        <v>43.547435759999999</v>
      </c>
      <c r="G1616">
        <v>1452.7860106999999</v>
      </c>
      <c r="H1616">
        <v>1421.1105957</v>
      </c>
      <c r="I1616">
        <v>1203.3728027</v>
      </c>
      <c r="J1616">
        <v>1151.7142334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816.77923499999997</v>
      </c>
      <c r="B1617" s="1">
        <f>DATE(2012,7,25) + TIME(18,42,5)</f>
        <v>41115.779224537036</v>
      </c>
      <c r="C1617">
        <v>80</v>
      </c>
      <c r="D1617">
        <v>79.977836608999993</v>
      </c>
      <c r="E1617">
        <v>50</v>
      </c>
      <c r="F1617">
        <v>43.445007324000002</v>
      </c>
      <c r="G1617">
        <v>1452.6365966999999</v>
      </c>
      <c r="H1617">
        <v>1420.9620361</v>
      </c>
      <c r="I1617">
        <v>1203.1226807</v>
      </c>
      <c r="J1617">
        <v>1151.3701172000001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818.05043499999999</v>
      </c>
      <c r="B1618" s="1">
        <f>DATE(2012,7,27) + TIME(1,12,37)</f>
        <v>41117.050428240742</v>
      </c>
      <c r="C1618">
        <v>80</v>
      </c>
      <c r="D1618">
        <v>79.977867126000007</v>
      </c>
      <c r="E1618">
        <v>50</v>
      </c>
      <c r="F1618">
        <v>43.339847564999999</v>
      </c>
      <c r="G1618">
        <v>1452.4869385</v>
      </c>
      <c r="H1618">
        <v>1420.8131103999999</v>
      </c>
      <c r="I1618">
        <v>1202.8653564000001</v>
      </c>
      <c r="J1618">
        <v>1151.0150146000001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819.32208500000002</v>
      </c>
      <c r="B1619" s="1">
        <f>DATE(2012,7,28) + TIME(7,43,48)</f>
        <v>41118.322083333333</v>
      </c>
      <c r="C1619">
        <v>80</v>
      </c>
      <c r="D1619">
        <v>79.977890015</v>
      </c>
      <c r="E1619">
        <v>50</v>
      </c>
      <c r="F1619">
        <v>43.232177733999997</v>
      </c>
      <c r="G1619">
        <v>1452.3367920000001</v>
      </c>
      <c r="H1619">
        <v>1420.6638184000001</v>
      </c>
      <c r="I1619">
        <v>1202.6005858999999</v>
      </c>
      <c r="J1619">
        <v>1150.6488036999999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820.59830499999998</v>
      </c>
      <c r="B1620" s="1">
        <f>DATE(2012,7,29) + TIME(14,21,33)</f>
        <v>41119.598298611112</v>
      </c>
      <c r="C1620">
        <v>80</v>
      </c>
      <c r="D1620">
        <v>79.977912903000004</v>
      </c>
      <c r="E1620">
        <v>50</v>
      </c>
      <c r="F1620">
        <v>43.122764586999999</v>
      </c>
      <c r="G1620">
        <v>1452.1883545000001</v>
      </c>
      <c r="H1620">
        <v>1420.5162353999999</v>
      </c>
      <c r="I1620">
        <v>1202.3319091999999</v>
      </c>
      <c r="J1620">
        <v>1150.2757568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821.88532899999996</v>
      </c>
      <c r="B1621" s="1">
        <f>DATE(2012,7,30) + TIME(21,14,52)</f>
        <v>41120.885324074072</v>
      </c>
      <c r="C1621">
        <v>80</v>
      </c>
      <c r="D1621">
        <v>79.977943420000003</v>
      </c>
      <c r="E1621">
        <v>50</v>
      </c>
      <c r="F1621">
        <v>43.011440276999998</v>
      </c>
      <c r="G1621">
        <v>1452.0412598</v>
      </c>
      <c r="H1621">
        <v>1420.369751</v>
      </c>
      <c r="I1621">
        <v>1202.0584716999999</v>
      </c>
      <c r="J1621">
        <v>1149.8946533000001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823</v>
      </c>
      <c r="B1622" s="1">
        <f>DATE(2012,8,1) + TIME(0,0,0)</f>
        <v>41122</v>
      </c>
      <c r="C1622">
        <v>80</v>
      </c>
      <c r="D1622">
        <v>79.977958678999997</v>
      </c>
      <c r="E1622">
        <v>50</v>
      </c>
      <c r="F1622">
        <v>42.901622772000003</v>
      </c>
      <c r="G1622">
        <v>1451.8945312000001</v>
      </c>
      <c r="H1622">
        <v>1420.2238769999999</v>
      </c>
      <c r="I1622">
        <v>1201.7786865</v>
      </c>
      <c r="J1622">
        <v>1149.5074463000001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824.301424</v>
      </c>
      <c r="B1623" s="1">
        <f>DATE(2012,8,2) + TIME(7,14,3)</f>
        <v>41123.301423611112</v>
      </c>
      <c r="C1623">
        <v>80</v>
      </c>
      <c r="D1623">
        <v>79.977989196999999</v>
      </c>
      <c r="E1623">
        <v>50</v>
      </c>
      <c r="F1623">
        <v>42.795555114999999</v>
      </c>
      <c r="G1623">
        <v>1451.7685547000001</v>
      </c>
      <c r="H1623">
        <v>1420.0983887</v>
      </c>
      <c r="I1623">
        <v>1201.5327147999999</v>
      </c>
      <c r="J1623">
        <v>1149.1567382999999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825.63572099999999</v>
      </c>
      <c r="B1624" s="1">
        <f>DATE(2012,8,3) + TIME(15,15,26)</f>
        <v>41124.635717592595</v>
      </c>
      <c r="C1624">
        <v>80</v>
      </c>
      <c r="D1624">
        <v>79.978012085000003</v>
      </c>
      <c r="E1624">
        <v>50</v>
      </c>
      <c r="F1624">
        <v>42.679321289000001</v>
      </c>
      <c r="G1624">
        <v>1451.6235352000001</v>
      </c>
      <c r="H1624">
        <v>1419.9541016000001</v>
      </c>
      <c r="I1624">
        <v>1201.2426757999999</v>
      </c>
      <c r="J1624">
        <v>1148.7506103999999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826.99377800000002</v>
      </c>
      <c r="B1625" s="1">
        <f>DATE(2012,8,4) + TIME(23,51,2)</f>
        <v>41125.993773148148</v>
      </c>
      <c r="C1625">
        <v>80</v>
      </c>
      <c r="D1625">
        <v>79.978042603000006</v>
      </c>
      <c r="E1625">
        <v>50</v>
      </c>
      <c r="F1625">
        <v>42.557407378999997</v>
      </c>
      <c r="G1625">
        <v>1451.4764404</v>
      </c>
      <c r="H1625">
        <v>1419.8076172000001</v>
      </c>
      <c r="I1625">
        <v>1200.9407959</v>
      </c>
      <c r="J1625">
        <v>1148.3256836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828.35500000000002</v>
      </c>
      <c r="B1626" s="1">
        <f>DATE(2012,8,6) + TIME(8,31,12)</f>
        <v>41127.355000000003</v>
      </c>
      <c r="C1626">
        <v>80</v>
      </c>
      <c r="D1626">
        <v>79.978065490999995</v>
      </c>
      <c r="E1626">
        <v>50</v>
      </c>
      <c r="F1626">
        <v>42.431564330999997</v>
      </c>
      <c r="G1626">
        <v>1451.3283690999999</v>
      </c>
      <c r="H1626">
        <v>1419.6602783000001</v>
      </c>
      <c r="I1626">
        <v>1200.6292725000001</v>
      </c>
      <c r="J1626">
        <v>1147.8854980000001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829.72023899999999</v>
      </c>
      <c r="B1627" s="1">
        <f>DATE(2012,8,7) + TIME(17,17,8)</f>
        <v>41128.720231481479</v>
      </c>
      <c r="C1627">
        <v>80</v>
      </c>
      <c r="D1627">
        <v>79.978096007999994</v>
      </c>
      <c r="E1627">
        <v>50</v>
      </c>
      <c r="F1627">
        <v>42.303226471000002</v>
      </c>
      <c r="G1627">
        <v>1451.1817627</v>
      </c>
      <c r="H1627">
        <v>1419.5141602000001</v>
      </c>
      <c r="I1627">
        <v>1200.3123779</v>
      </c>
      <c r="J1627">
        <v>1147.4361572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831.09410100000002</v>
      </c>
      <c r="B1628" s="1">
        <f>DATE(2012,8,9) + TIME(2,15,30)</f>
        <v>41130.094097222223</v>
      </c>
      <c r="C1628">
        <v>80</v>
      </c>
      <c r="D1628">
        <v>79.978118895999998</v>
      </c>
      <c r="E1628">
        <v>50</v>
      </c>
      <c r="F1628">
        <v>42.172515869000001</v>
      </c>
      <c r="G1628">
        <v>1451.0362548999999</v>
      </c>
      <c r="H1628">
        <v>1419.3693848</v>
      </c>
      <c r="I1628">
        <v>1199.9902344</v>
      </c>
      <c r="J1628">
        <v>1146.9774170000001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832.47980800000005</v>
      </c>
      <c r="B1629" s="1">
        <f>DATE(2012,8,10) + TIME(11,30,55)</f>
        <v>41131.479803240742</v>
      </c>
      <c r="C1629">
        <v>80</v>
      </c>
      <c r="D1629">
        <v>79.978149414000001</v>
      </c>
      <c r="E1629">
        <v>50</v>
      </c>
      <c r="F1629">
        <v>42.039108276</v>
      </c>
      <c r="G1629">
        <v>1450.8914795000001</v>
      </c>
      <c r="H1629">
        <v>1419.2252197</v>
      </c>
      <c r="I1629">
        <v>1199.661499</v>
      </c>
      <c r="J1629">
        <v>1146.5078125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833.88226899999995</v>
      </c>
      <c r="B1630" s="1">
        <f>DATE(2012,8,11) + TIME(21,10,28)</f>
        <v>41132.882268518515</v>
      </c>
      <c r="C1630">
        <v>80</v>
      </c>
      <c r="D1630">
        <v>79.978172302000004</v>
      </c>
      <c r="E1630">
        <v>50</v>
      </c>
      <c r="F1630">
        <v>41.902629851999997</v>
      </c>
      <c r="G1630">
        <v>1450.7471923999999</v>
      </c>
      <c r="H1630">
        <v>1419.081543</v>
      </c>
      <c r="I1630">
        <v>1199.3253173999999</v>
      </c>
      <c r="J1630">
        <v>1146.0261230000001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835.30602599999997</v>
      </c>
      <c r="B1631" s="1">
        <f>DATE(2012,8,13) + TIME(7,20,40)</f>
        <v>41134.306018518517</v>
      </c>
      <c r="C1631">
        <v>80</v>
      </c>
      <c r="D1631">
        <v>79.978202820000007</v>
      </c>
      <c r="E1631">
        <v>50</v>
      </c>
      <c r="F1631">
        <v>41.762542725000003</v>
      </c>
      <c r="G1631">
        <v>1450.6027832</v>
      </c>
      <c r="H1631">
        <v>1418.9376221</v>
      </c>
      <c r="I1631">
        <v>1198.9805908000001</v>
      </c>
      <c r="J1631">
        <v>1145.5305175999999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836.73948600000006</v>
      </c>
      <c r="B1632" s="1">
        <f>DATE(2012,8,14) + TIME(17,44,51)</f>
        <v>41135.739479166667</v>
      </c>
      <c r="C1632">
        <v>80</v>
      </c>
      <c r="D1632">
        <v>79.978225707999997</v>
      </c>
      <c r="E1632">
        <v>50</v>
      </c>
      <c r="F1632">
        <v>41.618652343999997</v>
      </c>
      <c r="G1632">
        <v>1450.4577637</v>
      </c>
      <c r="H1632">
        <v>1418.7932129000001</v>
      </c>
      <c r="I1632">
        <v>1198.6259766000001</v>
      </c>
      <c r="J1632">
        <v>1145.0191649999999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838.17690000000005</v>
      </c>
      <c r="B1633" s="1">
        <f>DATE(2012,8,16) + TIME(4,14,44)</f>
        <v>41137.176898148151</v>
      </c>
      <c r="C1633">
        <v>80</v>
      </c>
      <c r="D1633">
        <v>79.978256225999999</v>
      </c>
      <c r="E1633">
        <v>50</v>
      </c>
      <c r="F1633">
        <v>41.471691131999997</v>
      </c>
      <c r="G1633">
        <v>1450.3134766000001</v>
      </c>
      <c r="H1633">
        <v>1418.6494141000001</v>
      </c>
      <c r="I1633">
        <v>1198.2641602000001</v>
      </c>
      <c r="J1633">
        <v>1144.4958495999999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839.62169100000006</v>
      </c>
      <c r="B1634" s="1">
        <f>DATE(2012,8,17) + TIME(14,55,14)</f>
        <v>41138.621689814812</v>
      </c>
      <c r="C1634">
        <v>80</v>
      </c>
      <c r="D1634">
        <v>79.978279114000003</v>
      </c>
      <c r="E1634">
        <v>50</v>
      </c>
      <c r="F1634">
        <v>41.322055816999999</v>
      </c>
      <c r="G1634">
        <v>1450.1702881000001</v>
      </c>
      <c r="H1634">
        <v>1418.5068358999999</v>
      </c>
      <c r="I1634">
        <v>1197.8966064000001</v>
      </c>
      <c r="J1634">
        <v>1143.9621582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841.07836599999996</v>
      </c>
      <c r="B1635" s="1">
        <f>DATE(2012,8,19) + TIME(1,52,50)</f>
        <v>41140.078356481485</v>
      </c>
      <c r="C1635">
        <v>80</v>
      </c>
      <c r="D1635">
        <v>79.978309631000002</v>
      </c>
      <c r="E1635">
        <v>50</v>
      </c>
      <c r="F1635">
        <v>41.169490814</v>
      </c>
      <c r="G1635">
        <v>1450.0279541</v>
      </c>
      <c r="H1635">
        <v>1418.3649902</v>
      </c>
      <c r="I1635">
        <v>1197.5224608999999</v>
      </c>
      <c r="J1635">
        <v>1143.4172363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842.55172100000004</v>
      </c>
      <c r="B1636" s="1">
        <f>DATE(2012,8,20) + TIME(13,14,28)</f>
        <v>41141.551712962966</v>
      </c>
      <c r="C1636">
        <v>80</v>
      </c>
      <c r="D1636">
        <v>79.978340149000005</v>
      </c>
      <c r="E1636">
        <v>50</v>
      </c>
      <c r="F1636">
        <v>41.013523102000001</v>
      </c>
      <c r="G1636">
        <v>1449.8859863</v>
      </c>
      <c r="H1636">
        <v>1418.2235106999999</v>
      </c>
      <c r="I1636">
        <v>1197.140625</v>
      </c>
      <c r="J1636">
        <v>1142.8591309000001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844.04299500000002</v>
      </c>
      <c r="B1637" s="1">
        <f>DATE(2012,8,22) + TIME(1,1,54)</f>
        <v>41143.042986111112</v>
      </c>
      <c r="C1637">
        <v>80</v>
      </c>
      <c r="D1637">
        <v>79.978363036999994</v>
      </c>
      <c r="E1637">
        <v>50</v>
      </c>
      <c r="F1637">
        <v>40.853672027999998</v>
      </c>
      <c r="G1637">
        <v>1449.7440185999999</v>
      </c>
      <c r="H1637">
        <v>1418.0820312000001</v>
      </c>
      <c r="I1637">
        <v>1196.7498779</v>
      </c>
      <c r="J1637">
        <v>1142.2862548999999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845.54589699999997</v>
      </c>
      <c r="B1638" s="1">
        <f>DATE(2012,8,23) + TIME(13,6,5)</f>
        <v>41144.545891203707</v>
      </c>
      <c r="C1638">
        <v>80</v>
      </c>
      <c r="D1638">
        <v>79.978393554999997</v>
      </c>
      <c r="E1638">
        <v>50</v>
      </c>
      <c r="F1638">
        <v>40.689846039000003</v>
      </c>
      <c r="G1638">
        <v>1449.6018065999999</v>
      </c>
      <c r="H1638">
        <v>1417.9403076000001</v>
      </c>
      <c r="I1638">
        <v>1196.3496094</v>
      </c>
      <c r="J1638">
        <v>1141.6977539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847.05192299999999</v>
      </c>
      <c r="B1639" s="1">
        <f>DATE(2012,8,25) + TIME(1,14,46)</f>
        <v>41146.051921296297</v>
      </c>
      <c r="C1639">
        <v>80</v>
      </c>
      <c r="D1639">
        <v>79.978424071999996</v>
      </c>
      <c r="E1639">
        <v>50</v>
      </c>
      <c r="F1639">
        <v>40.522617339999996</v>
      </c>
      <c r="G1639">
        <v>1449.4600829999999</v>
      </c>
      <c r="H1639">
        <v>1417.7989502</v>
      </c>
      <c r="I1639">
        <v>1195.9417725000001</v>
      </c>
      <c r="J1639">
        <v>1141.0959473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848.56431499999997</v>
      </c>
      <c r="B1640" s="1">
        <f>DATE(2012,8,26) + TIME(13,32,36)</f>
        <v>41147.564305555556</v>
      </c>
      <c r="C1640">
        <v>80</v>
      </c>
      <c r="D1640">
        <v>79.978446959999999</v>
      </c>
      <c r="E1640">
        <v>50</v>
      </c>
      <c r="F1640">
        <v>40.352603911999999</v>
      </c>
      <c r="G1640">
        <v>1449.3194579999999</v>
      </c>
      <c r="H1640">
        <v>1417.6588135</v>
      </c>
      <c r="I1640">
        <v>1195.5284423999999</v>
      </c>
      <c r="J1640">
        <v>1140.4838867000001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850.08793000000003</v>
      </c>
      <c r="B1641" s="1">
        <f>DATE(2012,8,28) + TIME(2,6,37)</f>
        <v>41149.08792824074</v>
      </c>
      <c r="C1641">
        <v>80</v>
      </c>
      <c r="D1641">
        <v>79.978477478000002</v>
      </c>
      <c r="E1641">
        <v>50</v>
      </c>
      <c r="F1641">
        <v>40.179599762000002</v>
      </c>
      <c r="G1641">
        <v>1449.1798096</v>
      </c>
      <c r="H1641">
        <v>1417.5195312000001</v>
      </c>
      <c r="I1641">
        <v>1195.1090088000001</v>
      </c>
      <c r="J1641">
        <v>1139.8607178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851.62754900000004</v>
      </c>
      <c r="B1642" s="1">
        <f>DATE(2012,8,29) + TIME(15,3,40)</f>
        <v>41150.627546296295</v>
      </c>
      <c r="C1642">
        <v>80</v>
      </c>
      <c r="D1642">
        <v>79.978507996000005</v>
      </c>
      <c r="E1642">
        <v>50</v>
      </c>
      <c r="F1642">
        <v>40.003112793</v>
      </c>
      <c r="G1642">
        <v>1449.0405272999999</v>
      </c>
      <c r="H1642">
        <v>1417.3806152</v>
      </c>
      <c r="I1642">
        <v>1194.6821289</v>
      </c>
      <c r="J1642">
        <v>1139.2244873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853.18382199999996</v>
      </c>
      <c r="B1643" s="1">
        <f>DATE(2012,8,31) + TIME(4,24,42)</f>
        <v>41152.183819444443</v>
      </c>
      <c r="C1643">
        <v>80</v>
      </c>
      <c r="D1643">
        <v>79.978530883999994</v>
      </c>
      <c r="E1643">
        <v>50</v>
      </c>
      <c r="F1643">
        <v>39.822772980000003</v>
      </c>
      <c r="G1643">
        <v>1448.9011230000001</v>
      </c>
      <c r="H1643">
        <v>1417.2418213000001</v>
      </c>
      <c r="I1643">
        <v>1194.2467041</v>
      </c>
      <c r="J1643">
        <v>1138.5733643000001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854</v>
      </c>
      <c r="B1644" s="1">
        <f>DATE(2012,9,1) + TIME(0,0,0)</f>
        <v>41153</v>
      </c>
      <c r="C1644">
        <v>80</v>
      </c>
      <c r="D1644">
        <v>79.978546143000003</v>
      </c>
      <c r="E1644">
        <v>50</v>
      </c>
      <c r="F1644">
        <v>39.664863586000003</v>
      </c>
      <c r="G1644">
        <v>1448.7626952999999</v>
      </c>
      <c r="H1644">
        <v>1417.1036377</v>
      </c>
      <c r="I1644">
        <v>1193.8039550999999</v>
      </c>
      <c r="J1644">
        <v>1137.9379882999999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855.573172</v>
      </c>
      <c r="B1645" s="1">
        <f>DATE(2012,9,2) + TIME(13,45,22)</f>
        <v>41154.573171296295</v>
      </c>
      <c r="C1645">
        <v>80</v>
      </c>
      <c r="D1645">
        <v>79.978576660000002</v>
      </c>
      <c r="E1645">
        <v>50</v>
      </c>
      <c r="F1645">
        <v>39.529365540000001</v>
      </c>
      <c r="G1645">
        <v>1448.6883545000001</v>
      </c>
      <c r="H1645">
        <v>1417.0295410000001</v>
      </c>
      <c r="I1645">
        <v>1193.5654297000001</v>
      </c>
      <c r="J1645">
        <v>1137.5379639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857.15237999999999</v>
      </c>
      <c r="B1646" s="1">
        <f>DATE(2012,9,4) + TIME(3,39,25)</f>
        <v>41156.152372685188</v>
      </c>
      <c r="C1646">
        <v>80</v>
      </c>
      <c r="D1646">
        <v>79.978607178000004</v>
      </c>
      <c r="E1646">
        <v>50</v>
      </c>
      <c r="F1646">
        <v>39.349094391000001</v>
      </c>
      <c r="G1646">
        <v>1448.5504149999999</v>
      </c>
      <c r="H1646">
        <v>1416.8919678</v>
      </c>
      <c r="I1646">
        <v>1193.1123047000001</v>
      </c>
      <c r="J1646">
        <v>1136.8653564000001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858.73945500000002</v>
      </c>
      <c r="B1647" s="1">
        <f>DATE(2012,9,5) + TIME(17,44,48)</f>
        <v>41157.739444444444</v>
      </c>
      <c r="C1647">
        <v>80</v>
      </c>
      <c r="D1647">
        <v>79.978637695000003</v>
      </c>
      <c r="E1647">
        <v>50</v>
      </c>
      <c r="F1647">
        <v>39.158382416000002</v>
      </c>
      <c r="G1647">
        <v>1448.4125977000001</v>
      </c>
      <c r="H1647">
        <v>1416.7545166</v>
      </c>
      <c r="I1647">
        <v>1192.6519774999999</v>
      </c>
      <c r="J1647">
        <v>1136.1711425999999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860.33950900000002</v>
      </c>
      <c r="B1648" s="1">
        <f>DATE(2012,9,7) + TIME(8,8,53)</f>
        <v>41159.339502314811</v>
      </c>
      <c r="C1648">
        <v>80</v>
      </c>
      <c r="D1648">
        <v>79.978660583000007</v>
      </c>
      <c r="E1648">
        <v>50</v>
      </c>
      <c r="F1648">
        <v>38.963306426999999</v>
      </c>
      <c r="G1648">
        <v>1448.2752685999999</v>
      </c>
      <c r="H1648">
        <v>1416.6175536999999</v>
      </c>
      <c r="I1648">
        <v>1192.1857910000001</v>
      </c>
      <c r="J1648">
        <v>1135.4639893000001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861.95526700000005</v>
      </c>
      <c r="B1649" s="1">
        <f>DATE(2012,9,8) + TIME(22,55,35)</f>
        <v>41160.955266203702</v>
      </c>
      <c r="C1649">
        <v>80</v>
      </c>
      <c r="D1649">
        <v>79.978691100999995</v>
      </c>
      <c r="E1649">
        <v>50</v>
      </c>
      <c r="F1649">
        <v>38.764545441000003</v>
      </c>
      <c r="G1649">
        <v>1448.1383057</v>
      </c>
      <c r="H1649">
        <v>1416.4808350000001</v>
      </c>
      <c r="I1649">
        <v>1191.7125243999999</v>
      </c>
      <c r="J1649">
        <v>1134.7435303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863.58935299999996</v>
      </c>
      <c r="B1650" s="1">
        <f>DATE(2012,9,10) + TIME(14,8,40)</f>
        <v>41162.58935185185</v>
      </c>
      <c r="C1650">
        <v>80</v>
      </c>
      <c r="D1650">
        <v>79.978721618999998</v>
      </c>
      <c r="E1650">
        <v>50</v>
      </c>
      <c r="F1650">
        <v>38.561985016000001</v>
      </c>
      <c r="G1650">
        <v>1448.0012207</v>
      </c>
      <c r="H1650">
        <v>1416.3441161999999</v>
      </c>
      <c r="I1650">
        <v>1191.2315673999999</v>
      </c>
      <c r="J1650">
        <v>1134.0091553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865.23539200000005</v>
      </c>
      <c r="B1651" s="1">
        <f>DATE(2012,9,12) + TIME(5,38,57)</f>
        <v>41164.235381944447</v>
      </c>
      <c r="C1651">
        <v>80</v>
      </c>
      <c r="D1651">
        <v>79.978752135999997</v>
      </c>
      <c r="E1651">
        <v>50</v>
      </c>
      <c r="F1651">
        <v>38.355606078999998</v>
      </c>
      <c r="G1651">
        <v>1447.8638916</v>
      </c>
      <c r="H1651">
        <v>1416.2071533000001</v>
      </c>
      <c r="I1651">
        <v>1190.7424315999999</v>
      </c>
      <c r="J1651">
        <v>1133.2597656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866.88656700000001</v>
      </c>
      <c r="B1652" s="1">
        <f>DATE(2012,9,13) + TIME(21,16,39)</f>
        <v>41165.886562500003</v>
      </c>
      <c r="C1652">
        <v>80</v>
      </c>
      <c r="D1652">
        <v>79.978782654</v>
      </c>
      <c r="E1652">
        <v>50</v>
      </c>
      <c r="F1652">
        <v>38.146129608000003</v>
      </c>
      <c r="G1652">
        <v>1447.7269286999999</v>
      </c>
      <c r="H1652">
        <v>1416.0705565999999</v>
      </c>
      <c r="I1652">
        <v>1190.2471923999999</v>
      </c>
      <c r="J1652">
        <v>1132.4987793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868.54462699999999</v>
      </c>
      <c r="B1653" s="1">
        <f>DATE(2012,9,15) + TIME(13,4,15)</f>
        <v>41167.544618055559</v>
      </c>
      <c r="C1653">
        <v>80</v>
      </c>
      <c r="D1653">
        <v>79.978805542000003</v>
      </c>
      <c r="E1653">
        <v>50</v>
      </c>
      <c r="F1653">
        <v>37.934310912999997</v>
      </c>
      <c r="G1653">
        <v>1447.5906981999999</v>
      </c>
      <c r="H1653">
        <v>1415.9346923999999</v>
      </c>
      <c r="I1653">
        <v>1189.7482910000001</v>
      </c>
      <c r="J1653">
        <v>1131.7292480000001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870.21485299999995</v>
      </c>
      <c r="B1654" s="1">
        <f>DATE(2012,9,17) + TIME(5,9,23)</f>
        <v>41169.214849537035</v>
      </c>
      <c r="C1654">
        <v>80</v>
      </c>
      <c r="D1654">
        <v>79.978836060000006</v>
      </c>
      <c r="E1654">
        <v>50</v>
      </c>
      <c r="F1654">
        <v>37.720146178999997</v>
      </c>
      <c r="G1654">
        <v>1447.4552002</v>
      </c>
      <c r="H1654">
        <v>1415.7994385</v>
      </c>
      <c r="I1654">
        <v>1189.2453613</v>
      </c>
      <c r="J1654">
        <v>1130.9509277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871.90059199999996</v>
      </c>
      <c r="B1655" s="1">
        <f>DATE(2012,9,18) + TIME(21,36,51)</f>
        <v>41170.900590277779</v>
      </c>
      <c r="C1655">
        <v>80</v>
      </c>
      <c r="D1655">
        <v>79.978866577000005</v>
      </c>
      <c r="E1655">
        <v>50</v>
      </c>
      <c r="F1655">
        <v>37.503223419000001</v>
      </c>
      <c r="G1655">
        <v>1447.3199463000001</v>
      </c>
      <c r="H1655">
        <v>1415.6644286999999</v>
      </c>
      <c r="I1655">
        <v>1188.7373047000001</v>
      </c>
      <c r="J1655">
        <v>1130.1619873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873.60391600000003</v>
      </c>
      <c r="B1656" s="1">
        <f>DATE(2012,9,20) + TIME(14,29,38)</f>
        <v>41172.603912037041</v>
      </c>
      <c r="C1656">
        <v>80</v>
      </c>
      <c r="D1656">
        <v>79.978897094999994</v>
      </c>
      <c r="E1656">
        <v>50</v>
      </c>
      <c r="F1656">
        <v>37.283267975000001</v>
      </c>
      <c r="G1656">
        <v>1447.1845702999999</v>
      </c>
      <c r="H1656">
        <v>1415.5292969</v>
      </c>
      <c r="I1656">
        <v>1188.2235106999999</v>
      </c>
      <c r="J1656">
        <v>1129.3615723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875.31234400000005</v>
      </c>
      <c r="B1657" s="1">
        <f>DATE(2012,9,22) + TIME(7,29,46)</f>
        <v>41174.312337962961</v>
      </c>
      <c r="C1657">
        <v>80</v>
      </c>
      <c r="D1657">
        <v>79.978927612000007</v>
      </c>
      <c r="E1657">
        <v>50</v>
      </c>
      <c r="F1657">
        <v>37.060455322000003</v>
      </c>
      <c r="G1657">
        <v>1447.0489502</v>
      </c>
      <c r="H1657">
        <v>1415.394043</v>
      </c>
      <c r="I1657">
        <v>1187.7036132999999</v>
      </c>
      <c r="J1657">
        <v>1128.5493164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877.03484100000003</v>
      </c>
      <c r="B1658" s="1">
        <f>DATE(2012,9,24) + TIME(0,50,10)</f>
        <v>41176.034837962965</v>
      </c>
      <c r="C1658">
        <v>80</v>
      </c>
      <c r="D1658">
        <v>79.978958129999995</v>
      </c>
      <c r="E1658">
        <v>50</v>
      </c>
      <c r="F1658">
        <v>36.835861205999997</v>
      </c>
      <c r="G1658">
        <v>1446.9141846</v>
      </c>
      <c r="H1658">
        <v>1415.2593993999999</v>
      </c>
      <c r="I1658">
        <v>1187.1818848</v>
      </c>
      <c r="J1658">
        <v>1127.730957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878.76695099999995</v>
      </c>
      <c r="B1659" s="1">
        <f>DATE(2012,9,25) + TIME(18,24,24)</f>
        <v>41177.766944444447</v>
      </c>
      <c r="C1659">
        <v>80</v>
      </c>
      <c r="D1659">
        <v>79.978988646999994</v>
      </c>
      <c r="E1659">
        <v>50</v>
      </c>
      <c r="F1659">
        <v>36.609153747999997</v>
      </c>
      <c r="G1659">
        <v>1446.7792969</v>
      </c>
      <c r="H1659">
        <v>1415.1248779</v>
      </c>
      <c r="I1659">
        <v>1186.6560059000001</v>
      </c>
      <c r="J1659">
        <v>1126.9036865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880.51043800000002</v>
      </c>
      <c r="B1660" s="1">
        <f>DATE(2012,9,27) + TIME(12,15,1)</f>
        <v>41179.510428240741</v>
      </c>
      <c r="C1660">
        <v>80</v>
      </c>
      <c r="D1660">
        <v>79.979011536000002</v>
      </c>
      <c r="E1660">
        <v>50</v>
      </c>
      <c r="F1660">
        <v>36.380813599</v>
      </c>
      <c r="G1660">
        <v>1446.6447754000001</v>
      </c>
      <c r="H1660">
        <v>1414.9906006000001</v>
      </c>
      <c r="I1660">
        <v>1186.1280518000001</v>
      </c>
      <c r="J1660">
        <v>1126.0699463000001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881.38949400000001</v>
      </c>
      <c r="B1661" s="1">
        <f>DATE(2012,9,28) + TIME(9,20,52)</f>
        <v>41180.389490740738</v>
      </c>
      <c r="C1661">
        <v>80</v>
      </c>
      <c r="D1661">
        <v>79.979026794000006</v>
      </c>
      <c r="E1661">
        <v>50</v>
      </c>
      <c r="F1661">
        <v>36.183338165000002</v>
      </c>
      <c r="G1661">
        <v>1446.5114745999999</v>
      </c>
      <c r="H1661">
        <v>1414.8575439000001</v>
      </c>
      <c r="I1661">
        <v>1185.5998535000001</v>
      </c>
      <c r="J1661">
        <v>1125.2723389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882.25985600000001</v>
      </c>
      <c r="B1662" s="1">
        <f>DATE(2012,9,29) + TIME(6,14,11)</f>
        <v>41181.25984953704</v>
      </c>
      <c r="C1662">
        <v>80</v>
      </c>
      <c r="D1662">
        <v>79.979042053000001</v>
      </c>
      <c r="E1662">
        <v>50</v>
      </c>
      <c r="F1662">
        <v>36.044807433999999</v>
      </c>
      <c r="G1662">
        <v>1446.4425048999999</v>
      </c>
      <c r="H1662">
        <v>1414.7886963000001</v>
      </c>
      <c r="I1662">
        <v>1185.3303223</v>
      </c>
      <c r="J1662">
        <v>1124.8160399999999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883.12992799999995</v>
      </c>
      <c r="B1663" s="1">
        <f>DATE(2012,9,30) + TIME(3,7,5)</f>
        <v>41182.129918981482</v>
      </c>
      <c r="C1663">
        <v>80</v>
      </c>
      <c r="D1663">
        <v>79.979057311999995</v>
      </c>
      <c r="E1663">
        <v>50</v>
      </c>
      <c r="F1663">
        <v>35.923404693999998</v>
      </c>
      <c r="G1663">
        <v>1446.3759766000001</v>
      </c>
      <c r="H1663">
        <v>1414.7222899999999</v>
      </c>
      <c r="I1663">
        <v>1185.0667725000001</v>
      </c>
      <c r="J1663">
        <v>1124.3876952999999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884</v>
      </c>
      <c r="B1664" s="1">
        <f>DATE(2012,10,1) + TIME(0,0,0)</f>
        <v>41183</v>
      </c>
      <c r="C1664">
        <v>80</v>
      </c>
      <c r="D1664">
        <v>79.979072571000003</v>
      </c>
      <c r="E1664">
        <v>50</v>
      </c>
      <c r="F1664">
        <v>35.807003021</v>
      </c>
      <c r="G1664">
        <v>1446.3098144999999</v>
      </c>
      <c r="H1664">
        <v>1414.65625</v>
      </c>
      <c r="I1664">
        <v>1184.8044434000001</v>
      </c>
      <c r="J1664">
        <v>1123.9666748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884.87007200000005</v>
      </c>
      <c r="B1665" s="1">
        <f>DATE(2012,10,1) + TIME(20,52,54)</f>
        <v>41183.870069444441</v>
      </c>
      <c r="C1665">
        <v>80</v>
      </c>
      <c r="D1665">
        <v>79.979087829999997</v>
      </c>
      <c r="E1665">
        <v>50</v>
      </c>
      <c r="F1665">
        <v>35.692165375000002</v>
      </c>
      <c r="G1665">
        <v>1446.2437743999999</v>
      </c>
      <c r="H1665">
        <v>1414.590332</v>
      </c>
      <c r="I1665">
        <v>1184.5432129000001</v>
      </c>
      <c r="J1665">
        <v>1123.5482178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885.74014399999999</v>
      </c>
      <c r="B1666" s="1">
        <f>DATE(2012,10,2) + TIME(17,45,48)</f>
        <v>41184.74013888889</v>
      </c>
      <c r="C1666">
        <v>80</v>
      </c>
      <c r="D1666">
        <v>79.979103088000002</v>
      </c>
      <c r="E1666">
        <v>50</v>
      </c>
      <c r="F1666">
        <v>35.577953338999997</v>
      </c>
      <c r="G1666">
        <v>1446.1781006000001</v>
      </c>
      <c r="H1666">
        <v>1414.5247803</v>
      </c>
      <c r="I1666">
        <v>1184.2825928</v>
      </c>
      <c r="J1666">
        <v>1123.1306152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886.61021500000004</v>
      </c>
      <c r="B1667" s="1">
        <f>DATE(2012,10,3) + TIME(14,38,42)</f>
        <v>41185.610208333332</v>
      </c>
      <c r="C1667">
        <v>80</v>
      </c>
      <c r="D1667">
        <v>79.979118346999996</v>
      </c>
      <c r="E1667">
        <v>50</v>
      </c>
      <c r="F1667">
        <v>35.464111328000001</v>
      </c>
      <c r="G1667">
        <v>1446.1126709</v>
      </c>
      <c r="H1667">
        <v>1414.4593506000001</v>
      </c>
      <c r="I1667">
        <v>1184.0230713000001</v>
      </c>
      <c r="J1667">
        <v>1122.7139893000001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888.35035900000003</v>
      </c>
      <c r="B1668" s="1">
        <f>DATE(2012,10,5) + TIME(8,24,31)</f>
        <v>41187.350358796299</v>
      </c>
      <c r="C1668">
        <v>80</v>
      </c>
      <c r="D1668">
        <v>79.979148864999999</v>
      </c>
      <c r="E1668">
        <v>50</v>
      </c>
      <c r="F1668">
        <v>35.331779480000002</v>
      </c>
      <c r="G1668">
        <v>1446.0472411999999</v>
      </c>
      <c r="H1668">
        <v>1414.394043</v>
      </c>
      <c r="I1668">
        <v>1183.7634277</v>
      </c>
      <c r="J1668">
        <v>1122.2729492000001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890.09335499999997</v>
      </c>
      <c r="B1669" s="1">
        <f>DATE(2012,10,7) + TIME(2,14,25)</f>
        <v>41189.093344907407</v>
      </c>
      <c r="C1669">
        <v>80</v>
      </c>
      <c r="D1669">
        <v>79.979171753000003</v>
      </c>
      <c r="E1669">
        <v>50</v>
      </c>
      <c r="F1669">
        <v>35.121501922999997</v>
      </c>
      <c r="G1669">
        <v>1445.9183350000001</v>
      </c>
      <c r="H1669">
        <v>1414.2653809000001</v>
      </c>
      <c r="I1669">
        <v>1183.2503661999999</v>
      </c>
      <c r="J1669">
        <v>1121.4666748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891.87540300000001</v>
      </c>
      <c r="B1670" s="1">
        <f>DATE(2012,10,8) + TIME(21,0,34)</f>
        <v>41190.875393518516</v>
      </c>
      <c r="C1670">
        <v>80</v>
      </c>
      <c r="D1670">
        <v>79.979202271000005</v>
      </c>
      <c r="E1670">
        <v>50</v>
      </c>
      <c r="F1670">
        <v>34.8984375</v>
      </c>
      <c r="G1670">
        <v>1445.7894286999999</v>
      </c>
      <c r="H1670">
        <v>1414.1367187999999</v>
      </c>
      <c r="I1670">
        <v>1182.7384033000001</v>
      </c>
      <c r="J1670">
        <v>1120.6414795000001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892.78872699999999</v>
      </c>
      <c r="B1671" s="1">
        <f>DATE(2012,10,9) + TIME(18,55,46)</f>
        <v>41191.788726851853</v>
      </c>
      <c r="C1671">
        <v>80</v>
      </c>
      <c r="D1671">
        <v>79.979217528999996</v>
      </c>
      <c r="E1671">
        <v>50</v>
      </c>
      <c r="F1671">
        <v>34.701911926000001</v>
      </c>
      <c r="G1671">
        <v>1445.6593018000001</v>
      </c>
      <c r="H1671">
        <v>1414.0068358999999</v>
      </c>
      <c r="I1671">
        <v>1182.2220459</v>
      </c>
      <c r="J1671">
        <v>1119.8441161999999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893.70184300000005</v>
      </c>
      <c r="B1672" s="1">
        <f>DATE(2012,10,10) + TIME(16,50,39)</f>
        <v>41192.701840277776</v>
      </c>
      <c r="C1672">
        <v>80</v>
      </c>
      <c r="D1672">
        <v>79.979232788000004</v>
      </c>
      <c r="E1672">
        <v>50</v>
      </c>
      <c r="F1672">
        <v>34.564125060999999</v>
      </c>
      <c r="G1672">
        <v>1445.5909423999999</v>
      </c>
      <c r="H1672">
        <v>1413.9385986</v>
      </c>
      <c r="I1672">
        <v>1181.9566649999999</v>
      </c>
      <c r="J1672">
        <v>1119.3833007999999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894.614959</v>
      </c>
      <c r="B1673" s="1">
        <f>DATE(2012,10,11) + TIME(14,45,32)</f>
        <v>41193.614953703705</v>
      </c>
      <c r="C1673">
        <v>80</v>
      </c>
      <c r="D1673">
        <v>79.979248046999999</v>
      </c>
      <c r="E1673">
        <v>50</v>
      </c>
      <c r="F1673">
        <v>34.442974091000004</v>
      </c>
      <c r="G1673">
        <v>1445.5242920000001</v>
      </c>
      <c r="H1673">
        <v>1413.8719481999999</v>
      </c>
      <c r="I1673">
        <v>1181.6956786999999</v>
      </c>
      <c r="J1673">
        <v>1118.9493408000001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895.52807499999994</v>
      </c>
      <c r="B1674" s="1">
        <f>DATE(2012,10,12) + TIME(12,40,25)</f>
        <v>41194.528067129628</v>
      </c>
      <c r="C1674">
        <v>80</v>
      </c>
      <c r="D1674">
        <v>79.979263306000007</v>
      </c>
      <c r="E1674">
        <v>50</v>
      </c>
      <c r="F1674">
        <v>34.326946259000003</v>
      </c>
      <c r="G1674">
        <v>1445.4578856999999</v>
      </c>
      <c r="H1674">
        <v>1413.8056641000001</v>
      </c>
      <c r="I1674">
        <v>1181.4370117000001</v>
      </c>
      <c r="J1674">
        <v>1118.5241699000001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896.441191</v>
      </c>
      <c r="B1675" s="1">
        <f>DATE(2012,10,13) + TIME(10,35,18)</f>
        <v>41195.441180555557</v>
      </c>
      <c r="C1675">
        <v>80</v>
      </c>
      <c r="D1675">
        <v>79.979278563999998</v>
      </c>
      <c r="E1675">
        <v>50</v>
      </c>
      <c r="F1675">
        <v>34.212921143000003</v>
      </c>
      <c r="G1675">
        <v>1445.3916016000001</v>
      </c>
      <c r="H1675">
        <v>1413.7395019999999</v>
      </c>
      <c r="I1675">
        <v>1181.1806641000001</v>
      </c>
      <c r="J1675">
        <v>1118.1032714999999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897.35430699999995</v>
      </c>
      <c r="B1676" s="1">
        <f>DATE(2012,10,14) + TIME(8,30,12)</f>
        <v>41196.354305555556</v>
      </c>
      <c r="C1676">
        <v>80</v>
      </c>
      <c r="D1676">
        <v>79.979293823000006</v>
      </c>
      <c r="E1676">
        <v>50</v>
      </c>
      <c r="F1676">
        <v>34.100086212000001</v>
      </c>
      <c r="G1676">
        <v>1445.3255615</v>
      </c>
      <c r="H1676">
        <v>1413.6735839999999</v>
      </c>
      <c r="I1676">
        <v>1180.9262695</v>
      </c>
      <c r="J1676">
        <v>1117.6854248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898.26742300000001</v>
      </c>
      <c r="B1677" s="1">
        <f>DATE(2012,10,15) + TIME(6,25,5)</f>
        <v>41197.267418981479</v>
      </c>
      <c r="C1677">
        <v>80</v>
      </c>
      <c r="D1677">
        <v>79.979309082</v>
      </c>
      <c r="E1677">
        <v>50</v>
      </c>
      <c r="F1677">
        <v>33.988258362000003</v>
      </c>
      <c r="G1677">
        <v>1445.2597656</v>
      </c>
      <c r="H1677">
        <v>1413.6077881000001</v>
      </c>
      <c r="I1677">
        <v>1180.6741943</v>
      </c>
      <c r="J1677">
        <v>1117.2705077999999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899.18053899999995</v>
      </c>
      <c r="B1678" s="1">
        <f>DATE(2012,10,16) + TIME(4,19,58)</f>
        <v>41198.180532407408</v>
      </c>
      <c r="C1678">
        <v>80</v>
      </c>
      <c r="D1678">
        <v>79.979324340999995</v>
      </c>
      <c r="E1678">
        <v>50</v>
      </c>
      <c r="F1678">
        <v>33.877429962000001</v>
      </c>
      <c r="G1678">
        <v>1445.1940918</v>
      </c>
      <c r="H1678">
        <v>1413.5422363</v>
      </c>
      <c r="I1678">
        <v>1180.4245605000001</v>
      </c>
      <c r="J1678">
        <v>1116.8586425999999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900.09365500000001</v>
      </c>
      <c r="B1679" s="1">
        <f>DATE(2012,10,17) + TIME(2,14,51)</f>
        <v>41199.093645833331</v>
      </c>
      <c r="C1679">
        <v>80</v>
      </c>
      <c r="D1679">
        <v>79.979339600000003</v>
      </c>
      <c r="E1679">
        <v>50</v>
      </c>
      <c r="F1679">
        <v>33.767646790000001</v>
      </c>
      <c r="G1679">
        <v>1445.1286620999999</v>
      </c>
      <c r="H1679">
        <v>1413.4769286999999</v>
      </c>
      <c r="I1679">
        <v>1180.1772461</v>
      </c>
      <c r="J1679">
        <v>1116.4499512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901.00677099999996</v>
      </c>
      <c r="B1680" s="1">
        <f>DATE(2012,10,18) + TIME(0,9,45)</f>
        <v>41200.00677083333</v>
      </c>
      <c r="C1680">
        <v>80</v>
      </c>
      <c r="D1680">
        <v>79.979354857999994</v>
      </c>
      <c r="E1680">
        <v>50</v>
      </c>
      <c r="F1680">
        <v>33.658969878999997</v>
      </c>
      <c r="G1680">
        <v>1445.0634766000001</v>
      </c>
      <c r="H1680">
        <v>1413.4117432</v>
      </c>
      <c r="I1680">
        <v>1179.9326172000001</v>
      </c>
      <c r="J1680">
        <v>1116.0445557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901.91988700000002</v>
      </c>
      <c r="B1681" s="1">
        <f>DATE(2012,10,18) + TIME(22,4,38)</f>
        <v>41200.91988425926</v>
      </c>
      <c r="C1681">
        <v>80</v>
      </c>
      <c r="D1681">
        <v>79.979370117000002</v>
      </c>
      <c r="E1681">
        <v>50</v>
      </c>
      <c r="F1681">
        <v>33.551452636999997</v>
      </c>
      <c r="G1681">
        <v>1444.9984131000001</v>
      </c>
      <c r="H1681">
        <v>1413.3468018000001</v>
      </c>
      <c r="I1681">
        <v>1179.6905518000001</v>
      </c>
      <c r="J1681">
        <v>1115.6428223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903.74611900000002</v>
      </c>
      <c r="B1682" s="1">
        <f>DATE(2012,10,20) + TIME(17,54,24)</f>
        <v>41202.746111111112</v>
      </c>
      <c r="C1682">
        <v>80</v>
      </c>
      <c r="D1682">
        <v>79.979400635000005</v>
      </c>
      <c r="E1682">
        <v>50</v>
      </c>
      <c r="F1682">
        <v>33.428283690999997</v>
      </c>
      <c r="G1682">
        <v>1444.9332274999999</v>
      </c>
      <c r="H1682">
        <v>1413.2817382999999</v>
      </c>
      <c r="I1682">
        <v>1179.4503173999999</v>
      </c>
      <c r="J1682">
        <v>1115.2203368999999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905.57537400000001</v>
      </c>
      <c r="B1683" s="1">
        <f>DATE(2012,10,22) + TIME(13,48,32)</f>
        <v>41204.575370370374</v>
      </c>
      <c r="C1683">
        <v>80</v>
      </c>
      <c r="D1683">
        <v>79.979423522999994</v>
      </c>
      <c r="E1683">
        <v>50</v>
      </c>
      <c r="F1683">
        <v>33.233165741000001</v>
      </c>
      <c r="G1683">
        <v>1444.8050536999999</v>
      </c>
      <c r="H1683">
        <v>1413.1536865</v>
      </c>
      <c r="I1683">
        <v>1178.9797363</v>
      </c>
      <c r="J1683">
        <v>1114.4558105000001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907.45985900000005</v>
      </c>
      <c r="B1684" s="1">
        <f>DATE(2012,10,24) + TIME(11,2,11)</f>
        <v>41206.459849537037</v>
      </c>
      <c r="C1684">
        <v>80</v>
      </c>
      <c r="D1684">
        <v>79.979454040999997</v>
      </c>
      <c r="E1684">
        <v>50</v>
      </c>
      <c r="F1684">
        <v>33.030033111999998</v>
      </c>
      <c r="G1684">
        <v>1444.6763916</v>
      </c>
      <c r="H1684">
        <v>1413.0252685999999</v>
      </c>
      <c r="I1684">
        <v>1178.5181885</v>
      </c>
      <c r="J1684">
        <v>1113.6849365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909.373785</v>
      </c>
      <c r="B1685" s="1">
        <f>DATE(2012,10,26) + TIME(8,58,14)</f>
        <v>41208.373773148145</v>
      </c>
      <c r="C1685">
        <v>80</v>
      </c>
      <c r="D1685">
        <v>79.979484557999996</v>
      </c>
      <c r="E1685">
        <v>50</v>
      </c>
      <c r="F1685">
        <v>32.826442718999999</v>
      </c>
      <c r="G1685">
        <v>1444.5446777</v>
      </c>
      <c r="H1685">
        <v>1412.8936768000001</v>
      </c>
      <c r="I1685">
        <v>1178.0562743999999</v>
      </c>
      <c r="J1685">
        <v>1112.9093018000001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911.29339500000003</v>
      </c>
      <c r="B1686" s="1">
        <f>DATE(2012,10,28) + TIME(7,2,29)</f>
        <v>41210.293391203704</v>
      </c>
      <c r="C1686">
        <v>80</v>
      </c>
      <c r="D1686">
        <v>79.979515075999998</v>
      </c>
      <c r="E1686">
        <v>50</v>
      </c>
      <c r="F1686">
        <v>32.626613616999997</v>
      </c>
      <c r="G1686">
        <v>1444.4116211</v>
      </c>
      <c r="H1686">
        <v>1412.7607422000001</v>
      </c>
      <c r="I1686">
        <v>1177.6022949000001</v>
      </c>
      <c r="J1686">
        <v>1112.1431885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913.22506099999998</v>
      </c>
      <c r="B1687" s="1">
        <f>DATE(2012,10,30) + TIME(5,24,5)</f>
        <v>41212.225057870368</v>
      </c>
      <c r="C1687">
        <v>80</v>
      </c>
      <c r="D1687">
        <v>79.979545592999997</v>
      </c>
      <c r="E1687">
        <v>50</v>
      </c>
      <c r="F1687">
        <v>32.433841704999999</v>
      </c>
      <c r="G1687">
        <v>1444.2786865</v>
      </c>
      <c r="H1687">
        <v>1412.6279297000001</v>
      </c>
      <c r="I1687">
        <v>1177.1636963000001</v>
      </c>
      <c r="J1687">
        <v>1111.3990478999999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915</v>
      </c>
      <c r="B1688" s="1">
        <f>DATE(2012,11,1) + TIME(0,0,0)</f>
        <v>41214</v>
      </c>
      <c r="C1688">
        <v>80</v>
      </c>
      <c r="D1688">
        <v>79.979576111</v>
      </c>
      <c r="E1688">
        <v>50</v>
      </c>
      <c r="F1688">
        <v>32.251358031999999</v>
      </c>
      <c r="G1688">
        <v>1444.1456298999999</v>
      </c>
      <c r="H1688">
        <v>1412.4951172000001</v>
      </c>
      <c r="I1688">
        <v>1176.7406006000001</v>
      </c>
      <c r="J1688">
        <v>1110.6816406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915.000001</v>
      </c>
      <c r="B1689" s="1">
        <f>DATE(2012,11,1) + TIME(0,0,0)</f>
        <v>41214</v>
      </c>
      <c r="C1689">
        <v>80</v>
      </c>
      <c r="D1689">
        <v>79.979263306000007</v>
      </c>
      <c r="E1689">
        <v>50</v>
      </c>
      <c r="F1689">
        <v>32.251659392999997</v>
      </c>
      <c r="G1689">
        <v>1410.3149414</v>
      </c>
      <c r="H1689">
        <v>1378.6799315999999</v>
      </c>
      <c r="I1689">
        <v>1244.9587402</v>
      </c>
      <c r="J1689">
        <v>1178.9261475000001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915.00000399999999</v>
      </c>
      <c r="B1690" s="1">
        <f>DATE(2012,11,1) + TIME(0,0,0)</f>
        <v>41214</v>
      </c>
      <c r="C1690">
        <v>80</v>
      </c>
      <c r="D1690">
        <v>79.978477478000002</v>
      </c>
      <c r="E1690">
        <v>50</v>
      </c>
      <c r="F1690">
        <v>32.252502440999997</v>
      </c>
      <c r="G1690">
        <v>1404.8074951000001</v>
      </c>
      <c r="H1690">
        <v>1373.1717529</v>
      </c>
      <c r="I1690">
        <v>1250.9793701000001</v>
      </c>
      <c r="J1690">
        <v>1184.940918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915.00001299999997</v>
      </c>
      <c r="B1691" s="1">
        <f>DATE(2012,11,1) + TIME(0,0,1)</f>
        <v>41214.000011574077</v>
      </c>
      <c r="C1691">
        <v>80</v>
      </c>
      <c r="D1691">
        <v>79.976898192999997</v>
      </c>
      <c r="E1691">
        <v>50</v>
      </c>
      <c r="F1691">
        <v>32.254623412999997</v>
      </c>
      <c r="G1691">
        <v>1393.6910399999999</v>
      </c>
      <c r="H1691">
        <v>1362.0543213000001</v>
      </c>
      <c r="I1691">
        <v>1265.4168701000001</v>
      </c>
      <c r="J1691">
        <v>1199.3767089999999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915.00004000000001</v>
      </c>
      <c r="B1692" s="1">
        <f>DATE(2012,11,1) + TIME(0,0,3)</f>
        <v>41214.000034722223</v>
      </c>
      <c r="C1692">
        <v>80</v>
      </c>
      <c r="D1692">
        <v>79.974594116000006</v>
      </c>
      <c r="E1692">
        <v>50</v>
      </c>
      <c r="F1692">
        <v>32.259090424</v>
      </c>
      <c r="G1692">
        <v>1377.4577637</v>
      </c>
      <c r="H1692">
        <v>1345.8209228999999</v>
      </c>
      <c r="I1692">
        <v>1292.1044922000001</v>
      </c>
      <c r="J1692">
        <v>1226.0834961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915.00012100000004</v>
      </c>
      <c r="B1693" s="1">
        <f>DATE(2012,11,1) + TIME(0,0,10)</f>
        <v>41214.000115740739</v>
      </c>
      <c r="C1693">
        <v>80</v>
      </c>
      <c r="D1693">
        <v>79.972007751000007</v>
      </c>
      <c r="E1693">
        <v>50</v>
      </c>
      <c r="F1693">
        <v>32.267364502</v>
      </c>
      <c r="G1693">
        <v>1359.3941649999999</v>
      </c>
      <c r="H1693">
        <v>1327.7608643000001</v>
      </c>
      <c r="I1693">
        <v>1327.6325684000001</v>
      </c>
      <c r="J1693">
        <v>1261.6578368999999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915.00036399999999</v>
      </c>
      <c r="B1694" s="1">
        <f>DATE(2012,11,1) + TIME(0,0,31)</f>
        <v>41214.000358796293</v>
      </c>
      <c r="C1694">
        <v>80</v>
      </c>
      <c r="D1694">
        <v>79.96937561</v>
      </c>
      <c r="E1694">
        <v>50</v>
      </c>
      <c r="F1694">
        <v>32.284267426</v>
      </c>
      <c r="G1694">
        <v>1341.2484131000001</v>
      </c>
      <c r="H1694">
        <v>1309.6196289</v>
      </c>
      <c r="I1694">
        <v>1365.5445557</v>
      </c>
      <c r="J1694">
        <v>1299.6292725000001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915.00109299999997</v>
      </c>
      <c r="B1695" s="1">
        <f>DATE(2012,11,1) + TIME(0,1,34)</f>
        <v>41214.001087962963</v>
      </c>
      <c r="C1695">
        <v>80</v>
      </c>
      <c r="D1695">
        <v>79.966636657999999</v>
      </c>
      <c r="E1695">
        <v>50</v>
      </c>
      <c r="F1695">
        <v>32.326190947999997</v>
      </c>
      <c r="G1695">
        <v>1323.1152344</v>
      </c>
      <c r="H1695">
        <v>1291.489624</v>
      </c>
      <c r="I1695">
        <v>1403.8131103999999</v>
      </c>
      <c r="J1695">
        <v>1337.9530029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915.00328000000002</v>
      </c>
      <c r="B1696" s="1">
        <f>DATE(2012,11,1) + TIME(0,4,43)</f>
        <v>41214.003275462965</v>
      </c>
      <c r="C1696">
        <v>80</v>
      </c>
      <c r="D1696">
        <v>79.963516235</v>
      </c>
      <c r="E1696">
        <v>50</v>
      </c>
      <c r="F1696">
        <v>32.442565918</v>
      </c>
      <c r="G1696">
        <v>1304.6496582</v>
      </c>
      <c r="H1696">
        <v>1273.0239257999999</v>
      </c>
      <c r="I1696">
        <v>1442.6954346</v>
      </c>
      <c r="J1696">
        <v>1376.9464111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915.00984100000005</v>
      </c>
      <c r="B1697" s="1">
        <f>DATE(2012,11,1) + TIME(0,14,10)</f>
        <v>41214.009837962964</v>
      </c>
      <c r="C1697">
        <v>80</v>
      </c>
      <c r="D1697">
        <v>79.959243774000001</v>
      </c>
      <c r="E1697">
        <v>50</v>
      </c>
      <c r="F1697">
        <v>32.77671814</v>
      </c>
      <c r="G1697">
        <v>1284.8026123</v>
      </c>
      <c r="H1697">
        <v>1253.1746826000001</v>
      </c>
      <c r="I1697">
        <v>1481.9703368999999</v>
      </c>
      <c r="J1697">
        <v>1416.6176757999999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915.02824499999997</v>
      </c>
      <c r="B1698" s="1">
        <f>DATE(2012,11,1) + TIME(0,40,40)</f>
        <v>41214.028240740743</v>
      </c>
      <c r="C1698">
        <v>80</v>
      </c>
      <c r="D1698">
        <v>79.952552795000003</v>
      </c>
      <c r="E1698">
        <v>50</v>
      </c>
      <c r="F1698">
        <v>33.659061432000001</v>
      </c>
      <c r="G1698">
        <v>1265.2652588000001</v>
      </c>
      <c r="H1698">
        <v>1233.6345214999999</v>
      </c>
      <c r="I1698">
        <v>1515.6660156</v>
      </c>
      <c r="J1698">
        <v>1451.4215088000001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915.04773699999998</v>
      </c>
      <c r="B1699" s="1">
        <f>DATE(2012,11,1) + TIME(1,8,44)</f>
        <v>41214.047731481478</v>
      </c>
      <c r="C1699">
        <v>80</v>
      </c>
      <c r="D1699">
        <v>79.947090149000005</v>
      </c>
      <c r="E1699">
        <v>50</v>
      </c>
      <c r="F1699">
        <v>34.542205811000002</v>
      </c>
      <c r="G1699">
        <v>1256.2358397999999</v>
      </c>
      <c r="H1699">
        <v>1224.6033935999999</v>
      </c>
      <c r="I1699">
        <v>1529.5179443</v>
      </c>
      <c r="J1699">
        <v>1466.3585204999999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915.06829600000003</v>
      </c>
      <c r="B1700" s="1">
        <f>DATE(2012,11,1) + TIME(1,38,20)</f>
        <v>41214.068287037036</v>
      </c>
      <c r="C1700">
        <v>80</v>
      </c>
      <c r="D1700">
        <v>79.942108153999996</v>
      </c>
      <c r="E1700">
        <v>50</v>
      </c>
      <c r="F1700">
        <v>35.421173095999997</v>
      </c>
      <c r="G1700">
        <v>1251.9123535000001</v>
      </c>
      <c r="H1700">
        <v>1220.2786865</v>
      </c>
      <c r="I1700">
        <v>1535.3238524999999</v>
      </c>
      <c r="J1700">
        <v>1473.2171631000001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915.09000800000001</v>
      </c>
      <c r="B1701" s="1">
        <f>DATE(2012,11,1) + TIME(2,9,36)</f>
        <v>41214.089999999997</v>
      </c>
      <c r="C1701">
        <v>80</v>
      </c>
      <c r="D1701">
        <v>79.937255859000004</v>
      </c>
      <c r="E1701">
        <v>50</v>
      </c>
      <c r="F1701">
        <v>36.294769287000001</v>
      </c>
      <c r="G1701">
        <v>1249.8710937999999</v>
      </c>
      <c r="H1701">
        <v>1218.2363281</v>
      </c>
      <c r="I1701">
        <v>1537.3891602000001</v>
      </c>
      <c r="J1701">
        <v>1476.3001709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915.11300000000006</v>
      </c>
      <c r="B1702" s="1">
        <f>DATE(2012,11,1) + TIME(2,42,43)</f>
        <v>41214.112997685188</v>
      </c>
      <c r="C1702">
        <v>80</v>
      </c>
      <c r="D1702">
        <v>79.932373046999999</v>
      </c>
      <c r="E1702">
        <v>50</v>
      </c>
      <c r="F1702">
        <v>37.162364959999998</v>
      </c>
      <c r="G1702">
        <v>1248.9418945</v>
      </c>
      <c r="H1702">
        <v>1217.3061522999999</v>
      </c>
      <c r="I1702">
        <v>1537.6380615</v>
      </c>
      <c r="J1702">
        <v>1477.5322266000001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915.137427</v>
      </c>
      <c r="B1703" s="1">
        <f>DATE(2012,11,1) + TIME(3,17,53)</f>
        <v>41214.137418981481</v>
      </c>
      <c r="C1703">
        <v>80</v>
      </c>
      <c r="D1703">
        <v>79.927345275999997</v>
      </c>
      <c r="E1703">
        <v>50</v>
      </c>
      <c r="F1703">
        <v>38.023448944000002</v>
      </c>
      <c r="G1703">
        <v>1248.5412598</v>
      </c>
      <c r="H1703">
        <v>1216.9044189000001</v>
      </c>
      <c r="I1703">
        <v>1537.0075684000001</v>
      </c>
      <c r="J1703">
        <v>1477.8507079999999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915.16348200000004</v>
      </c>
      <c r="B1704" s="1">
        <f>DATE(2012,11,1) + TIME(3,55,24)</f>
        <v>41214.163472222222</v>
      </c>
      <c r="C1704">
        <v>80</v>
      </c>
      <c r="D1704">
        <v>79.922119140999996</v>
      </c>
      <c r="E1704">
        <v>50</v>
      </c>
      <c r="F1704">
        <v>38.877517699999999</v>
      </c>
      <c r="G1704">
        <v>1248.3813477000001</v>
      </c>
      <c r="H1704">
        <v>1216.7434082</v>
      </c>
      <c r="I1704">
        <v>1535.9648437999999</v>
      </c>
      <c r="J1704">
        <v>1477.7236327999999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915.19139500000006</v>
      </c>
      <c r="B1705" s="1">
        <f>DATE(2012,11,1) + TIME(4,35,36)</f>
        <v>41214.191388888888</v>
      </c>
      <c r="C1705">
        <v>80</v>
      </c>
      <c r="D1705">
        <v>79.916641235</v>
      </c>
      <c r="E1705">
        <v>50</v>
      </c>
      <c r="F1705">
        <v>39.723991394000002</v>
      </c>
      <c r="G1705">
        <v>1248.3248291</v>
      </c>
      <c r="H1705">
        <v>1216.6856689000001</v>
      </c>
      <c r="I1705">
        <v>1534.7413329999999</v>
      </c>
      <c r="J1705">
        <v>1477.3834228999999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915.221453</v>
      </c>
      <c r="B1706" s="1">
        <f>DATE(2012,11,1) + TIME(5,18,53)</f>
        <v>41214.221446759257</v>
      </c>
      <c r="C1706">
        <v>80</v>
      </c>
      <c r="D1706">
        <v>79.910865783999995</v>
      </c>
      <c r="E1706">
        <v>50</v>
      </c>
      <c r="F1706">
        <v>40.562351227000001</v>
      </c>
      <c r="G1706">
        <v>1248.3084716999999</v>
      </c>
      <c r="H1706">
        <v>1216.6682129000001</v>
      </c>
      <c r="I1706">
        <v>1533.4498291</v>
      </c>
      <c r="J1706">
        <v>1476.9438477000001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915.25401099999999</v>
      </c>
      <c r="B1707" s="1">
        <f>DATE(2012,11,1) + TIME(6,5,46)</f>
        <v>41214.254004629627</v>
      </c>
      <c r="C1707">
        <v>80</v>
      </c>
      <c r="D1707">
        <v>79.904731749999996</v>
      </c>
      <c r="E1707">
        <v>50</v>
      </c>
      <c r="F1707">
        <v>41.391735077</v>
      </c>
      <c r="G1707">
        <v>1248.3055420000001</v>
      </c>
      <c r="H1707">
        <v>1216.6640625</v>
      </c>
      <c r="I1707">
        <v>1532.1439209</v>
      </c>
      <c r="J1707">
        <v>1476.4591064000001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915.28951700000005</v>
      </c>
      <c r="B1708" s="1">
        <f>DATE(2012,11,1) + TIME(6,56,54)</f>
        <v>41214.289513888885</v>
      </c>
      <c r="C1708">
        <v>80</v>
      </c>
      <c r="D1708">
        <v>79.898193359000004</v>
      </c>
      <c r="E1708">
        <v>50</v>
      </c>
      <c r="F1708">
        <v>42.211082458</v>
      </c>
      <c r="G1708">
        <v>1248.3054199000001</v>
      </c>
      <c r="H1708">
        <v>1216.6624756000001</v>
      </c>
      <c r="I1708">
        <v>1530.8479004000001</v>
      </c>
      <c r="J1708">
        <v>1475.9539795000001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915.32854099999997</v>
      </c>
      <c r="B1709" s="1">
        <f>DATE(2012,11,1) + TIME(7,53,5)</f>
        <v>41214.328530092593</v>
      </c>
      <c r="C1709">
        <v>80</v>
      </c>
      <c r="D1709">
        <v>79.891159058</v>
      </c>
      <c r="E1709">
        <v>50</v>
      </c>
      <c r="F1709">
        <v>43.019058227999999</v>
      </c>
      <c r="G1709">
        <v>1248.3044434000001</v>
      </c>
      <c r="H1709">
        <v>1216.6600341999999</v>
      </c>
      <c r="I1709">
        <v>1529.5722656</v>
      </c>
      <c r="J1709">
        <v>1475.4389647999999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915.37184400000001</v>
      </c>
      <c r="B1710" s="1">
        <f>DATE(2012,11,1) + TIME(8,55,27)</f>
        <v>41214.371840277781</v>
      </c>
      <c r="C1710">
        <v>80</v>
      </c>
      <c r="D1710">
        <v>79.883529663000004</v>
      </c>
      <c r="E1710">
        <v>50</v>
      </c>
      <c r="F1710">
        <v>43.814281463999997</v>
      </c>
      <c r="G1710">
        <v>1248.3018798999999</v>
      </c>
      <c r="H1710">
        <v>1216.6558838000001</v>
      </c>
      <c r="I1710">
        <v>1528.3203125</v>
      </c>
      <c r="J1710">
        <v>1474.9178466999999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915.42044399999997</v>
      </c>
      <c r="B1711" s="1">
        <f>DATE(2012,11,1) + TIME(10,5,26)</f>
        <v>41214.420439814814</v>
      </c>
      <c r="C1711">
        <v>80</v>
      </c>
      <c r="D1711">
        <v>79.875183105000005</v>
      </c>
      <c r="E1711">
        <v>50</v>
      </c>
      <c r="F1711">
        <v>44.594795226999999</v>
      </c>
      <c r="G1711">
        <v>1248.2977295000001</v>
      </c>
      <c r="H1711">
        <v>1216.6501464999999</v>
      </c>
      <c r="I1711">
        <v>1527.0924072</v>
      </c>
      <c r="J1711">
        <v>1474.390625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915.47574899999995</v>
      </c>
      <c r="B1712" s="1">
        <f>DATE(2012,11,1) + TIME(11,25,4)</f>
        <v>41214.475740740738</v>
      </c>
      <c r="C1712">
        <v>80</v>
      </c>
      <c r="D1712">
        <v>79.865943908999995</v>
      </c>
      <c r="E1712">
        <v>50</v>
      </c>
      <c r="F1712">
        <v>45.358043670999997</v>
      </c>
      <c r="G1712">
        <v>1248.2922363</v>
      </c>
      <c r="H1712">
        <v>1216.6428223</v>
      </c>
      <c r="I1712">
        <v>1525.8873291</v>
      </c>
      <c r="J1712">
        <v>1473.8553466999999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915.53977599999996</v>
      </c>
      <c r="B1713" s="1">
        <f>DATE(2012,11,1) + TIME(12,57,16)</f>
        <v>41214.539768518516</v>
      </c>
      <c r="C1713">
        <v>80</v>
      </c>
      <c r="D1713">
        <v>79.855560303000004</v>
      </c>
      <c r="E1713">
        <v>50</v>
      </c>
      <c r="F1713">
        <v>46.100597381999997</v>
      </c>
      <c r="G1713">
        <v>1248.2855225000001</v>
      </c>
      <c r="H1713">
        <v>1216.6339111</v>
      </c>
      <c r="I1713">
        <v>1524.7030029</v>
      </c>
      <c r="J1713">
        <v>1473.3087158000001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915.61554799999999</v>
      </c>
      <c r="B1714" s="1">
        <f>DATE(2012,11,1) + TIME(14,46,23)</f>
        <v>41214.615543981483</v>
      </c>
      <c r="C1714">
        <v>80</v>
      </c>
      <c r="D1714">
        <v>79.843681334999999</v>
      </c>
      <c r="E1714">
        <v>50</v>
      </c>
      <c r="F1714">
        <v>46.81772995</v>
      </c>
      <c r="G1714">
        <v>1248.2775879000001</v>
      </c>
      <c r="H1714">
        <v>1216.6235352000001</v>
      </c>
      <c r="I1714">
        <v>1523.5367432</v>
      </c>
      <c r="J1714">
        <v>1472.7457274999999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915.69518300000004</v>
      </c>
      <c r="B1715" s="1">
        <f>DATE(2012,11,1) + TIME(16,41,3)</f>
        <v>41214.695173611108</v>
      </c>
      <c r="C1715">
        <v>80</v>
      </c>
      <c r="D1715">
        <v>79.831306458</v>
      </c>
      <c r="E1715">
        <v>50</v>
      </c>
      <c r="F1715">
        <v>47.426868439000003</v>
      </c>
      <c r="G1715">
        <v>1248.2680664</v>
      </c>
      <c r="H1715">
        <v>1216.6115723</v>
      </c>
      <c r="I1715">
        <v>1522.4833983999999</v>
      </c>
      <c r="J1715">
        <v>1472.1947021000001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915.77631499999995</v>
      </c>
      <c r="B1716" s="1">
        <f>DATE(2012,11,1) + TIME(18,37,53)</f>
        <v>41214.776307870372</v>
      </c>
      <c r="C1716">
        <v>80</v>
      </c>
      <c r="D1716">
        <v>79.818733214999995</v>
      </c>
      <c r="E1716">
        <v>50</v>
      </c>
      <c r="F1716">
        <v>47.926460265999999</v>
      </c>
      <c r="G1716">
        <v>1248.2578125</v>
      </c>
      <c r="H1716">
        <v>1216.598999</v>
      </c>
      <c r="I1716">
        <v>1521.5679932</v>
      </c>
      <c r="J1716">
        <v>1471.6851807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915.86015299999997</v>
      </c>
      <c r="B1717" s="1">
        <f>DATE(2012,11,1) + TIME(20,38,37)</f>
        <v>41214.860150462962</v>
      </c>
      <c r="C1717">
        <v>80</v>
      </c>
      <c r="D1717">
        <v>79.805816649999997</v>
      </c>
      <c r="E1717">
        <v>50</v>
      </c>
      <c r="F1717">
        <v>48.339267731</v>
      </c>
      <c r="G1717">
        <v>1248.2474365</v>
      </c>
      <c r="H1717">
        <v>1216.5860596</v>
      </c>
      <c r="I1717">
        <v>1520.7670897999999</v>
      </c>
      <c r="J1717">
        <v>1471.2160644999999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915.94759799999997</v>
      </c>
      <c r="B1718" s="1">
        <f>DATE(2012,11,1) + TIME(22,44,32)</f>
        <v>41214.947592592594</v>
      </c>
      <c r="C1718">
        <v>80</v>
      </c>
      <c r="D1718">
        <v>79.792457580999994</v>
      </c>
      <c r="E1718">
        <v>50</v>
      </c>
      <c r="F1718">
        <v>48.680530548</v>
      </c>
      <c r="G1718">
        <v>1248.2366943</v>
      </c>
      <c r="H1718">
        <v>1216.5726318</v>
      </c>
      <c r="I1718">
        <v>1520.0561522999999</v>
      </c>
      <c r="J1718">
        <v>1470.7773437999999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916.03965700000003</v>
      </c>
      <c r="B1719" s="1">
        <f>DATE(2012,11,2) + TIME(0,57,6)</f>
        <v>41215.039652777778</v>
      </c>
      <c r="C1719">
        <v>80</v>
      </c>
      <c r="D1719">
        <v>79.778526306000003</v>
      </c>
      <c r="E1719">
        <v>50</v>
      </c>
      <c r="F1719">
        <v>48.962158203000001</v>
      </c>
      <c r="G1719">
        <v>1248.2254639</v>
      </c>
      <c r="H1719">
        <v>1216.5587158000001</v>
      </c>
      <c r="I1719">
        <v>1519.4171143000001</v>
      </c>
      <c r="J1719">
        <v>1470.3616943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916.13748199999998</v>
      </c>
      <c r="B1720" s="1">
        <f>DATE(2012,11,2) + TIME(3,17,58)</f>
        <v>41215.137476851851</v>
      </c>
      <c r="C1720">
        <v>80</v>
      </c>
      <c r="D1720">
        <v>79.763885497999993</v>
      </c>
      <c r="E1720">
        <v>50</v>
      </c>
      <c r="F1720">
        <v>49.193603516000003</v>
      </c>
      <c r="G1720">
        <v>1248.2136230000001</v>
      </c>
      <c r="H1720">
        <v>1216.5440673999999</v>
      </c>
      <c r="I1720">
        <v>1518.8353271000001</v>
      </c>
      <c r="J1720">
        <v>1469.9630127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916.242435</v>
      </c>
      <c r="B1721" s="1">
        <f>DATE(2012,11,2) + TIME(5,49,6)</f>
        <v>41215.242430555554</v>
      </c>
      <c r="C1721">
        <v>80</v>
      </c>
      <c r="D1721">
        <v>79.748390197999996</v>
      </c>
      <c r="E1721">
        <v>50</v>
      </c>
      <c r="F1721">
        <v>49.382511139000002</v>
      </c>
      <c r="G1721">
        <v>1248.2010498</v>
      </c>
      <c r="H1721">
        <v>1216.5284423999999</v>
      </c>
      <c r="I1721">
        <v>1518.2989502</v>
      </c>
      <c r="J1721">
        <v>1469.5761719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916.35625700000003</v>
      </c>
      <c r="B1722" s="1">
        <f>DATE(2012,11,2) + TIME(8,33,0)</f>
        <v>41215.356249999997</v>
      </c>
      <c r="C1722">
        <v>80</v>
      </c>
      <c r="D1722">
        <v>79.731819153000004</v>
      </c>
      <c r="E1722">
        <v>50</v>
      </c>
      <c r="F1722">
        <v>49.535297393999997</v>
      </c>
      <c r="G1722">
        <v>1248.1876221</v>
      </c>
      <c r="H1722">
        <v>1216.5117187999999</v>
      </c>
      <c r="I1722">
        <v>1517.7977295000001</v>
      </c>
      <c r="J1722">
        <v>1469.1962891000001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916.48116700000003</v>
      </c>
      <c r="B1723" s="1">
        <f>DATE(2012,11,2) + TIME(11,32,52)</f>
        <v>41215.481157407405</v>
      </c>
      <c r="C1723">
        <v>80</v>
      </c>
      <c r="D1723">
        <v>79.713928222999996</v>
      </c>
      <c r="E1723">
        <v>50</v>
      </c>
      <c r="F1723">
        <v>49.657333373999997</v>
      </c>
      <c r="G1723">
        <v>1248.1730957</v>
      </c>
      <c r="H1723">
        <v>1216.4936522999999</v>
      </c>
      <c r="I1723">
        <v>1517.3221435999999</v>
      </c>
      <c r="J1723">
        <v>1468.8186035000001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916.61981300000002</v>
      </c>
      <c r="B1724" s="1">
        <f>DATE(2012,11,2) + TIME(14,52,31)</f>
        <v>41215.619803240741</v>
      </c>
      <c r="C1724">
        <v>80</v>
      </c>
      <c r="D1724">
        <v>79.694412231000001</v>
      </c>
      <c r="E1724">
        <v>50</v>
      </c>
      <c r="F1724">
        <v>49.753089905000003</v>
      </c>
      <c r="G1724">
        <v>1248.1571045000001</v>
      </c>
      <c r="H1724">
        <v>1216.4737548999999</v>
      </c>
      <c r="I1724">
        <v>1516.8637695</v>
      </c>
      <c r="J1724">
        <v>1468.4379882999999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916.77309200000002</v>
      </c>
      <c r="B1725" s="1">
        <f>DATE(2012,11,2) + TIME(18,33,15)</f>
        <v>41215.773090277777</v>
      </c>
      <c r="C1725">
        <v>80</v>
      </c>
      <c r="D1725">
        <v>79.673149108999993</v>
      </c>
      <c r="E1725">
        <v>50</v>
      </c>
      <c r="F1725">
        <v>49.825721741000002</v>
      </c>
      <c r="G1725">
        <v>1248.1394043</v>
      </c>
      <c r="H1725">
        <v>1216.4519043</v>
      </c>
      <c r="I1725">
        <v>1516.4157714999999</v>
      </c>
      <c r="J1725">
        <v>1468.050293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916.94345299999998</v>
      </c>
      <c r="B1726" s="1">
        <f>DATE(2012,11,2) + TIME(22,38,34)</f>
        <v>41215.943449074075</v>
      </c>
      <c r="C1726">
        <v>80</v>
      </c>
      <c r="D1726">
        <v>79.649848938000005</v>
      </c>
      <c r="E1726">
        <v>50</v>
      </c>
      <c r="F1726">
        <v>49.879276275999999</v>
      </c>
      <c r="G1726">
        <v>1248.119751</v>
      </c>
      <c r="H1726">
        <v>1216.4277344</v>
      </c>
      <c r="I1726">
        <v>1515.9755858999999</v>
      </c>
      <c r="J1726">
        <v>1467.65625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917.11501899999996</v>
      </c>
      <c r="B1727" s="1">
        <f>DATE(2012,11,3) + TIME(2,45,37)</f>
        <v>41216.115011574075</v>
      </c>
      <c r="C1727">
        <v>80</v>
      </c>
      <c r="D1727">
        <v>79.625839232999994</v>
      </c>
      <c r="E1727">
        <v>50</v>
      </c>
      <c r="F1727">
        <v>49.91500473</v>
      </c>
      <c r="G1727">
        <v>1248.0979004000001</v>
      </c>
      <c r="H1727">
        <v>1216.4012451000001</v>
      </c>
      <c r="I1727">
        <v>1515.5408935999999</v>
      </c>
      <c r="J1727">
        <v>1467.2546387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917.290119</v>
      </c>
      <c r="B1728" s="1">
        <f>DATE(2012,11,3) + TIME(6,57,46)</f>
        <v>41216.29011574074</v>
      </c>
      <c r="C1728">
        <v>80</v>
      </c>
      <c r="D1728">
        <v>79.601150512999993</v>
      </c>
      <c r="E1728">
        <v>50</v>
      </c>
      <c r="F1728">
        <v>49.939029693999998</v>
      </c>
      <c r="G1728">
        <v>1248.0759277</v>
      </c>
      <c r="H1728">
        <v>1216.3743896000001</v>
      </c>
      <c r="I1728">
        <v>1515.1434326000001</v>
      </c>
      <c r="J1728">
        <v>1466.8811035000001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917.47</v>
      </c>
      <c r="B1729" s="1">
        <f>DATE(2012,11,3) + TIME(11,16,47)</f>
        <v>41216.469988425924</v>
      </c>
      <c r="C1729">
        <v>80</v>
      </c>
      <c r="D1729">
        <v>79.575767517000003</v>
      </c>
      <c r="E1729">
        <v>50</v>
      </c>
      <c r="F1729">
        <v>49.955165862999998</v>
      </c>
      <c r="G1729">
        <v>1248.0534668</v>
      </c>
      <c r="H1729">
        <v>1216.3470459</v>
      </c>
      <c r="I1729">
        <v>1514.7717285000001</v>
      </c>
      <c r="J1729">
        <v>1466.5274658000001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917.65690700000005</v>
      </c>
      <c r="B1730" s="1">
        <f>DATE(2012,11,3) + TIME(15,45,56)</f>
        <v>41216.656898148147</v>
      </c>
      <c r="C1730">
        <v>80</v>
      </c>
      <c r="D1730">
        <v>79.549552917</v>
      </c>
      <c r="E1730">
        <v>50</v>
      </c>
      <c r="F1730">
        <v>49.966011047000002</v>
      </c>
      <c r="G1730">
        <v>1248.0303954999999</v>
      </c>
      <c r="H1730">
        <v>1216.3188477000001</v>
      </c>
      <c r="I1730">
        <v>1514.4193115</v>
      </c>
      <c r="J1730">
        <v>1466.1888428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917.85318099999995</v>
      </c>
      <c r="B1731" s="1">
        <f>DATE(2012,11,3) + TIME(20,28,34)</f>
        <v>41216.853171296294</v>
      </c>
      <c r="C1731">
        <v>80</v>
      </c>
      <c r="D1731">
        <v>79.522285460999996</v>
      </c>
      <c r="E1731">
        <v>50</v>
      </c>
      <c r="F1731">
        <v>49.973266602000002</v>
      </c>
      <c r="G1731">
        <v>1248.0064697</v>
      </c>
      <c r="H1731">
        <v>1216.2895507999999</v>
      </c>
      <c r="I1731">
        <v>1514.0793457</v>
      </c>
      <c r="J1731">
        <v>1465.8601074000001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918.06144300000005</v>
      </c>
      <c r="B1732" s="1">
        <f>DATE(2012,11,4) + TIME(1,28,28)</f>
        <v>41217.061435185184</v>
      </c>
      <c r="C1732">
        <v>80</v>
      </c>
      <c r="D1732">
        <v>79.493705750000004</v>
      </c>
      <c r="E1732">
        <v>50</v>
      </c>
      <c r="F1732">
        <v>49.978092193999998</v>
      </c>
      <c r="G1732">
        <v>1247.9813231999999</v>
      </c>
      <c r="H1732">
        <v>1216.2587891000001</v>
      </c>
      <c r="I1732">
        <v>1513.746582</v>
      </c>
      <c r="J1732">
        <v>1465.5367432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918.284944</v>
      </c>
      <c r="B1733" s="1">
        <f>DATE(2012,11,4) + TIME(6,50,19)</f>
        <v>41217.284942129627</v>
      </c>
      <c r="C1733">
        <v>80</v>
      </c>
      <c r="D1733">
        <v>79.463485718000001</v>
      </c>
      <c r="E1733">
        <v>50</v>
      </c>
      <c r="F1733">
        <v>49.981266022</v>
      </c>
      <c r="G1733">
        <v>1247.9547118999999</v>
      </c>
      <c r="H1733">
        <v>1216.2261963000001</v>
      </c>
      <c r="I1733">
        <v>1513.4167480000001</v>
      </c>
      <c r="J1733">
        <v>1465.2152100000001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918.52775899999995</v>
      </c>
      <c r="B1734" s="1">
        <f>DATE(2012,11,4) + TIME(12,39,58)</f>
        <v>41217.527754629627</v>
      </c>
      <c r="C1734">
        <v>80</v>
      </c>
      <c r="D1734">
        <v>79.431190490999995</v>
      </c>
      <c r="E1734">
        <v>50</v>
      </c>
      <c r="F1734">
        <v>49.983333588000001</v>
      </c>
      <c r="G1734">
        <v>1247.9262695</v>
      </c>
      <c r="H1734">
        <v>1216.1911620999999</v>
      </c>
      <c r="I1734">
        <v>1513.0853271000001</v>
      </c>
      <c r="J1734">
        <v>1464.8914795000001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918.79528100000005</v>
      </c>
      <c r="B1735" s="1">
        <f>DATE(2012,11,4) + TIME(19,5,12)</f>
        <v>41217.795277777775</v>
      </c>
      <c r="C1735">
        <v>80</v>
      </c>
      <c r="D1735">
        <v>79.396263122999997</v>
      </c>
      <c r="E1735">
        <v>50</v>
      </c>
      <c r="F1735">
        <v>49.984657288000001</v>
      </c>
      <c r="G1735">
        <v>1247.8952637</v>
      </c>
      <c r="H1735">
        <v>1216.1533202999999</v>
      </c>
      <c r="I1735">
        <v>1512.7481689000001</v>
      </c>
      <c r="J1735">
        <v>1464.5617675999999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919.06801700000005</v>
      </c>
      <c r="B1736" s="1">
        <f>DATE(2012,11,5) + TIME(1,37,56)</f>
        <v>41218.068009259259</v>
      </c>
      <c r="C1736">
        <v>80</v>
      </c>
      <c r="D1736">
        <v>79.359832764000004</v>
      </c>
      <c r="E1736">
        <v>50</v>
      </c>
      <c r="F1736">
        <v>49.985446930000002</v>
      </c>
      <c r="G1736">
        <v>1247.8610839999999</v>
      </c>
      <c r="H1736">
        <v>1216.1119385</v>
      </c>
      <c r="I1736">
        <v>1512.4006348</v>
      </c>
      <c r="J1736">
        <v>1464.2214355000001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919.34567100000004</v>
      </c>
      <c r="B1737" s="1">
        <f>DATE(2012,11,5) + TIME(8,17,45)</f>
        <v>41218.345659722225</v>
      </c>
      <c r="C1737">
        <v>80</v>
      </c>
      <c r="D1737">
        <v>79.322372436999999</v>
      </c>
      <c r="E1737">
        <v>50</v>
      </c>
      <c r="F1737">
        <v>49.985923767000003</v>
      </c>
      <c r="G1737">
        <v>1247.8261719</v>
      </c>
      <c r="H1737">
        <v>1216.0695800999999</v>
      </c>
      <c r="I1737">
        <v>1512.0689697</v>
      </c>
      <c r="J1737">
        <v>1463.8967285000001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919.63211799999999</v>
      </c>
      <c r="B1738" s="1">
        <f>DATE(2012,11,5) + TIME(15,10,14)</f>
        <v>41218.632106481484</v>
      </c>
      <c r="C1738">
        <v>80</v>
      </c>
      <c r="D1738">
        <v>79.283836364999999</v>
      </c>
      <c r="E1738">
        <v>50</v>
      </c>
      <c r="F1738">
        <v>49.986217498999999</v>
      </c>
      <c r="G1738">
        <v>1247.7905272999999</v>
      </c>
      <c r="H1738">
        <v>1216.0264893000001</v>
      </c>
      <c r="I1738">
        <v>1511.7520752</v>
      </c>
      <c r="J1738">
        <v>1463.5863036999999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919.92991099999995</v>
      </c>
      <c r="B1739" s="1">
        <f>DATE(2012,11,5) + TIME(22,19,4)</f>
        <v>41218.929907407408</v>
      </c>
      <c r="C1739">
        <v>80</v>
      </c>
      <c r="D1739">
        <v>79.244079589999998</v>
      </c>
      <c r="E1739">
        <v>50</v>
      </c>
      <c r="F1739">
        <v>49.986400604000004</v>
      </c>
      <c r="G1739">
        <v>1247.7539062000001</v>
      </c>
      <c r="H1739">
        <v>1215.9818115</v>
      </c>
      <c r="I1739">
        <v>1511.4440918</v>
      </c>
      <c r="J1739">
        <v>1463.284668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920.240139</v>
      </c>
      <c r="B1740" s="1">
        <f>DATE(2012,11,6) + TIME(5,45,48)</f>
        <v>41219.24013888889</v>
      </c>
      <c r="C1740">
        <v>80</v>
      </c>
      <c r="D1740">
        <v>79.202964782999999</v>
      </c>
      <c r="E1740">
        <v>50</v>
      </c>
      <c r="F1740">
        <v>49.986518859999997</v>
      </c>
      <c r="G1740">
        <v>1247.7158202999999</v>
      </c>
      <c r="H1740">
        <v>1215.9355469</v>
      </c>
      <c r="I1740">
        <v>1511.1418457</v>
      </c>
      <c r="J1740">
        <v>1462.9887695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920.56704200000001</v>
      </c>
      <c r="B1741" s="1">
        <f>DATE(2012,11,6) + TIME(13,36,32)</f>
        <v>41219.567037037035</v>
      </c>
      <c r="C1741">
        <v>80</v>
      </c>
      <c r="D1741">
        <v>79.160163878999995</v>
      </c>
      <c r="E1741">
        <v>50</v>
      </c>
      <c r="F1741">
        <v>49.986595154</v>
      </c>
      <c r="G1741">
        <v>1247.6761475000001</v>
      </c>
      <c r="H1741">
        <v>1215.887207</v>
      </c>
      <c r="I1741">
        <v>1510.8442382999999</v>
      </c>
      <c r="J1741">
        <v>1462.6972656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920.91566999999998</v>
      </c>
      <c r="B1742" s="1">
        <f>DATE(2012,11,6) + TIME(21,58,33)</f>
        <v>41219.915659722225</v>
      </c>
      <c r="C1742">
        <v>80</v>
      </c>
      <c r="D1742">
        <v>79.115188599000007</v>
      </c>
      <c r="E1742">
        <v>50</v>
      </c>
      <c r="F1742">
        <v>49.986648559999999</v>
      </c>
      <c r="G1742">
        <v>1247.6343993999999</v>
      </c>
      <c r="H1742">
        <v>1215.8363036999999</v>
      </c>
      <c r="I1742">
        <v>1510.5474853999999</v>
      </c>
      <c r="J1742">
        <v>1462.4067382999999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921.29009799999994</v>
      </c>
      <c r="B1743" s="1">
        <f>DATE(2012,11,7) + TIME(6,57,44)</f>
        <v>41220.290092592593</v>
      </c>
      <c r="C1743">
        <v>80</v>
      </c>
      <c r="D1743">
        <v>79.067543029999996</v>
      </c>
      <c r="E1743">
        <v>50</v>
      </c>
      <c r="F1743">
        <v>49.986686706999997</v>
      </c>
      <c r="G1743">
        <v>1247.5897216999999</v>
      </c>
      <c r="H1743">
        <v>1215.7821045000001</v>
      </c>
      <c r="I1743">
        <v>1510.2479248</v>
      </c>
      <c r="J1743">
        <v>1462.1134033000001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921.668905</v>
      </c>
      <c r="B1744" s="1">
        <f>DATE(2012,11,7) + TIME(16,3,13)</f>
        <v>41220.668900462966</v>
      </c>
      <c r="C1744">
        <v>80</v>
      </c>
      <c r="D1744">
        <v>79.018218993999994</v>
      </c>
      <c r="E1744">
        <v>50</v>
      </c>
      <c r="F1744">
        <v>49.986709595000001</v>
      </c>
      <c r="G1744">
        <v>1247.5417480000001</v>
      </c>
      <c r="H1744">
        <v>1215.7242432</v>
      </c>
      <c r="I1744">
        <v>1509.9433594</v>
      </c>
      <c r="J1744">
        <v>1461.8151855000001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922.05754200000001</v>
      </c>
      <c r="B1745" s="1">
        <f>DATE(2012,11,8) + TIME(1,22,51)</f>
        <v>41221.057534722226</v>
      </c>
      <c r="C1745">
        <v>80</v>
      </c>
      <c r="D1745">
        <v>78.967597960999996</v>
      </c>
      <c r="E1745">
        <v>50</v>
      </c>
      <c r="F1745">
        <v>49.986724854000002</v>
      </c>
      <c r="G1745">
        <v>1247.4931641000001</v>
      </c>
      <c r="H1745">
        <v>1215.6654053</v>
      </c>
      <c r="I1745">
        <v>1509.6516113</v>
      </c>
      <c r="J1745">
        <v>1461.5295410000001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922.45791799999995</v>
      </c>
      <c r="B1746" s="1">
        <f>DATE(2012,11,8) + TIME(10,59,24)</f>
        <v>41221.457916666666</v>
      </c>
      <c r="C1746">
        <v>80</v>
      </c>
      <c r="D1746">
        <v>78.915695189999994</v>
      </c>
      <c r="E1746">
        <v>50</v>
      </c>
      <c r="F1746">
        <v>49.986740112</v>
      </c>
      <c r="G1746">
        <v>1247.4433594</v>
      </c>
      <c r="H1746">
        <v>1215.6051024999999</v>
      </c>
      <c r="I1746">
        <v>1509.3676757999999</v>
      </c>
      <c r="J1746">
        <v>1461.2514647999999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922.87047900000005</v>
      </c>
      <c r="B1747" s="1">
        <f>DATE(2012,11,8) + TIME(20,53,29)</f>
        <v>41221.870474537034</v>
      </c>
      <c r="C1747">
        <v>80</v>
      </c>
      <c r="D1747">
        <v>78.862472534000005</v>
      </c>
      <c r="E1747">
        <v>50</v>
      </c>
      <c r="F1747">
        <v>49.986751556000002</v>
      </c>
      <c r="G1747">
        <v>1247.3919678</v>
      </c>
      <c r="H1747">
        <v>1215.5428466999999</v>
      </c>
      <c r="I1747">
        <v>1509.0895995999999</v>
      </c>
      <c r="J1747">
        <v>1460.9793701000001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923.30057699999998</v>
      </c>
      <c r="B1748" s="1">
        <f>DATE(2012,11,9) + TIME(7,12,49)</f>
        <v>41222.300567129627</v>
      </c>
      <c r="C1748">
        <v>80</v>
      </c>
      <c r="D1748">
        <v>78.807624817000004</v>
      </c>
      <c r="E1748">
        <v>50</v>
      </c>
      <c r="F1748">
        <v>49.986759186</v>
      </c>
      <c r="G1748">
        <v>1247.3389893000001</v>
      </c>
      <c r="H1748">
        <v>1215.4786377</v>
      </c>
      <c r="I1748">
        <v>1508.8171387</v>
      </c>
      <c r="J1748">
        <v>1460.7124022999999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923.75413800000001</v>
      </c>
      <c r="B1749" s="1">
        <f>DATE(2012,11,9) + TIME(18,5,57)</f>
        <v>41222.754131944443</v>
      </c>
      <c r="C1749">
        <v>80</v>
      </c>
      <c r="D1749">
        <v>78.750617981000005</v>
      </c>
      <c r="E1749">
        <v>50</v>
      </c>
      <c r="F1749">
        <v>49.986766815000003</v>
      </c>
      <c r="G1749">
        <v>1247.2838135</v>
      </c>
      <c r="H1749">
        <v>1215.4117432</v>
      </c>
      <c r="I1749">
        <v>1508.5465088000001</v>
      </c>
      <c r="J1749">
        <v>1460.4473877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924.23842100000002</v>
      </c>
      <c r="B1750" s="1">
        <f>DATE(2012,11,10) + TIME(5,43,19)</f>
        <v>41223.23841435185</v>
      </c>
      <c r="C1750">
        <v>80</v>
      </c>
      <c r="D1750">
        <v>78.690734863000003</v>
      </c>
      <c r="E1750">
        <v>50</v>
      </c>
      <c r="F1750">
        <v>49.986774445000002</v>
      </c>
      <c r="G1750">
        <v>1247.2255858999999</v>
      </c>
      <c r="H1750">
        <v>1215.3411865</v>
      </c>
      <c r="I1750">
        <v>1508.2746582</v>
      </c>
      <c r="J1750">
        <v>1460.1811522999999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924.73885900000005</v>
      </c>
      <c r="B1751" s="1">
        <f>DATE(2012,11,10) + TIME(17,43,57)</f>
        <v>41223.738854166666</v>
      </c>
      <c r="C1751">
        <v>80</v>
      </c>
      <c r="D1751">
        <v>78.628234863000003</v>
      </c>
      <c r="E1751">
        <v>50</v>
      </c>
      <c r="F1751">
        <v>49.986782073999997</v>
      </c>
      <c r="G1751">
        <v>1247.1634521000001</v>
      </c>
      <c r="H1751">
        <v>1215.2661132999999</v>
      </c>
      <c r="I1751">
        <v>1507.9981689000001</v>
      </c>
      <c r="J1751">
        <v>1459.9104004000001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925.24911199999997</v>
      </c>
      <c r="B1752" s="1">
        <f>DATE(2012,11,11) + TIME(5,58,43)</f>
        <v>41224.249108796299</v>
      </c>
      <c r="C1752">
        <v>80</v>
      </c>
      <c r="D1752">
        <v>78.563919067</v>
      </c>
      <c r="E1752">
        <v>50</v>
      </c>
      <c r="F1752">
        <v>49.986789702999999</v>
      </c>
      <c r="G1752">
        <v>1247.098999</v>
      </c>
      <c r="H1752">
        <v>1215.1883545000001</v>
      </c>
      <c r="I1752">
        <v>1507.7261963000001</v>
      </c>
      <c r="J1752">
        <v>1459.6437988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925.77622199999996</v>
      </c>
      <c r="B1753" s="1">
        <f>DATE(2012,11,11) + TIME(18,37,45)</f>
        <v>41224.77621527778</v>
      </c>
      <c r="C1753">
        <v>80</v>
      </c>
      <c r="D1753">
        <v>78.497985839999998</v>
      </c>
      <c r="E1753">
        <v>50</v>
      </c>
      <c r="F1753">
        <v>49.986797332999998</v>
      </c>
      <c r="G1753">
        <v>1247.0333252</v>
      </c>
      <c r="H1753">
        <v>1215.1090088000001</v>
      </c>
      <c r="I1753">
        <v>1507.4619141000001</v>
      </c>
      <c r="J1753">
        <v>1459.3848877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926.31956000000002</v>
      </c>
      <c r="B1754" s="1">
        <f>DATE(2012,11,12) + TIME(7,40,9)</f>
        <v>41225.319548611114</v>
      </c>
      <c r="C1754">
        <v>80</v>
      </c>
      <c r="D1754">
        <v>78.430328368999994</v>
      </c>
      <c r="E1754">
        <v>50</v>
      </c>
      <c r="F1754">
        <v>49.986804962000001</v>
      </c>
      <c r="G1754">
        <v>1246.9655762</v>
      </c>
      <c r="H1754">
        <v>1215.0269774999999</v>
      </c>
      <c r="I1754">
        <v>1507.2014160000001</v>
      </c>
      <c r="J1754">
        <v>1459.1295166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926.88234399999999</v>
      </c>
      <c r="B1755" s="1">
        <f>DATE(2012,11,12) + TIME(21,10,34)</f>
        <v>41225.882337962961</v>
      </c>
      <c r="C1755">
        <v>80</v>
      </c>
      <c r="D1755">
        <v>78.360809325999995</v>
      </c>
      <c r="E1755">
        <v>50</v>
      </c>
      <c r="F1755">
        <v>49.986812592</v>
      </c>
      <c r="G1755">
        <v>1246.8955077999999</v>
      </c>
      <c r="H1755">
        <v>1214.9423827999999</v>
      </c>
      <c r="I1755">
        <v>1506.9450684000001</v>
      </c>
      <c r="J1755">
        <v>1458.8782959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927.47218899999996</v>
      </c>
      <c r="B1756" s="1">
        <f>DATE(2012,11,13) + TIME(11,19,57)</f>
        <v>41226.472187500003</v>
      </c>
      <c r="C1756">
        <v>80</v>
      </c>
      <c r="D1756">
        <v>78.288940429999997</v>
      </c>
      <c r="E1756">
        <v>50</v>
      </c>
      <c r="F1756">
        <v>49.986820221000002</v>
      </c>
      <c r="G1756">
        <v>1246.8229980000001</v>
      </c>
      <c r="H1756">
        <v>1214.8546143000001</v>
      </c>
      <c r="I1756">
        <v>1506.6914062000001</v>
      </c>
      <c r="J1756">
        <v>1458.6296387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928.08690200000001</v>
      </c>
      <c r="B1757" s="1">
        <f>DATE(2012,11,14) + TIME(2,5,8)</f>
        <v>41227.086898148147</v>
      </c>
      <c r="C1757">
        <v>80</v>
      </c>
      <c r="D1757">
        <v>78.214385985999996</v>
      </c>
      <c r="E1757">
        <v>50</v>
      </c>
      <c r="F1757">
        <v>49.986827849999997</v>
      </c>
      <c r="G1757">
        <v>1246.7469481999999</v>
      </c>
      <c r="H1757">
        <v>1214.7628173999999</v>
      </c>
      <c r="I1757">
        <v>1506.4373779</v>
      </c>
      <c r="J1757">
        <v>1458.3804932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928.713527</v>
      </c>
      <c r="B1758" s="1">
        <f>DATE(2012,11,14) + TIME(17,7,28)</f>
        <v>41227.713518518518</v>
      </c>
      <c r="C1758">
        <v>80</v>
      </c>
      <c r="D1758">
        <v>78.137664795000006</v>
      </c>
      <c r="E1758">
        <v>50</v>
      </c>
      <c r="F1758">
        <v>49.986835480000003</v>
      </c>
      <c r="G1758">
        <v>1246.6676024999999</v>
      </c>
      <c r="H1758">
        <v>1214.6671143000001</v>
      </c>
      <c r="I1758">
        <v>1506.1844481999999</v>
      </c>
      <c r="J1758">
        <v>1458.1322021000001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929.36092499999995</v>
      </c>
      <c r="B1759" s="1">
        <f>DATE(2012,11,15) + TIME(8,39,43)</f>
        <v>41228.360914351855</v>
      </c>
      <c r="C1759">
        <v>80</v>
      </c>
      <c r="D1759">
        <v>78.059104919000006</v>
      </c>
      <c r="E1759">
        <v>50</v>
      </c>
      <c r="F1759">
        <v>49.986846923999998</v>
      </c>
      <c r="G1759">
        <v>1246.5866699000001</v>
      </c>
      <c r="H1759">
        <v>1214.5692139</v>
      </c>
      <c r="I1759">
        <v>1505.9377440999999</v>
      </c>
      <c r="J1759">
        <v>1457.8902588000001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930.02708199999995</v>
      </c>
      <c r="B1760" s="1">
        <f>DATE(2012,11,16) + TIME(0,38,59)</f>
        <v>41229.027071759258</v>
      </c>
      <c r="C1760">
        <v>80</v>
      </c>
      <c r="D1760">
        <v>77.978591918999996</v>
      </c>
      <c r="E1760">
        <v>50</v>
      </c>
      <c r="F1760">
        <v>49.986854553000001</v>
      </c>
      <c r="G1760">
        <v>1246.5029297000001</v>
      </c>
      <c r="H1760">
        <v>1214.4681396000001</v>
      </c>
      <c r="I1760">
        <v>1505.6939697</v>
      </c>
      <c r="J1760">
        <v>1457.6508789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930.71095600000001</v>
      </c>
      <c r="B1761" s="1">
        <f>DATE(2012,11,16) + TIME(17,3,46)</f>
        <v>41229.710949074077</v>
      </c>
      <c r="C1761">
        <v>80</v>
      </c>
      <c r="D1761">
        <v>77.896202087000006</v>
      </c>
      <c r="E1761">
        <v>50</v>
      </c>
      <c r="F1761">
        <v>49.986862183</v>
      </c>
      <c r="G1761">
        <v>1246.416626</v>
      </c>
      <c r="H1761">
        <v>1214.3640137</v>
      </c>
      <c r="I1761">
        <v>1505.4537353999999</v>
      </c>
      <c r="J1761">
        <v>1457.4150391000001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931.42141800000002</v>
      </c>
      <c r="B1762" s="1">
        <f>DATE(2012,11,17) + TIME(10,6,50)</f>
        <v>41230.421412037038</v>
      </c>
      <c r="C1762">
        <v>80</v>
      </c>
      <c r="D1762">
        <v>77.811698914000004</v>
      </c>
      <c r="E1762">
        <v>50</v>
      </c>
      <c r="F1762">
        <v>49.986873627000001</v>
      </c>
      <c r="G1762">
        <v>1246.3280029</v>
      </c>
      <c r="H1762">
        <v>1214.2569579999999</v>
      </c>
      <c r="I1762">
        <v>1505.2174072</v>
      </c>
      <c r="J1762">
        <v>1457.1828613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932.16822400000001</v>
      </c>
      <c r="B1763" s="1">
        <f>DATE(2012,11,18) + TIME(4,2,14)</f>
        <v>41231.168217592596</v>
      </c>
      <c r="C1763">
        <v>80</v>
      </c>
      <c r="D1763">
        <v>77.724281310999999</v>
      </c>
      <c r="E1763">
        <v>50</v>
      </c>
      <c r="F1763">
        <v>49.986885071000003</v>
      </c>
      <c r="G1763">
        <v>1246.2357178</v>
      </c>
      <c r="H1763">
        <v>1214.1456298999999</v>
      </c>
      <c r="I1763">
        <v>1504.9820557</v>
      </c>
      <c r="J1763">
        <v>1456.9516602000001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932.93252800000005</v>
      </c>
      <c r="B1764" s="1">
        <f>DATE(2012,11,18) + TIME(22,22,50)</f>
        <v>41231.932523148149</v>
      </c>
      <c r="C1764">
        <v>80</v>
      </c>
      <c r="D1764">
        <v>77.633934021000002</v>
      </c>
      <c r="E1764">
        <v>50</v>
      </c>
      <c r="F1764">
        <v>49.986892699999999</v>
      </c>
      <c r="G1764">
        <v>1246.1386719</v>
      </c>
      <c r="H1764">
        <v>1214.0286865</v>
      </c>
      <c r="I1764">
        <v>1504.7448730000001</v>
      </c>
      <c r="J1764">
        <v>1456.7185059000001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933.71666500000003</v>
      </c>
      <c r="B1765" s="1">
        <f>DATE(2012,11,19) + TIME(17,11,59)</f>
        <v>41232.71665509259</v>
      </c>
      <c r="C1765">
        <v>80</v>
      </c>
      <c r="D1765">
        <v>77.541496276999993</v>
      </c>
      <c r="E1765">
        <v>50</v>
      </c>
      <c r="F1765">
        <v>49.986904144</v>
      </c>
      <c r="G1765">
        <v>1246.0390625</v>
      </c>
      <c r="H1765">
        <v>1213.9085693</v>
      </c>
      <c r="I1765">
        <v>1504.5120850000001</v>
      </c>
      <c r="J1765">
        <v>1456.489624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934.53052400000001</v>
      </c>
      <c r="B1766" s="1">
        <f>DATE(2012,11,20) + TIME(12,43,57)</f>
        <v>41233.53052083333</v>
      </c>
      <c r="C1766">
        <v>80</v>
      </c>
      <c r="D1766">
        <v>77.446792603000006</v>
      </c>
      <c r="E1766">
        <v>50</v>
      </c>
      <c r="F1766">
        <v>49.986915588000002</v>
      </c>
      <c r="G1766">
        <v>1245.9367675999999</v>
      </c>
      <c r="H1766">
        <v>1213.7851562000001</v>
      </c>
      <c r="I1766">
        <v>1504.2828368999999</v>
      </c>
      <c r="J1766">
        <v>1456.2641602000001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935.36116700000002</v>
      </c>
      <c r="B1767" s="1">
        <f>DATE(2012,11,21) + TIME(8,40,4)</f>
        <v>41234.361157407409</v>
      </c>
      <c r="C1767">
        <v>80</v>
      </c>
      <c r="D1767">
        <v>77.349746703999998</v>
      </c>
      <c r="E1767">
        <v>50</v>
      </c>
      <c r="F1767">
        <v>49.986927031999997</v>
      </c>
      <c r="G1767">
        <v>1245.8304443</v>
      </c>
      <c r="H1767">
        <v>1213.6568603999999</v>
      </c>
      <c r="I1767">
        <v>1504.0543213000001</v>
      </c>
      <c r="J1767">
        <v>1456.0394286999999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936.21946700000001</v>
      </c>
      <c r="B1768" s="1">
        <f>DATE(2012,11,22) + TIME(5,16,1)</f>
        <v>41235.219456018516</v>
      </c>
      <c r="C1768">
        <v>80</v>
      </c>
      <c r="D1768">
        <v>77.250663756999998</v>
      </c>
      <c r="E1768">
        <v>50</v>
      </c>
      <c r="F1768">
        <v>49.986938477000002</v>
      </c>
      <c r="G1768">
        <v>1245.7215576000001</v>
      </c>
      <c r="H1768">
        <v>1213.5256348</v>
      </c>
      <c r="I1768">
        <v>1503.8303223</v>
      </c>
      <c r="J1768">
        <v>1455.8189697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937.10567800000001</v>
      </c>
      <c r="B1769" s="1">
        <f>DATE(2012,11,23) + TIME(2,32,10)</f>
        <v>41236.105671296296</v>
      </c>
      <c r="C1769">
        <v>80</v>
      </c>
      <c r="D1769">
        <v>77.149078368999994</v>
      </c>
      <c r="E1769">
        <v>50</v>
      </c>
      <c r="F1769">
        <v>49.986949920999997</v>
      </c>
      <c r="G1769">
        <v>1245.6088867000001</v>
      </c>
      <c r="H1769">
        <v>1213.3897704999999</v>
      </c>
      <c r="I1769">
        <v>1503.6077881000001</v>
      </c>
      <c r="J1769">
        <v>1455.5998535000001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938.01238699999999</v>
      </c>
      <c r="B1770" s="1">
        <f>DATE(2012,11,24) + TIME(0,17,50)</f>
        <v>41237.012384259258</v>
      </c>
      <c r="C1770">
        <v>80</v>
      </c>
      <c r="D1770">
        <v>77.045112610000004</v>
      </c>
      <c r="E1770">
        <v>50</v>
      </c>
      <c r="F1770">
        <v>49.986961364999999</v>
      </c>
      <c r="G1770">
        <v>1245.4923096</v>
      </c>
      <c r="H1770">
        <v>1213.2492675999999</v>
      </c>
      <c r="I1770">
        <v>1503.3867187999999</v>
      </c>
      <c r="J1770">
        <v>1455.3822021000001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938.95229099999995</v>
      </c>
      <c r="B1771" s="1">
        <f>DATE(2012,11,24) + TIME(22,51,17)</f>
        <v>41237.952280092592</v>
      </c>
      <c r="C1771">
        <v>80</v>
      </c>
      <c r="D1771">
        <v>76.938850403000004</v>
      </c>
      <c r="E1771">
        <v>50</v>
      </c>
      <c r="F1771">
        <v>49.986972809000001</v>
      </c>
      <c r="G1771">
        <v>1245.3725586</v>
      </c>
      <c r="H1771">
        <v>1213.1049805</v>
      </c>
      <c r="I1771">
        <v>1503.1690673999999</v>
      </c>
      <c r="J1771">
        <v>1455.1677245999999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939.91631099999995</v>
      </c>
      <c r="B1772" s="1">
        <f>DATE(2012,11,25) + TIME(21,59,29)</f>
        <v>41238.916307870371</v>
      </c>
      <c r="C1772">
        <v>80</v>
      </c>
      <c r="D1772">
        <v>76.829902649000005</v>
      </c>
      <c r="E1772">
        <v>50</v>
      </c>
      <c r="F1772">
        <v>49.986988068000002</v>
      </c>
      <c r="G1772">
        <v>1245.2481689000001</v>
      </c>
      <c r="H1772">
        <v>1212.9550781</v>
      </c>
      <c r="I1772">
        <v>1502.9517822</v>
      </c>
      <c r="J1772">
        <v>1454.9536132999999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940.90025800000001</v>
      </c>
      <c r="B1773" s="1">
        <f>DATE(2012,11,26) + TIME(21,36,22)</f>
        <v>41239.900254629632</v>
      </c>
      <c r="C1773">
        <v>80</v>
      </c>
      <c r="D1773">
        <v>76.718841553000004</v>
      </c>
      <c r="E1773">
        <v>50</v>
      </c>
      <c r="F1773">
        <v>49.986999511999997</v>
      </c>
      <c r="G1773">
        <v>1245.1201172000001</v>
      </c>
      <c r="H1773">
        <v>1212.8009033000001</v>
      </c>
      <c r="I1773">
        <v>1502.7370605000001</v>
      </c>
      <c r="J1773">
        <v>1454.7419434000001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941.91675099999998</v>
      </c>
      <c r="B1774" s="1">
        <f>DATE(2012,11,27) + TIME(22,0,7)</f>
        <v>41240.916747685187</v>
      </c>
      <c r="C1774">
        <v>80</v>
      </c>
      <c r="D1774">
        <v>76.605712890999996</v>
      </c>
      <c r="E1774">
        <v>50</v>
      </c>
      <c r="F1774">
        <v>49.987014770999998</v>
      </c>
      <c r="G1774">
        <v>1244.9891356999999</v>
      </c>
      <c r="H1774">
        <v>1212.6429443</v>
      </c>
      <c r="I1774">
        <v>1502.5257568</v>
      </c>
      <c r="J1774">
        <v>1454.5335693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942.96819500000004</v>
      </c>
      <c r="B1775" s="1">
        <f>DATE(2012,11,28) + TIME(23,14,12)</f>
        <v>41241.968194444446</v>
      </c>
      <c r="C1775">
        <v>80</v>
      </c>
      <c r="D1775">
        <v>76.489791870000005</v>
      </c>
      <c r="E1775">
        <v>50</v>
      </c>
      <c r="F1775">
        <v>49.987026215</v>
      </c>
      <c r="G1775">
        <v>1244.8531493999999</v>
      </c>
      <c r="H1775">
        <v>1212.4792480000001</v>
      </c>
      <c r="I1775">
        <v>1502.3151855000001</v>
      </c>
      <c r="J1775">
        <v>1454.3258057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944.04477699999995</v>
      </c>
      <c r="B1776" s="1">
        <f>DATE(2012,11,30) + TIME(1,4,28)</f>
        <v>41243.044768518521</v>
      </c>
      <c r="C1776">
        <v>80</v>
      </c>
      <c r="D1776">
        <v>76.371047974000007</v>
      </c>
      <c r="E1776">
        <v>50</v>
      </c>
      <c r="F1776">
        <v>49.987041472999998</v>
      </c>
      <c r="G1776">
        <v>1244.7120361</v>
      </c>
      <c r="H1776">
        <v>1212.3093262</v>
      </c>
      <c r="I1776">
        <v>1502.1049805</v>
      </c>
      <c r="J1776">
        <v>1454.1182861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945</v>
      </c>
      <c r="B1777" s="1">
        <f>DATE(2012,12,1) + TIME(0,0,0)</f>
        <v>41244</v>
      </c>
      <c r="C1777">
        <v>80</v>
      </c>
      <c r="D1777">
        <v>76.254257202000005</v>
      </c>
      <c r="E1777">
        <v>50</v>
      </c>
      <c r="F1777">
        <v>49.987052917</v>
      </c>
      <c r="G1777">
        <v>1244.5666504000001</v>
      </c>
      <c r="H1777">
        <v>1212.1356201000001</v>
      </c>
      <c r="I1777">
        <v>1501.8972168</v>
      </c>
      <c r="J1777">
        <v>1453.9130858999999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946.11647100000005</v>
      </c>
      <c r="B1778" s="1">
        <f>DATE(2012,12,2) + TIME(2,47,43)</f>
        <v>41245.116469907407</v>
      </c>
      <c r="C1778">
        <v>80</v>
      </c>
      <c r="D1778">
        <v>76.140838622999993</v>
      </c>
      <c r="E1778">
        <v>50</v>
      </c>
      <c r="F1778">
        <v>49.987068176000001</v>
      </c>
      <c r="G1778">
        <v>1244.4375</v>
      </c>
      <c r="H1778">
        <v>1211.9779053</v>
      </c>
      <c r="I1778">
        <v>1501.7186279</v>
      </c>
      <c r="J1778">
        <v>1453.7368164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947.28195800000003</v>
      </c>
      <c r="B1779" s="1">
        <f>DATE(2012,12,3) + TIME(6,46,1)</f>
        <v>41246.281956018516</v>
      </c>
      <c r="C1779">
        <v>80</v>
      </c>
      <c r="D1779">
        <v>76.018318175999994</v>
      </c>
      <c r="E1779">
        <v>50</v>
      </c>
      <c r="F1779">
        <v>49.987083435000002</v>
      </c>
      <c r="G1779">
        <v>1244.2858887</v>
      </c>
      <c r="H1779">
        <v>1211.7958983999999</v>
      </c>
      <c r="I1779">
        <v>1501.5167236</v>
      </c>
      <c r="J1779">
        <v>1453.5372314000001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948.47203500000001</v>
      </c>
      <c r="B1780" s="1">
        <f>DATE(2012,12,4) + TIME(11,19,43)</f>
        <v>41247.472025462965</v>
      </c>
      <c r="C1780">
        <v>80</v>
      </c>
      <c r="D1780">
        <v>75.890762328999998</v>
      </c>
      <c r="E1780">
        <v>50</v>
      </c>
      <c r="F1780">
        <v>49.987102509000003</v>
      </c>
      <c r="G1780">
        <v>1244.1267089999999</v>
      </c>
      <c r="H1780">
        <v>1211.6046143000001</v>
      </c>
      <c r="I1780">
        <v>1501.3126221</v>
      </c>
      <c r="J1780">
        <v>1453.3354492000001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949.69332099999997</v>
      </c>
      <c r="B1781" s="1">
        <f>DATE(2012,12,5) + TIME(16,38,22)</f>
        <v>41248.693310185183</v>
      </c>
      <c r="C1781">
        <v>80</v>
      </c>
      <c r="D1781">
        <v>75.760543823000006</v>
      </c>
      <c r="E1781">
        <v>50</v>
      </c>
      <c r="F1781">
        <v>49.987117767000001</v>
      </c>
      <c r="G1781">
        <v>1243.9632568</v>
      </c>
      <c r="H1781">
        <v>1211.4078368999999</v>
      </c>
      <c r="I1781">
        <v>1501.1109618999999</v>
      </c>
      <c r="J1781">
        <v>1453.1361084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950.96283600000004</v>
      </c>
      <c r="B1782" s="1">
        <f>DATE(2012,12,6) + TIME(23,6,29)</f>
        <v>41249.962835648148</v>
      </c>
      <c r="C1782">
        <v>80</v>
      </c>
      <c r="D1782">
        <v>75.627433776999993</v>
      </c>
      <c r="E1782">
        <v>50</v>
      </c>
      <c r="F1782">
        <v>49.987133026000002</v>
      </c>
      <c r="G1782">
        <v>1243.7946777</v>
      </c>
      <c r="H1782">
        <v>1211.2047118999999</v>
      </c>
      <c r="I1782">
        <v>1500.9106445</v>
      </c>
      <c r="J1782">
        <v>1452.9381103999999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952.28343600000005</v>
      </c>
      <c r="B1783" s="1">
        <f>DATE(2012,12,8) + TIME(6,48,8)</f>
        <v>41251.283425925925</v>
      </c>
      <c r="C1783">
        <v>80</v>
      </c>
      <c r="D1783">
        <v>75.490318298000005</v>
      </c>
      <c r="E1783">
        <v>50</v>
      </c>
      <c r="F1783">
        <v>49.987152100000003</v>
      </c>
      <c r="G1783">
        <v>1243.6182861</v>
      </c>
      <c r="H1783">
        <v>1210.9924315999999</v>
      </c>
      <c r="I1783">
        <v>1500.7091064000001</v>
      </c>
      <c r="J1783">
        <v>1452.7386475000001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953.61525400000005</v>
      </c>
      <c r="B1784" s="1">
        <f>DATE(2012,12,9) + TIME(14,45,57)</f>
        <v>41252.615243055552</v>
      </c>
      <c r="C1784">
        <v>80</v>
      </c>
      <c r="D1784">
        <v>75.349670410000002</v>
      </c>
      <c r="E1784">
        <v>50</v>
      </c>
      <c r="F1784">
        <v>49.987167358000001</v>
      </c>
      <c r="G1784">
        <v>1243.4335937999999</v>
      </c>
      <c r="H1784">
        <v>1210.7703856999999</v>
      </c>
      <c r="I1784">
        <v>1500.5061035000001</v>
      </c>
      <c r="J1784">
        <v>1452.5378418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954.97109999999998</v>
      </c>
      <c r="B1785" s="1">
        <f>DATE(2012,12,10) + TIME(23,18,23)</f>
        <v>41253.971099537041</v>
      </c>
      <c r="C1785">
        <v>80</v>
      </c>
      <c r="D1785">
        <v>75.207901000999996</v>
      </c>
      <c r="E1785">
        <v>50</v>
      </c>
      <c r="F1785">
        <v>49.987186432000001</v>
      </c>
      <c r="G1785">
        <v>1243.2459716999999</v>
      </c>
      <c r="H1785">
        <v>1210.5444336</v>
      </c>
      <c r="I1785">
        <v>1500.3078613</v>
      </c>
      <c r="J1785">
        <v>1452.3414307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956.36332700000003</v>
      </c>
      <c r="B1786" s="1">
        <f>DATE(2012,12,12) + TIME(8,43,11)</f>
        <v>41255.363321759258</v>
      </c>
      <c r="C1786">
        <v>80</v>
      </c>
      <c r="D1786">
        <v>75.064453125</v>
      </c>
      <c r="E1786">
        <v>50</v>
      </c>
      <c r="F1786">
        <v>49.987205504999999</v>
      </c>
      <c r="G1786">
        <v>1243.0535889</v>
      </c>
      <c r="H1786">
        <v>1210.3125</v>
      </c>
      <c r="I1786">
        <v>1500.1121826000001</v>
      </c>
      <c r="J1786">
        <v>1452.1477050999999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957.80091500000003</v>
      </c>
      <c r="B1787" s="1">
        <f>DATE(2012,12,13) + TIME(19,13,19)</f>
        <v>41256.80091435185</v>
      </c>
      <c r="C1787">
        <v>80</v>
      </c>
      <c r="D1787">
        <v>74.918281554999993</v>
      </c>
      <c r="E1787">
        <v>50</v>
      </c>
      <c r="F1787">
        <v>49.987220764</v>
      </c>
      <c r="G1787">
        <v>1242.8543701000001</v>
      </c>
      <c r="H1787">
        <v>1210.0726318</v>
      </c>
      <c r="I1787">
        <v>1499.9173584</v>
      </c>
      <c r="J1787">
        <v>1451.9547118999999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959.27981499999999</v>
      </c>
      <c r="B1788" s="1">
        <f>DATE(2012,12,15) + TIME(6,42,56)</f>
        <v>41258.279814814814</v>
      </c>
      <c r="C1788">
        <v>80</v>
      </c>
      <c r="D1788">
        <v>74.768753051999994</v>
      </c>
      <c r="E1788">
        <v>50</v>
      </c>
      <c r="F1788">
        <v>49.987239838000001</v>
      </c>
      <c r="G1788">
        <v>1242.6470947</v>
      </c>
      <c r="H1788">
        <v>1209.8226318</v>
      </c>
      <c r="I1788">
        <v>1499.7222899999999</v>
      </c>
      <c r="J1788">
        <v>1451.7613524999999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960.78282200000001</v>
      </c>
      <c r="B1789" s="1">
        <f>DATE(2012,12,16) + TIME(18,47,15)</f>
        <v>41259.782812500001</v>
      </c>
      <c r="C1789">
        <v>80</v>
      </c>
      <c r="D1789">
        <v>74.616188049000002</v>
      </c>
      <c r="E1789">
        <v>50</v>
      </c>
      <c r="F1789">
        <v>49.987258910999998</v>
      </c>
      <c r="G1789">
        <v>1242.4317627</v>
      </c>
      <c r="H1789">
        <v>1209.5631103999999</v>
      </c>
      <c r="I1789">
        <v>1499.5274658000001</v>
      </c>
      <c r="J1789">
        <v>1451.5682373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962.31035399999996</v>
      </c>
      <c r="B1790" s="1">
        <f>DATE(2012,12,18) + TIME(7,26,54)</f>
        <v>41261.310347222221</v>
      </c>
      <c r="C1790">
        <v>80</v>
      </c>
      <c r="D1790">
        <v>74.461883545000006</v>
      </c>
      <c r="E1790">
        <v>50</v>
      </c>
      <c r="F1790">
        <v>49.987281799000002</v>
      </c>
      <c r="G1790">
        <v>1242.2106934000001</v>
      </c>
      <c r="H1790">
        <v>1209.2963867000001</v>
      </c>
      <c r="I1790">
        <v>1499.3353271000001</v>
      </c>
      <c r="J1790">
        <v>1451.3776855000001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963.88261799999998</v>
      </c>
      <c r="B1791" s="1">
        <f>DATE(2012,12,19) + TIME(21,10,58)</f>
        <v>41262.882615740738</v>
      </c>
      <c r="C1791">
        <v>80</v>
      </c>
      <c r="D1791">
        <v>74.305618285999998</v>
      </c>
      <c r="E1791">
        <v>50</v>
      </c>
      <c r="F1791">
        <v>49.987300873000002</v>
      </c>
      <c r="G1791">
        <v>1241.9837646000001</v>
      </c>
      <c r="H1791">
        <v>1209.0222168</v>
      </c>
      <c r="I1791">
        <v>1499.1456298999999</v>
      </c>
      <c r="J1791">
        <v>1451.1895752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965.49746400000004</v>
      </c>
      <c r="B1792" s="1">
        <f>DATE(2012,12,21) + TIME(11,56,20)</f>
        <v>41264.497453703705</v>
      </c>
      <c r="C1792">
        <v>80</v>
      </c>
      <c r="D1792">
        <v>74.146087645999998</v>
      </c>
      <c r="E1792">
        <v>50</v>
      </c>
      <c r="F1792">
        <v>49.987319946</v>
      </c>
      <c r="G1792">
        <v>1241.7475586</v>
      </c>
      <c r="H1792">
        <v>1208.7366943</v>
      </c>
      <c r="I1792">
        <v>1498.9560547000001</v>
      </c>
      <c r="J1792">
        <v>1451.0014647999999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967.13603799999999</v>
      </c>
      <c r="B1793" s="1">
        <f>DATE(2012,12,23) + TIME(3,15,53)</f>
        <v>41266.136030092595</v>
      </c>
      <c r="C1793">
        <v>80</v>
      </c>
      <c r="D1793">
        <v>73.983489989999995</v>
      </c>
      <c r="E1793">
        <v>50</v>
      </c>
      <c r="F1793">
        <v>49.987342834000003</v>
      </c>
      <c r="G1793">
        <v>1241.5019531</v>
      </c>
      <c r="H1793">
        <v>1208.4396973</v>
      </c>
      <c r="I1793">
        <v>1498.7667236</v>
      </c>
      <c r="J1793">
        <v>1450.8134766000001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968.80235400000004</v>
      </c>
      <c r="B1794" s="1">
        <f>DATE(2012,12,24) + TIME(19,15,23)</f>
        <v>41267.802349537036</v>
      </c>
      <c r="C1794">
        <v>80</v>
      </c>
      <c r="D1794">
        <v>73.819000243999994</v>
      </c>
      <c r="E1794">
        <v>50</v>
      </c>
      <c r="F1794">
        <v>49.987361907999997</v>
      </c>
      <c r="G1794">
        <v>1241.2496338000001</v>
      </c>
      <c r="H1794">
        <v>1208.1337891000001</v>
      </c>
      <c r="I1794">
        <v>1498.5799560999999</v>
      </c>
      <c r="J1794">
        <v>1450.6281738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970.51692800000001</v>
      </c>
      <c r="B1795" s="1">
        <f>DATE(2012,12,26) + TIME(12,24,22)</f>
        <v>41269.516921296294</v>
      </c>
      <c r="C1795">
        <v>80</v>
      </c>
      <c r="D1795">
        <v>73.652145386000001</v>
      </c>
      <c r="E1795">
        <v>50</v>
      </c>
      <c r="F1795">
        <v>49.987384796000001</v>
      </c>
      <c r="G1795">
        <v>1240.989624</v>
      </c>
      <c r="H1795">
        <v>1207.8179932</v>
      </c>
      <c r="I1795">
        <v>1498.3952637</v>
      </c>
      <c r="J1795">
        <v>1450.4447021000001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972.26870499999995</v>
      </c>
      <c r="B1796" s="1">
        <f>DATE(2012,12,28) + TIME(6,26,56)</f>
        <v>41271.268703703703</v>
      </c>
      <c r="C1796">
        <v>80</v>
      </c>
      <c r="D1796">
        <v>73.481590271000002</v>
      </c>
      <c r="E1796">
        <v>50</v>
      </c>
      <c r="F1796">
        <v>49.987403870000001</v>
      </c>
      <c r="G1796">
        <v>1240.7181396000001</v>
      </c>
      <c r="H1796">
        <v>1207.4880370999999</v>
      </c>
      <c r="I1796">
        <v>1498.2103271000001</v>
      </c>
      <c r="J1796">
        <v>1450.2611084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974.03084799999999</v>
      </c>
      <c r="B1797" s="1">
        <f>DATE(2012,12,30) + TIME(0,44,25)</f>
        <v>41273.030844907407</v>
      </c>
      <c r="C1797">
        <v>80</v>
      </c>
      <c r="D1797">
        <v>73.308158875000004</v>
      </c>
      <c r="E1797">
        <v>50</v>
      </c>
      <c r="F1797">
        <v>49.987426757999998</v>
      </c>
      <c r="G1797">
        <v>1240.4365233999999</v>
      </c>
      <c r="H1797">
        <v>1207.1450195</v>
      </c>
      <c r="I1797">
        <v>1498.0264893000001</v>
      </c>
      <c r="J1797">
        <v>1450.0783690999999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975.82442500000002</v>
      </c>
      <c r="B1798" s="1">
        <f>DATE(2012,12,31) + TIME(19,47,10)</f>
        <v>41274.824421296296</v>
      </c>
      <c r="C1798">
        <v>80</v>
      </c>
      <c r="D1798">
        <v>73.133346558</v>
      </c>
      <c r="E1798">
        <v>50</v>
      </c>
      <c r="F1798">
        <v>49.987449646000002</v>
      </c>
      <c r="G1798">
        <v>1240.1485596</v>
      </c>
      <c r="H1798">
        <v>1206.7932129000001</v>
      </c>
      <c r="I1798">
        <v>1497.8463135</v>
      </c>
      <c r="J1798">
        <v>1449.8994141000001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976</v>
      </c>
      <c r="B1799" s="1">
        <f>DATE(2013,1,1) + TIME(0,0,0)</f>
        <v>41275</v>
      </c>
      <c r="C1799">
        <v>80</v>
      </c>
      <c r="D1799">
        <v>73.061408997000001</v>
      </c>
      <c r="E1799">
        <v>50</v>
      </c>
      <c r="F1799">
        <v>49.987438202</v>
      </c>
      <c r="G1799">
        <v>1239.8587646000001</v>
      </c>
      <c r="H1799">
        <v>1206.4768065999999</v>
      </c>
      <c r="I1799">
        <v>1497.6773682</v>
      </c>
      <c r="J1799">
        <v>1449.7314452999999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977.84681399999999</v>
      </c>
      <c r="B1800" s="1">
        <f>DATE(2013,1,2) + TIME(20,19,24)</f>
        <v>41276.846805555557</v>
      </c>
      <c r="C1800">
        <v>80</v>
      </c>
      <c r="D1800">
        <v>72.929611206000004</v>
      </c>
      <c r="E1800">
        <v>50</v>
      </c>
      <c r="F1800">
        <v>49.987476348999998</v>
      </c>
      <c r="G1800">
        <v>1239.8190918</v>
      </c>
      <c r="H1800">
        <v>1206.3857422000001</v>
      </c>
      <c r="I1800">
        <v>1497.6495361</v>
      </c>
      <c r="J1800">
        <v>1449.7037353999999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979.73404100000005</v>
      </c>
      <c r="B1801" s="1">
        <f>DATE(2013,1,4) + TIME(17,37,1)</f>
        <v>41278.734039351853</v>
      </c>
      <c r="C1801">
        <v>80</v>
      </c>
      <c r="D1801">
        <v>72.754066467000001</v>
      </c>
      <c r="E1801">
        <v>50</v>
      </c>
      <c r="F1801">
        <v>49.987499237000002</v>
      </c>
      <c r="G1801">
        <v>1239.5080565999999</v>
      </c>
      <c r="H1801">
        <v>1206.0069579999999</v>
      </c>
      <c r="I1801">
        <v>1497.4718018000001</v>
      </c>
      <c r="J1801">
        <v>1449.5269774999999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981.63509599999998</v>
      </c>
      <c r="B1802" s="1">
        <f>DATE(2013,1,6) + TIME(15,14,32)</f>
        <v>41280.635092592594</v>
      </c>
      <c r="C1802">
        <v>80</v>
      </c>
      <c r="D1802">
        <v>72.568496703999998</v>
      </c>
      <c r="E1802">
        <v>50</v>
      </c>
      <c r="F1802">
        <v>49.987522124999998</v>
      </c>
      <c r="G1802">
        <v>1239.1823730000001</v>
      </c>
      <c r="H1802">
        <v>1205.6063231999999</v>
      </c>
      <c r="I1802">
        <v>1497.2938231999999</v>
      </c>
      <c r="J1802">
        <v>1449.3499756000001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983.57246199999997</v>
      </c>
      <c r="B1803" s="1">
        <f>DATE(2013,1,8) + TIME(13,44,20)</f>
        <v>41282.572453703702</v>
      </c>
      <c r="C1803">
        <v>80</v>
      </c>
      <c r="D1803">
        <v>72.379302979000002</v>
      </c>
      <c r="E1803">
        <v>50</v>
      </c>
      <c r="F1803">
        <v>49.987545013000002</v>
      </c>
      <c r="G1803">
        <v>1238.8476562000001</v>
      </c>
      <c r="H1803">
        <v>1205.1923827999999</v>
      </c>
      <c r="I1803">
        <v>1497.1188964999999</v>
      </c>
      <c r="J1803">
        <v>1449.1760254000001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985.54569100000003</v>
      </c>
      <c r="B1804" s="1">
        <f>DATE(2013,1,10) + TIME(13,5,47)</f>
        <v>41284.545682870368</v>
      </c>
      <c r="C1804">
        <v>80</v>
      </c>
      <c r="D1804">
        <v>72.185760497999993</v>
      </c>
      <c r="E1804">
        <v>50</v>
      </c>
      <c r="F1804">
        <v>49.987567902000002</v>
      </c>
      <c r="G1804">
        <v>1238.4995117000001</v>
      </c>
      <c r="H1804">
        <v>1204.760376</v>
      </c>
      <c r="I1804">
        <v>1496.9450684000001</v>
      </c>
      <c r="J1804">
        <v>1449.0030518000001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987.57770900000003</v>
      </c>
      <c r="B1805" s="1">
        <f>DATE(2013,1,12) + TIME(13,51,54)</f>
        <v>41286.577708333331</v>
      </c>
      <c r="C1805">
        <v>80</v>
      </c>
      <c r="D1805">
        <v>71.987037658999995</v>
      </c>
      <c r="E1805">
        <v>50</v>
      </c>
      <c r="F1805">
        <v>49.987590789999999</v>
      </c>
      <c r="G1805">
        <v>1238.1373291</v>
      </c>
      <c r="H1805">
        <v>1204.3089600000001</v>
      </c>
      <c r="I1805">
        <v>1496.7722168</v>
      </c>
      <c r="J1805">
        <v>1448.8310547000001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989.62183700000003</v>
      </c>
      <c r="B1806" s="1">
        <f>DATE(2013,1,14) + TIME(14,55,26)</f>
        <v>41288.621828703705</v>
      </c>
      <c r="C1806">
        <v>80</v>
      </c>
      <c r="D1806">
        <v>71.781761169000006</v>
      </c>
      <c r="E1806">
        <v>50</v>
      </c>
      <c r="F1806">
        <v>49.987617493000002</v>
      </c>
      <c r="G1806">
        <v>1237.7561035000001</v>
      </c>
      <c r="H1806">
        <v>1203.8323975000001</v>
      </c>
      <c r="I1806">
        <v>1496.5985106999999</v>
      </c>
      <c r="J1806">
        <v>1448.6582031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991.68585599999994</v>
      </c>
      <c r="B1807" s="1">
        <f>DATE(2013,1,16) + TIME(16,27,37)</f>
        <v>41290.685844907406</v>
      </c>
      <c r="C1807">
        <v>80</v>
      </c>
      <c r="D1807">
        <v>71.572471618999998</v>
      </c>
      <c r="E1807">
        <v>50</v>
      </c>
      <c r="F1807">
        <v>49.987640380999999</v>
      </c>
      <c r="G1807">
        <v>1237.3635254000001</v>
      </c>
      <c r="H1807">
        <v>1203.3388672000001</v>
      </c>
      <c r="I1807">
        <v>1496.4279785000001</v>
      </c>
      <c r="J1807">
        <v>1448.4884033000001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993.79270699999995</v>
      </c>
      <c r="B1808" s="1">
        <f>DATE(2013,1,18) + TIME(19,1,29)</f>
        <v>41292.792696759258</v>
      </c>
      <c r="C1808">
        <v>80</v>
      </c>
      <c r="D1808">
        <v>71.358360290999997</v>
      </c>
      <c r="E1808">
        <v>50</v>
      </c>
      <c r="F1808">
        <v>49.987667084000002</v>
      </c>
      <c r="G1808">
        <v>1236.9576416</v>
      </c>
      <c r="H1808">
        <v>1202.8264160000001</v>
      </c>
      <c r="I1808">
        <v>1496.2597656</v>
      </c>
      <c r="J1808">
        <v>1448.3208007999999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995.96001999999999</v>
      </c>
      <c r="B1809" s="1">
        <f>DATE(2013,1,20) + TIME(23,2,25)</f>
        <v>41294.960011574076</v>
      </c>
      <c r="C1809">
        <v>80</v>
      </c>
      <c r="D1809">
        <v>71.136848450000002</v>
      </c>
      <c r="E1809">
        <v>50</v>
      </c>
      <c r="F1809">
        <v>49.987689971999998</v>
      </c>
      <c r="G1809">
        <v>1236.5333252</v>
      </c>
      <c r="H1809">
        <v>1202.2878418</v>
      </c>
      <c r="I1809">
        <v>1496.0919189000001</v>
      </c>
      <c r="J1809">
        <v>1448.1536865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998.13749199999995</v>
      </c>
      <c r="B1810" s="1">
        <f>DATE(2013,1,23) + TIME(3,17,59)</f>
        <v>41297.137488425928</v>
      </c>
      <c r="C1810">
        <v>80</v>
      </c>
      <c r="D1810">
        <v>70.906593322999996</v>
      </c>
      <c r="E1810">
        <v>50</v>
      </c>
      <c r="F1810">
        <v>49.987716675000001</v>
      </c>
      <c r="G1810">
        <v>1236.0859375</v>
      </c>
      <c r="H1810">
        <v>1201.7177733999999</v>
      </c>
      <c r="I1810">
        <v>1495.9233397999999</v>
      </c>
      <c r="J1810">
        <v>1447.9857178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1000.339644</v>
      </c>
      <c r="B1811" s="1">
        <f>DATE(2013,1,25) + TIME(8,9,5)</f>
        <v>41299.339641203704</v>
      </c>
      <c r="C1811">
        <v>80</v>
      </c>
      <c r="D1811">
        <v>70.670234679999993</v>
      </c>
      <c r="E1811">
        <v>50</v>
      </c>
      <c r="F1811">
        <v>49.987739562999998</v>
      </c>
      <c r="G1811">
        <v>1235.6246338000001</v>
      </c>
      <c r="H1811">
        <v>1201.1264647999999</v>
      </c>
      <c r="I1811">
        <v>1495.7575684000001</v>
      </c>
      <c r="J1811">
        <v>1447.8206786999999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1002.589835</v>
      </c>
      <c r="B1812" s="1">
        <f>DATE(2013,1,27) + TIME(14,9,21)</f>
        <v>41301.589826388888</v>
      </c>
      <c r="C1812">
        <v>80</v>
      </c>
      <c r="D1812">
        <v>70.426399231000005</v>
      </c>
      <c r="E1812">
        <v>50</v>
      </c>
      <c r="F1812">
        <v>49.987766266000001</v>
      </c>
      <c r="G1812">
        <v>1235.1461182</v>
      </c>
      <c r="H1812">
        <v>1200.5097656</v>
      </c>
      <c r="I1812">
        <v>1495.5938721</v>
      </c>
      <c r="J1812">
        <v>1447.6574707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1004.886108</v>
      </c>
      <c r="B1813" s="1">
        <f>DATE(2013,1,29) + TIME(21,15,59)</f>
        <v>41303.886099537034</v>
      </c>
      <c r="C1813">
        <v>80</v>
      </c>
      <c r="D1813">
        <v>70.172355651999993</v>
      </c>
      <c r="E1813">
        <v>50</v>
      </c>
      <c r="F1813">
        <v>49.987792968999997</v>
      </c>
      <c r="G1813">
        <v>1234.6442870999999</v>
      </c>
      <c r="H1813">
        <v>1199.8596190999999</v>
      </c>
      <c r="I1813">
        <v>1495.4300536999999</v>
      </c>
      <c r="J1813">
        <v>1447.4943848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1007</v>
      </c>
      <c r="B1814" s="1">
        <f>DATE(2013,2,1) + TIME(0,0,0)</f>
        <v>41306</v>
      </c>
      <c r="C1814">
        <v>80</v>
      </c>
      <c r="D1814">
        <v>69.911384583</v>
      </c>
      <c r="E1814">
        <v>50</v>
      </c>
      <c r="F1814">
        <v>49.987815857000001</v>
      </c>
      <c r="G1814">
        <v>1234.1184082</v>
      </c>
      <c r="H1814">
        <v>1199.1766356999999</v>
      </c>
      <c r="I1814">
        <v>1495.2666016000001</v>
      </c>
      <c r="J1814">
        <v>1447.3314209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1009.32133</v>
      </c>
      <c r="B1815" s="1">
        <f>DATE(2013,2,3) + TIME(7,42,42)</f>
        <v>41308.321319444447</v>
      </c>
      <c r="C1815">
        <v>80</v>
      </c>
      <c r="D1815">
        <v>69.656021117999998</v>
      </c>
      <c r="E1815">
        <v>50</v>
      </c>
      <c r="F1815">
        <v>49.987842559999997</v>
      </c>
      <c r="G1815">
        <v>1233.6206055</v>
      </c>
      <c r="H1815">
        <v>1198.5213623</v>
      </c>
      <c r="I1815">
        <v>1495.1191406</v>
      </c>
      <c r="J1815">
        <v>1447.1844481999999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1011.701014</v>
      </c>
      <c r="B1816" s="1">
        <f>DATE(2013,2,5) + TIME(16,49,27)</f>
        <v>41310.701006944444</v>
      </c>
      <c r="C1816">
        <v>80</v>
      </c>
      <c r="D1816">
        <v>69.377029418999996</v>
      </c>
      <c r="E1816">
        <v>50</v>
      </c>
      <c r="F1816">
        <v>49.987869263</v>
      </c>
      <c r="G1816">
        <v>1233.0617675999999</v>
      </c>
      <c r="H1816">
        <v>1197.7867432</v>
      </c>
      <c r="I1816">
        <v>1494.9606934000001</v>
      </c>
      <c r="J1816">
        <v>1447.0264893000001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1014.133465</v>
      </c>
      <c r="B1817" s="1">
        <f>DATE(2013,2,8) + TIME(3,12,11)</f>
        <v>41313.133460648147</v>
      </c>
      <c r="C1817">
        <v>80</v>
      </c>
      <c r="D1817">
        <v>69.080924988000007</v>
      </c>
      <c r="E1817">
        <v>50</v>
      </c>
      <c r="F1817">
        <v>49.987895966000004</v>
      </c>
      <c r="G1817">
        <v>1232.4730225000001</v>
      </c>
      <c r="H1817">
        <v>1197.0075684000001</v>
      </c>
      <c r="I1817">
        <v>1494.8015137</v>
      </c>
      <c r="J1817">
        <v>1446.8676757999999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1016.6075090000001</v>
      </c>
      <c r="B1818" s="1">
        <f>DATE(2013,2,10) + TIME(14,34,48)</f>
        <v>41315.607499999998</v>
      </c>
      <c r="C1818">
        <v>80</v>
      </c>
      <c r="D1818">
        <v>68.770385742000002</v>
      </c>
      <c r="E1818">
        <v>50</v>
      </c>
      <c r="F1818">
        <v>49.987926483000003</v>
      </c>
      <c r="G1818">
        <v>1231.8551024999999</v>
      </c>
      <c r="H1818">
        <v>1196.1853027</v>
      </c>
      <c r="I1818">
        <v>1494.6423339999999</v>
      </c>
      <c r="J1818">
        <v>1446.7089844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1019.095768</v>
      </c>
      <c r="B1819" s="1">
        <f>DATE(2013,2,13) + TIME(2,17,54)</f>
        <v>41318.095763888887</v>
      </c>
      <c r="C1819">
        <v>80</v>
      </c>
      <c r="D1819">
        <v>68.442909240999995</v>
      </c>
      <c r="E1819">
        <v>50</v>
      </c>
      <c r="F1819">
        <v>49.987949370999999</v>
      </c>
      <c r="G1819">
        <v>1231.2092285000001</v>
      </c>
      <c r="H1819">
        <v>1195.3209228999999</v>
      </c>
      <c r="I1819">
        <v>1494.4833983999999</v>
      </c>
      <c r="J1819">
        <v>1446.5504149999999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1021.618361</v>
      </c>
      <c r="B1820" s="1">
        <f>DATE(2013,2,15) + TIME(14,50,26)</f>
        <v>41320.618356481478</v>
      </c>
      <c r="C1820">
        <v>80</v>
      </c>
      <c r="D1820">
        <v>68.104881286999998</v>
      </c>
      <c r="E1820">
        <v>50</v>
      </c>
      <c r="F1820">
        <v>49.987983704000001</v>
      </c>
      <c r="G1820">
        <v>1230.5424805</v>
      </c>
      <c r="H1820">
        <v>1194.4235839999999</v>
      </c>
      <c r="I1820">
        <v>1494.3272704999999</v>
      </c>
      <c r="J1820">
        <v>1446.3947754000001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1024.200709</v>
      </c>
      <c r="B1821" s="1">
        <f>DATE(2013,2,18) + TIME(4,49,1)</f>
        <v>41323.200706018521</v>
      </c>
      <c r="C1821">
        <v>80</v>
      </c>
      <c r="D1821">
        <v>67.745407103999995</v>
      </c>
      <c r="E1821">
        <v>50</v>
      </c>
      <c r="F1821">
        <v>49.987998961999999</v>
      </c>
      <c r="G1821">
        <v>1229.8483887</v>
      </c>
      <c r="H1821">
        <v>1193.4836425999999</v>
      </c>
      <c r="I1821">
        <v>1494.1712646000001</v>
      </c>
      <c r="J1821">
        <v>1446.2391356999999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1026.8101810000001</v>
      </c>
      <c r="B1822" s="1">
        <f>DATE(2013,2,20) + TIME(19,26,39)</f>
        <v>41325.810173611113</v>
      </c>
      <c r="C1822">
        <v>80</v>
      </c>
      <c r="D1822">
        <v>67.374038696</v>
      </c>
      <c r="E1822">
        <v>50</v>
      </c>
      <c r="F1822">
        <v>49.988048552999999</v>
      </c>
      <c r="G1822">
        <v>1229.1199951000001</v>
      </c>
      <c r="H1822">
        <v>1192.4934082</v>
      </c>
      <c r="I1822">
        <v>1494.0163574000001</v>
      </c>
      <c r="J1822">
        <v>1446.0844727000001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1029.4355459999999</v>
      </c>
      <c r="B1823" s="1">
        <f>DATE(2013,2,23) + TIME(10,27,11)</f>
        <v>41328.435543981483</v>
      </c>
      <c r="C1823">
        <v>80</v>
      </c>
      <c r="D1823">
        <v>66.969894409000005</v>
      </c>
      <c r="E1823">
        <v>50</v>
      </c>
      <c r="F1823">
        <v>49.988040924000003</v>
      </c>
      <c r="G1823">
        <v>1228.3642577999999</v>
      </c>
      <c r="H1823">
        <v>1191.4588623</v>
      </c>
      <c r="I1823">
        <v>1493.8599853999999</v>
      </c>
      <c r="J1823">
        <v>1445.9284668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1032.080831</v>
      </c>
      <c r="B1824" s="1">
        <f>DATE(2013,2,26) + TIME(1,56,23)</f>
        <v>41331.080821759257</v>
      </c>
      <c r="C1824">
        <v>80</v>
      </c>
      <c r="D1824">
        <v>66.574996948000006</v>
      </c>
      <c r="E1824">
        <v>50</v>
      </c>
      <c r="F1824">
        <v>49.988132477000001</v>
      </c>
      <c r="G1824">
        <v>1227.5847168</v>
      </c>
      <c r="H1824">
        <v>1190.3876952999999</v>
      </c>
      <c r="I1824">
        <v>1493.7106934000001</v>
      </c>
      <c r="J1824">
        <v>1445.7796631000001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1033.4104990000001</v>
      </c>
      <c r="B1825" s="1">
        <f>DATE(2013,2,27) + TIME(9,51,7)</f>
        <v>41332.410497685189</v>
      </c>
      <c r="C1825">
        <v>80</v>
      </c>
      <c r="D1825">
        <v>66.159942627000007</v>
      </c>
      <c r="E1825">
        <v>50</v>
      </c>
      <c r="F1825">
        <v>49.988094330000003</v>
      </c>
      <c r="G1825">
        <v>1226.7786865</v>
      </c>
      <c r="H1825">
        <v>1189.2932129000001</v>
      </c>
      <c r="I1825">
        <v>1493.5540771000001</v>
      </c>
      <c r="J1825">
        <v>1445.6231689000001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1035</v>
      </c>
      <c r="B1826" s="1">
        <f>DATE(2013,3,1) + TIME(0,0,0)</f>
        <v>41334</v>
      </c>
      <c r="C1826">
        <v>80</v>
      </c>
      <c r="D1826">
        <v>65.916549683</v>
      </c>
      <c r="E1826">
        <v>50</v>
      </c>
      <c r="F1826">
        <v>49.988132477000001</v>
      </c>
      <c r="G1826">
        <v>1226.3680420000001</v>
      </c>
      <c r="H1826">
        <v>1188.7067870999999</v>
      </c>
      <c r="I1826">
        <v>1493.4838867000001</v>
      </c>
      <c r="J1826">
        <v>1445.5532227000001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1037.0790790000001</v>
      </c>
      <c r="B1827" s="1">
        <f>DATE(2013,3,3) + TIME(1,53,52)</f>
        <v>41336.079074074078</v>
      </c>
      <c r="C1827">
        <v>80</v>
      </c>
      <c r="D1827">
        <v>65.619583129999995</v>
      </c>
      <c r="E1827">
        <v>50</v>
      </c>
      <c r="F1827">
        <v>49.988128662000001</v>
      </c>
      <c r="G1827">
        <v>1225.855957</v>
      </c>
      <c r="H1827">
        <v>1187.9738769999999</v>
      </c>
      <c r="I1827">
        <v>1493.3927002</v>
      </c>
      <c r="J1827">
        <v>1445.4620361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1038.428433</v>
      </c>
      <c r="B1828" s="1">
        <f>DATE(2013,3,4) + TIME(10,16,56)</f>
        <v>41337.428425925929</v>
      </c>
      <c r="C1828">
        <v>80</v>
      </c>
      <c r="D1828">
        <v>65.302871703999998</v>
      </c>
      <c r="E1828">
        <v>50</v>
      </c>
      <c r="F1828">
        <v>49.988159179999997</v>
      </c>
      <c r="G1828">
        <v>1225.2020264</v>
      </c>
      <c r="H1828">
        <v>1187.0863036999999</v>
      </c>
      <c r="I1828">
        <v>1493.2814940999999</v>
      </c>
      <c r="J1828">
        <v>1445.3510742000001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1039.6421600000001</v>
      </c>
      <c r="B1829" s="1">
        <f>DATE(2013,3,5) + TIME(15,24,42)</f>
        <v>41338.642152777778</v>
      </c>
      <c r="C1829">
        <v>80</v>
      </c>
      <c r="D1829">
        <v>65.037429810000006</v>
      </c>
      <c r="E1829">
        <v>50</v>
      </c>
      <c r="F1829">
        <v>49.988166808999999</v>
      </c>
      <c r="G1829">
        <v>1224.7614745999999</v>
      </c>
      <c r="H1829">
        <v>1186.4604492000001</v>
      </c>
      <c r="I1829">
        <v>1493.2052002</v>
      </c>
      <c r="J1829">
        <v>1445.2750243999999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1040.8558869999999</v>
      </c>
      <c r="B1830" s="1">
        <f>DATE(2013,3,6) + TIME(20,32,28)</f>
        <v>41339.855879629627</v>
      </c>
      <c r="C1830">
        <v>80</v>
      </c>
      <c r="D1830">
        <v>64.810241699000002</v>
      </c>
      <c r="E1830">
        <v>50</v>
      </c>
      <c r="F1830">
        <v>49.988182068</v>
      </c>
      <c r="G1830">
        <v>1224.3631591999999</v>
      </c>
      <c r="H1830">
        <v>1185.8948975000001</v>
      </c>
      <c r="I1830">
        <v>1493.1405029</v>
      </c>
      <c r="J1830">
        <v>1445.2104492000001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1042.069614</v>
      </c>
      <c r="B1831" s="1">
        <f>DATE(2013,3,8) + TIME(1,40,14)</f>
        <v>41341.069606481484</v>
      </c>
      <c r="C1831">
        <v>80</v>
      </c>
      <c r="D1831">
        <v>64.58140564</v>
      </c>
      <c r="E1831">
        <v>50</v>
      </c>
      <c r="F1831">
        <v>49.988193512000002</v>
      </c>
      <c r="G1831">
        <v>1223.9619141000001</v>
      </c>
      <c r="H1831">
        <v>1185.3282471</v>
      </c>
      <c r="I1831">
        <v>1493.0751952999999</v>
      </c>
      <c r="J1831">
        <v>1445.1452637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1043.2833410000001</v>
      </c>
      <c r="B1832" s="1">
        <f>DATE(2013,3,9) + TIME(6,48,0)</f>
        <v>41342.283333333333</v>
      </c>
      <c r="C1832">
        <v>80</v>
      </c>
      <c r="D1832">
        <v>64.351997374999996</v>
      </c>
      <c r="E1832">
        <v>50</v>
      </c>
      <c r="F1832">
        <v>49.988204955999997</v>
      </c>
      <c r="G1832">
        <v>1223.5574951000001</v>
      </c>
      <c r="H1832">
        <v>1184.7565918</v>
      </c>
      <c r="I1832">
        <v>1493.0108643000001</v>
      </c>
      <c r="J1832">
        <v>1445.0809326000001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1044.4970679999999</v>
      </c>
      <c r="B1833" s="1">
        <f>DATE(2013,3,10) + TIME(11,55,46)</f>
        <v>41343.497060185182</v>
      </c>
      <c r="C1833">
        <v>80</v>
      </c>
      <c r="D1833">
        <v>64.118988036999994</v>
      </c>
      <c r="E1833">
        <v>50</v>
      </c>
      <c r="F1833">
        <v>49.988220214999998</v>
      </c>
      <c r="G1833">
        <v>1223.1494141000001</v>
      </c>
      <c r="H1833">
        <v>1184.1788329999999</v>
      </c>
      <c r="I1833">
        <v>1492.9467772999999</v>
      </c>
      <c r="J1833">
        <v>1445.0169678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1045.710795</v>
      </c>
      <c r="B1834" s="1">
        <f>DATE(2013,3,11) + TIME(17,3,32)</f>
        <v>41344.710787037038</v>
      </c>
      <c r="C1834">
        <v>80</v>
      </c>
      <c r="D1834">
        <v>63.882892609000002</v>
      </c>
      <c r="E1834">
        <v>50</v>
      </c>
      <c r="F1834">
        <v>49.988231659</v>
      </c>
      <c r="G1834">
        <v>1222.7379149999999</v>
      </c>
      <c r="H1834">
        <v>1183.5950928</v>
      </c>
      <c r="I1834">
        <v>1492.8831786999999</v>
      </c>
      <c r="J1834">
        <v>1444.9534911999999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1046.924522</v>
      </c>
      <c r="B1835" s="1">
        <f>DATE(2013,3,12) + TIME(22,11,18)</f>
        <v>41345.924513888887</v>
      </c>
      <c r="C1835">
        <v>80</v>
      </c>
      <c r="D1835">
        <v>63.643436432000001</v>
      </c>
      <c r="E1835">
        <v>50</v>
      </c>
      <c r="F1835">
        <v>49.988243103000002</v>
      </c>
      <c r="G1835">
        <v>1222.3229980000001</v>
      </c>
      <c r="H1835">
        <v>1183.0051269999999</v>
      </c>
      <c r="I1835">
        <v>1492.8200684000001</v>
      </c>
      <c r="J1835">
        <v>1444.8905029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1048.1382490000001</v>
      </c>
      <c r="B1836" s="1">
        <f>DATE(2013,3,14) + TIME(3,19,4)</f>
        <v>41347.138240740744</v>
      </c>
      <c r="C1836">
        <v>80</v>
      </c>
      <c r="D1836">
        <v>63.400741576999998</v>
      </c>
      <c r="E1836">
        <v>50</v>
      </c>
      <c r="F1836">
        <v>49.988254546999997</v>
      </c>
      <c r="G1836">
        <v>1221.9046631000001</v>
      </c>
      <c r="H1836">
        <v>1182.4090576000001</v>
      </c>
      <c r="I1836">
        <v>1492.7574463000001</v>
      </c>
      <c r="J1836">
        <v>1444.8278809000001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1049.3519759999999</v>
      </c>
      <c r="B1837" s="1">
        <f>DATE(2013,3,15) + TIME(8,26,50)</f>
        <v>41348.351967592593</v>
      </c>
      <c r="C1837">
        <v>80</v>
      </c>
      <c r="D1837">
        <v>63.154808043999999</v>
      </c>
      <c r="E1837">
        <v>50</v>
      </c>
      <c r="F1837">
        <v>49.988265990999999</v>
      </c>
      <c r="G1837">
        <v>1221.4829102000001</v>
      </c>
      <c r="H1837">
        <v>1181.8071289</v>
      </c>
      <c r="I1837">
        <v>1492.6951904</v>
      </c>
      <c r="J1837">
        <v>1444.7657471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1050.565703</v>
      </c>
      <c r="B1838" s="1">
        <f>DATE(2013,3,16) + TIME(13,34,36)</f>
        <v>41349.565694444442</v>
      </c>
      <c r="C1838">
        <v>80</v>
      </c>
      <c r="D1838">
        <v>62.905696869000003</v>
      </c>
      <c r="E1838">
        <v>50</v>
      </c>
      <c r="F1838">
        <v>49.98828125</v>
      </c>
      <c r="G1838">
        <v>1221.0578613</v>
      </c>
      <c r="H1838">
        <v>1181.1992187999999</v>
      </c>
      <c r="I1838">
        <v>1492.6334228999999</v>
      </c>
      <c r="J1838">
        <v>1444.7041016000001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1051.77943</v>
      </c>
      <c r="B1839" s="1">
        <f>DATE(2013,3,17) + TIME(18,42,22)</f>
        <v>41350.779421296298</v>
      </c>
      <c r="C1839">
        <v>80</v>
      </c>
      <c r="D1839">
        <v>62.653457641999999</v>
      </c>
      <c r="E1839">
        <v>50</v>
      </c>
      <c r="F1839">
        <v>49.988292694000002</v>
      </c>
      <c r="G1839">
        <v>1220.6296387</v>
      </c>
      <c r="H1839">
        <v>1180.5855713000001</v>
      </c>
      <c r="I1839">
        <v>1492.5720214999999</v>
      </c>
      <c r="J1839">
        <v>1444.6428223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1052.9931570000001</v>
      </c>
      <c r="B1840" s="1">
        <f>DATE(2013,3,18) + TIME(23,50,8)</f>
        <v>41351.993148148147</v>
      </c>
      <c r="C1840">
        <v>80</v>
      </c>
      <c r="D1840">
        <v>62.398151398000003</v>
      </c>
      <c r="E1840">
        <v>50</v>
      </c>
      <c r="F1840">
        <v>49.988304137999997</v>
      </c>
      <c r="G1840">
        <v>1220.1982422000001</v>
      </c>
      <c r="H1840">
        <v>1179.9661865</v>
      </c>
      <c r="I1840">
        <v>1492.5109863</v>
      </c>
      <c r="J1840">
        <v>1444.5819091999999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1054.2068839999999</v>
      </c>
      <c r="B1841" s="1">
        <f>DATE(2013,3,20) + TIME(4,57,54)</f>
        <v>41353.206875000003</v>
      </c>
      <c r="C1841">
        <v>80</v>
      </c>
      <c r="D1841">
        <v>62.139839172000002</v>
      </c>
      <c r="E1841">
        <v>50</v>
      </c>
      <c r="F1841">
        <v>49.988315581999998</v>
      </c>
      <c r="G1841">
        <v>1219.7637939000001</v>
      </c>
      <c r="H1841">
        <v>1179.3410644999999</v>
      </c>
      <c r="I1841">
        <v>1492.4504394999999</v>
      </c>
      <c r="J1841">
        <v>1444.5214844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1055.420611</v>
      </c>
      <c r="B1842" s="1">
        <f>DATE(2013,3,21) + TIME(10,5,40)</f>
        <v>41354.420601851853</v>
      </c>
      <c r="C1842">
        <v>80</v>
      </c>
      <c r="D1842">
        <v>61.878585815000001</v>
      </c>
      <c r="E1842">
        <v>50</v>
      </c>
      <c r="F1842">
        <v>49.988327026</v>
      </c>
      <c r="G1842">
        <v>1219.3262939000001</v>
      </c>
      <c r="H1842">
        <v>1178.7105713000001</v>
      </c>
      <c r="I1842">
        <v>1492.3902588000001</v>
      </c>
      <c r="J1842">
        <v>1444.4613036999999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1056.6343380000001</v>
      </c>
      <c r="B1843" s="1">
        <f>DATE(2013,3,22) + TIME(15,13,26)</f>
        <v>41355.634328703702</v>
      </c>
      <c r="C1843">
        <v>80</v>
      </c>
      <c r="D1843">
        <v>61.614475249999998</v>
      </c>
      <c r="E1843">
        <v>50</v>
      </c>
      <c r="F1843">
        <v>49.988338470000002</v>
      </c>
      <c r="G1843">
        <v>1218.8858643000001</v>
      </c>
      <c r="H1843">
        <v>1178.0745850000001</v>
      </c>
      <c r="I1843">
        <v>1492.3304443</v>
      </c>
      <c r="J1843">
        <v>1444.4016113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1057.8480649999999</v>
      </c>
      <c r="B1844" s="1">
        <f>DATE(2013,3,23) + TIME(20,21,12)</f>
        <v>41356.848055555558</v>
      </c>
      <c r="C1844">
        <v>80</v>
      </c>
      <c r="D1844">
        <v>61.347583770999996</v>
      </c>
      <c r="E1844">
        <v>50</v>
      </c>
      <c r="F1844">
        <v>49.988349915000001</v>
      </c>
      <c r="G1844">
        <v>1218.4426269999999</v>
      </c>
      <c r="H1844">
        <v>1177.4332274999999</v>
      </c>
      <c r="I1844">
        <v>1492.2711182</v>
      </c>
      <c r="J1844">
        <v>1444.3422852000001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1059.061792</v>
      </c>
      <c r="B1845" s="1">
        <f>DATE(2013,3,25) + TIME(1,28,58)</f>
        <v>41358.061782407407</v>
      </c>
      <c r="C1845">
        <v>80</v>
      </c>
      <c r="D1845">
        <v>61.078029633</v>
      </c>
      <c r="E1845">
        <v>50</v>
      </c>
      <c r="F1845">
        <v>49.988365172999998</v>
      </c>
      <c r="G1845">
        <v>1217.9964600000001</v>
      </c>
      <c r="H1845">
        <v>1176.7866211</v>
      </c>
      <c r="I1845">
        <v>1492.2120361</v>
      </c>
      <c r="J1845">
        <v>1444.2833252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1060.275519</v>
      </c>
      <c r="B1846" s="1">
        <f>DATE(2013,3,26) + TIME(6,36,44)</f>
        <v>41359.275509259256</v>
      </c>
      <c r="C1846">
        <v>80</v>
      </c>
      <c r="D1846">
        <v>60.805892944</v>
      </c>
      <c r="E1846">
        <v>50</v>
      </c>
      <c r="F1846">
        <v>49.988376617</v>
      </c>
      <c r="G1846">
        <v>1217.5476074000001</v>
      </c>
      <c r="H1846">
        <v>1176.1350098</v>
      </c>
      <c r="I1846">
        <v>1492.1533202999999</v>
      </c>
      <c r="J1846">
        <v>1444.2247314000001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1061.489245</v>
      </c>
      <c r="B1847" s="1">
        <f>DATE(2013,3,27) + TIME(11,44,30)</f>
        <v>41360.489236111112</v>
      </c>
      <c r="C1847">
        <v>80</v>
      </c>
      <c r="D1847">
        <v>60.531188964999998</v>
      </c>
      <c r="E1847">
        <v>50</v>
      </c>
      <c r="F1847">
        <v>49.988388061999999</v>
      </c>
      <c r="G1847">
        <v>1217.0960693</v>
      </c>
      <c r="H1847">
        <v>1175.4781493999999</v>
      </c>
      <c r="I1847">
        <v>1492.0949707</v>
      </c>
      <c r="J1847">
        <v>1444.1665039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1062.702972</v>
      </c>
      <c r="B1848" s="1">
        <f>DATE(2013,3,28) + TIME(16,52,16)</f>
        <v>41361.702962962961</v>
      </c>
      <c r="C1848">
        <v>80</v>
      </c>
      <c r="D1848">
        <v>60.254013061999999</v>
      </c>
      <c r="E1848">
        <v>50</v>
      </c>
      <c r="F1848">
        <v>49.988399506</v>
      </c>
      <c r="G1848">
        <v>1216.6419678</v>
      </c>
      <c r="H1848">
        <v>1174.8165283000001</v>
      </c>
      <c r="I1848">
        <v>1492.0369873</v>
      </c>
      <c r="J1848">
        <v>1444.1085204999999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1063.9166990000001</v>
      </c>
      <c r="B1849" s="1">
        <f>DATE(2013,3,29) + TIME(22,0,2)</f>
        <v>41362.916689814818</v>
      </c>
      <c r="C1849">
        <v>80</v>
      </c>
      <c r="D1849">
        <v>59.974464417</v>
      </c>
      <c r="E1849">
        <v>50</v>
      </c>
      <c r="F1849">
        <v>49.988410950000002</v>
      </c>
      <c r="G1849">
        <v>1216.1853027</v>
      </c>
      <c r="H1849">
        <v>1174.1500243999999</v>
      </c>
      <c r="I1849">
        <v>1491.9793701000001</v>
      </c>
      <c r="J1849">
        <v>1444.0509033000001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1064.9583500000001</v>
      </c>
      <c r="B1850" s="1">
        <f>DATE(2013,3,30) + TIME(23,0,1)</f>
        <v>41363.958344907405</v>
      </c>
      <c r="C1850">
        <v>80</v>
      </c>
      <c r="D1850">
        <v>59.701869965</v>
      </c>
      <c r="E1850">
        <v>50</v>
      </c>
      <c r="F1850">
        <v>49.988418578999998</v>
      </c>
      <c r="G1850">
        <v>1215.7275391000001</v>
      </c>
      <c r="H1850">
        <v>1173.4876709</v>
      </c>
      <c r="I1850">
        <v>1491.9221190999999</v>
      </c>
      <c r="J1850">
        <v>1443.9937743999999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1066</v>
      </c>
      <c r="B1851" s="1">
        <f>DATE(2013,4,1) + TIME(0,0,0)</f>
        <v>41365</v>
      </c>
      <c r="C1851">
        <v>80</v>
      </c>
      <c r="D1851">
        <v>59.450687408</v>
      </c>
      <c r="E1851">
        <v>50</v>
      </c>
      <c r="F1851">
        <v>49.988430022999999</v>
      </c>
      <c r="G1851">
        <v>1215.3411865</v>
      </c>
      <c r="H1851">
        <v>1172.9265137</v>
      </c>
      <c r="I1851">
        <v>1491.8729248</v>
      </c>
      <c r="J1851">
        <v>1443.9447021000001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1068.0833009999999</v>
      </c>
      <c r="B1852" s="1">
        <f>DATE(2013,4,3) + TIME(1,59,57)</f>
        <v>41367.083298611113</v>
      </c>
      <c r="C1852">
        <v>80</v>
      </c>
      <c r="D1852">
        <v>59.169612884999999</v>
      </c>
      <c r="E1852">
        <v>50</v>
      </c>
      <c r="F1852">
        <v>49.988452911000003</v>
      </c>
      <c r="G1852">
        <v>1214.9298096</v>
      </c>
      <c r="H1852">
        <v>1172.2871094</v>
      </c>
      <c r="I1852">
        <v>1491.8243408000001</v>
      </c>
      <c r="J1852">
        <v>1443.8961182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1069.5405089999999</v>
      </c>
      <c r="B1853" s="1">
        <f>DATE(2013,4,4) + TIME(12,58,19)</f>
        <v>41368.540497685186</v>
      </c>
      <c r="C1853">
        <v>80</v>
      </c>
      <c r="D1853">
        <v>58.729804993000002</v>
      </c>
      <c r="E1853">
        <v>50</v>
      </c>
      <c r="F1853">
        <v>49.988464354999998</v>
      </c>
      <c r="G1853">
        <v>1214.1339111</v>
      </c>
      <c r="H1853">
        <v>1171.1534423999999</v>
      </c>
      <c r="I1853">
        <v>1491.7282714999999</v>
      </c>
      <c r="J1853">
        <v>1443.8001709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1070.729842</v>
      </c>
      <c r="B1854" s="1">
        <f>DATE(2013,4,5) + TIME(17,30,58)</f>
        <v>41369.729837962965</v>
      </c>
      <c r="C1854">
        <v>80</v>
      </c>
      <c r="D1854">
        <v>58.377273559999999</v>
      </c>
      <c r="E1854">
        <v>50</v>
      </c>
      <c r="F1854">
        <v>49.988475800000003</v>
      </c>
      <c r="G1854">
        <v>1213.5711670000001</v>
      </c>
      <c r="H1854">
        <v>1170.324707</v>
      </c>
      <c r="I1854">
        <v>1491.6608887</v>
      </c>
      <c r="J1854">
        <v>1443.7327881000001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1071.9191760000001</v>
      </c>
      <c r="B1855" s="1">
        <f>DATE(2013,4,6) + TIME(22,3,36)</f>
        <v>41370.919166666667</v>
      </c>
      <c r="C1855">
        <v>80</v>
      </c>
      <c r="D1855">
        <v>58.075721741000002</v>
      </c>
      <c r="E1855">
        <v>50</v>
      </c>
      <c r="F1855">
        <v>49.988487243999998</v>
      </c>
      <c r="G1855">
        <v>1213.1079102000001</v>
      </c>
      <c r="H1855">
        <v>1169.6313477000001</v>
      </c>
      <c r="I1855">
        <v>1491.6062012</v>
      </c>
      <c r="J1855">
        <v>1443.6781006000001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1073.1085089999999</v>
      </c>
      <c r="B1856" s="1">
        <f>DATE(2013,4,8) + TIME(2,36,15)</f>
        <v>41372.108506944445</v>
      </c>
      <c r="C1856">
        <v>80</v>
      </c>
      <c r="D1856">
        <v>57.783557891999997</v>
      </c>
      <c r="E1856">
        <v>50</v>
      </c>
      <c r="F1856">
        <v>49.988498688</v>
      </c>
      <c r="G1856">
        <v>1212.6442870999999</v>
      </c>
      <c r="H1856">
        <v>1168.9437256000001</v>
      </c>
      <c r="I1856">
        <v>1491.5520019999999</v>
      </c>
      <c r="J1856">
        <v>1443.6240233999999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1074.2978430000001</v>
      </c>
      <c r="B1857" s="1">
        <f>DATE(2013,4,9) + TIME(7,8,53)</f>
        <v>41373.297835648147</v>
      </c>
      <c r="C1857">
        <v>80</v>
      </c>
      <c r="D1857">
        <v>57.492324828999998</v>
      </c>
      <c r="E1857">
        <v>50</v>
      </c>
      <c r="F1857">
        <v>49.988510132000002</v>
      </c>
      <c r="G1857">
        <v>1212.1790771000001</v>
      </c>
      <c r="H1857">
        <v>1168.2542725000001</v>
      </c>
      <c r="I1857">
        <v>1491.4980469</v>
      </c>
      <c r="J1857">
        <v>1443.5701904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1075.4871760000001</v>
      </c>
      <c r="B1858" s="1">
        <f>DATE(2013,4,10) + TIME(11,41,32)</f>
        <v>41374.487175925926</v>
      </c>
      <c r="C1858">
        <v>80</v>
      </c>
      <c r="D1858">
        <v>57.200202941999997</v>
      </c>
      <c r="E1858">
        <v>50</v>
      </c>
      <c r="F1858">
        <v>49.988521575999997</v>
      </c>
      <c r="G1858">
        <v>1211.7121582</v>
      </c>
      <c r="H1858">
        <v>1167.5617675999999</v>
      </c>
      <c r="I1858">
        <v>1491.4443358999999</v>
      </c>
      <c r="J1858">
        <v>1443.5164795000001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1076.6765089999999</v>
      </c>
      <c r="B1859" s="1">
        <f>DATE(2013,4,11) + TIME(16,14,10)</f>
        <v>41375.676504629628</v>
      </c>
      <c r="C1859">
        <v>80</v>
      </c>
      <c r="D1859">
        <v>56.906929015999999</v>
      </c>
      <c r="E1859">
        <v>50</v>
      </c>
      <c r="F1859">
        <v>49.988533019999998</v>
      </c>
      <c r="G1859">
        <v>1211.2437743999999</v>
      </c>
      <c r="H1859">
        <v>1166.8658447</v>
      </c>
      <c r="I1859">
        <v>1491.3909911999999</v>
      </c>
      <c r="J1859">
        <v>1443.4631348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1077.865843</v>
      </c>
      <c r="B1860" s="1">
        <f>DATE(2013,4,12) + TIME(20,46,48)</f>
        <v>41376.865833333337</v>
      </c>
      <c r="C1860">
        <v>80</v>
      </c>
      <c r="D1860">
        <v>56.612518311000002</v>
      </c>
      <c r="E1860">
        <v>50</v>
      </c>
      <c r="F1860">
        <v>49.988544464</v>
      </c>
      <c r="G1860">
        <v>1210.7739257999999</v>
      </c>
      <c r="H1860">
        <v>1166.1667480000001</v>
      </c>
      <c r="I1860">
        <v>1491.3378906</v>
      </c>
      <c r="J1860">
        <v>1443.4101562000001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1079.0551760000001</v>
      </c>
      <c r="B1861" s="1">
        <f>DATE(2013,4,14) + TIME(1,19,27)</f>
        <v>41378.055173611108</v>
      </c>
      <c r="C1861">
        <v>80</v>
      </c>
      <c r="D1861">
        <v>56.317070006999998</v>
      </c>
      <c r="E1861">
        <v>50</v>
      </c>
      <c r="F1861">
        <v>49.988552093999999</v>
      </c>
      <c r="G1861">
        <v>1210.3027344</v>
      </c>
      <c r="H1861">
        <v>1165.4645995999999</v>
      </c>
      <c r="I1861">
        <v>1491.2849120999999</v>
      </c>
      <c r="J1861">
        <v>1443.3572998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1080.2445090000001</v>
      </c>
      <c r="B1862" s="1">
        <f>DATE(2013,4,15) + TIME(5,52,5)</f>
        <v>41379.244502314818</v>
      </c>
      <c r="C1862">
        <v>80</v>
      </c>
      <c r="D1862">
        <v>56.020694732999999</v>
      </c>
      <c r="E1862">
        <v>50</v>
      </c>
      <c r="F1862">
        <v>49.988563538000001</v>
      </c>
      <c r="G1862">
        <v>1209.8303223</v>
      </c>
      <c r="H1862">
        <v>1164.7593993999999</v>
      </c>
      <c r="I1862">
        <v>1491.2322998</v>
      </c>
      <c r="J1862">
        <v>1443.3046875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1081.433843</v>
      </c>
      <c r="B1863" s="1">
        <f>DATE(2013,4,16) + TIME(10,24,44)</f>
        <v>41380.433842592596</v>
      </c>
      <c r="C1863">
        <v>80</v>
      </c>
      <c r="D1863">
        <v>55.723503113</v>
      </c>
      <c r="E1863">
        <v>50</v>
      </c>
      <c r="F1863">
        <v>49.988574982000003</v>
      </c>
      <c r="G1863">
        <v>1209.3568115</v>
      </c>
      <c r="H1863">
        <v>1164.0515137</v>
      </c>
      <c r="I1863">
        <v>1491.1799315999999</v>
      </c>
      <c r="J1863">
        <v>1443.2523193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1082.6231760000001</v>
      </c>
      <c r="B1864" s="1">
        <f>DATE(2013,4,17) + TIME(14,57,22)</f>
        <v>41381.623171296298</v>
      </c>
      <c r="C1864">
        <v>80</v>
      </c>
      <c r="D1864">
        <v>55.425605773999997</v>
      </c>
      <c r="E1864">
        <v>50</v>
      </c>
      <c r="F1864">
        <v>49.988586425999998</v>
      </c>
      <c r="G1864">
        <v>1208.8820800999999</v>
      </c>
      <c r="H1864">
        <v>1163.3408202999999</v>
      </c>
      <c r="I1864">
        <v>1491.1276855000001</v>
      </c>
      <c r="J1864">
        <v>1443.2001952999999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1083.81251</v>
      </c>
      <c r="B1865" s="1">
        <f>DATE(2013,4,18) + TIME(19,30,0)</f>
        <v>41382.8125</v>
      </c>
      <c r="C1865">
        <v>80</v>
      </c>
      <c r="D1865">
        <v>55.127120972</v>
      </c>
      <c r="E1865">
        <v>50</v>
      </c>
      <c r="F1865">
        <v>49.98859787</v>
      </c>
      <c r="G1865">
        <v>1208.4064940999999</v>
      </c>
      <c r="H1865">
        <v>1162.6278076000001</v>
      </c>
      <c r="I1865">
        <v>1491.0758057</v>
      </c>
      <c r="J1865">
        <v>1443.1483154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1085.001843</v>
      </c>
      <c r="B1866" s="1">
        <f>DATE(2013,4,20) + TIME(0,2,39)</f>
        <v>41384.001840277779</v>
      </c>
      <c r="C1866">
        <v>80</v>
      </c>
      <c r="D1866">
        <v>54.828155518000003</v>
      </c>
      <c r="E1866">
        <v>50</v>
      </c>
      <c r="F1866">
        <v>49.988609314000001</v>
      </c>
      <c r="G1866">
        <v>1207.9300536999999</v>
      </c>
      <c r="H1866">
        <v>1161.9123535000001</v>
      </c>
      <c r="I1866">
        <v>1491.0240478999999</v>
      </c>
      <c r="J1866">
        <v>1443.0965576000001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1086.191176</v>
      </c>
      <c r="B1867" s="1">
        <f>DATE(2013,4,21) + TIME(4,35,17)</f>
        <v>41385.191168981481</v>
      </c>
      <c r="C1867">
        <v>80</v>
      </c>
      <c r="D1867">
        <v>54.528823852999999</v>
      </c>
      <c r="E1867">
        <v>50</v>
      </c>
      <c r="F1867">
        <v>49.988620758000003</v>
      </c>
      <c r="G1867">
        <v>1207.4527588000001</v>
      </c>
      <c r="H1867">
        <v>1161.1948242000001</v>
      </c>
      <c r="I1867">
        <v>1490.9726562000001</v>
      </c>
      <c r="J1867">
        <v>1443.0451660000001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1087.38051</v>
      </c>
      <c r="B1868" s="1">
        <f>DATE(2013,4,22) + TIME(9,7,56)</f>
        <v>41386.380509259259</v>
      </c>
      <c r="C1868">
        <v>80</v>
      </c>
      <c r="D1868">
        <v>54.229232787999997</v>
      </c>
      <c r="E1868">
        <v>50</v>
      </c>
      <c r="F1868">
        <v>49.988628386999999</v>
      </c>
      <c r="G1868">
        <v>1206.9748535000001</v>
      </c>
      <c r="H1868">
        <v>1160.4750977000001</v>
      </c>
      <c r="I1868">
        <v>1490.9213867000001</v>
      </c>
      <c r="J1868">
        <v>1442.9938964999999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1088.569843</v>
      </c>
      <c r="B1869" s="1">
        <f>DATE(2013,4,23) + TIME(13,40,34)</f>
        <v>41387.569837962961</v>
      </c>
      <c r="C1869">
        <v>80</v>
      </c>
      <c r="D1869">
        <v>53.929500580000003</v>
      </c>
      <c r="E1869">
        <v>50</v>
      </c>
      <c r="F1869">
        <v>49.988639831999997</v>
      </c>
      <c r="G1869">
        <v>1206.4963379000001</v>
      </c>
      <c r="H1869">
        <v>1159.7535399999999</v>
      </c>
      <c r="I1869">
        <v>1490.8702393000001</v>
      </c>
      <c r="J1869">
        <v>1442.9428711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1089.759176</v>
      </c>
      <c r="B1870" s="1">
        <f>DATE(2013,4,24) + TIME(18,13,12)</f>
        <v>41388.759166666663</v>
      </c>
      <c r="C1870">
        <v>80</v>
      </c>
      <c r="D1870">
        <v>53.629730225000003</v>
      </c>
      <c r="E1870">
        <v>50</v>
      </c>
      <c r="F1870">
        <v>49.988651275999999</v>
      </c>
      <c r="G1870">
        <v>1206.0174560999999</v>
      </c>
      <c r="H1870">
        <v>1159.0302733999999</v>
      </c>
      <c r="I1870">
        <v>1490.8194579999999</v>
      </c>
      <c r="J1870">
        <v>1442.8920897999999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1090.9485099999999</v>
      </c>
      <c r="B1871" s="1">
        <f>DATE(2013,4,25) + TIME(22,45,51)</f>
        <v>41389.948506944442</v>
      </c>
      <c r="C1871">
        <v>80</v>
      </c>
      <c r="D1871">
        <v>53.330043793000002</v>
      </c>
      <c r="E1871">
        <v>50</v>
      </c>
      <c r="F1871">
        <v>49.988662720000001</v>
      </c>
      <c r="G1871">
        <v>1205.5380858999999</v>
      </c>
      <c r="H1871">
        <v>1158.3055420000001</v>
      </c>
      <c r="I1871">
        <v>1490.7687988</v>
      </c>
      <c r="J1871">
        <v>1442.8415527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1092.137843</v>
      </c>
      <c r="B1872" s="1">
        <f>DATE(2013,4,27) + TIME(3,18,29)</f>
        <v>41391.137835648151</v>
      </c>
      <c r="C1872">
        <v>80</v>
      </c>
      <c r="D1872">
        <v>53.030532837000003</v>
      </c>
      <c r="E1872">
        <v>50</v>
      </c>
      <c r="F1872">
        <v>49.988674164000003</v>
      </c>
      <c r="G1872">
        <v>1205.0584716999999</v>
      </c>
      <c r="H1872">
        <v>1157.5792236</v>
      </c>
      <c r="I1872">
        <v>1490.7183838000001</v>
      </c>
      <c r="J1872">
        <v>1442.7911377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1093.3271769999999</v>
      </c>
      <c r="B1873" s="1">
        <f>DATE(2013,4,28) + TIME(7,51,8)</f>
        <v>41392.327175925922</v>
      </c>
      <c r="C1873">
        <v>80</v>
      </c>
      <c r="D1873">
        <v>52.731304168999998</v>
      </c>
      <c r="E1873">
        <v>50</v>
      </c>
      <c r="F1873">
        <v>49.988681792999998</v>
      </c>
      <c r="G1873">
        <v>1204.5786132999999</v>
      </c>
      <c r="H1873">
        <v>1156.8516846</v>
      </c>
      <c r="I1873">
        <v>1490.6680908000001</v>
      </c>
      <c r="J1873">
        <v>1442.7409668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1094.5165099999999</v>
      </c>
      <c r="B1874" s="1">
        <f>DATE(2013,4,29) + TIME(12,23,46)</f>
        <v>41393.516504629632</v>
      </c>
      <c r="C1874">
        <v>80</v>
      </c>
      <c r="D1874">
        <v>52.432487488</v>
      </c>
      <c r="E1874">
        <v>50</v>
      </c>
      <c r="F1874">
        <v>49.988693237</v>
      </c>
      <c r="G1874">
        <v>1204.0987548999999</v>
      </c>
      <c r="H1874">
        <v>1156.1230469</v>
      </c>
      <c r="I1874">
        <v>1490.6180420000001</v>
      </c>
      <c r="J1874">
        <v>1442.690918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1095.258255</v>
      </c>
      <c r="B1875" s="1">
        <f>DATE(2013,4,30) + TIME(6,11,53)</f>
        <v>41394.258252314816</v>
      </c>
      <c r="C1875">
        <v>80</v>
      </c>
      <c r="D1875">
        <v>52.168067932</v>
      </c>
      <c r="E1875">
        <v>50</v>
      </c>
      <c r="F1875">
        <v>49.988700866999999</v>
      </c>
      <c r="G1875">
        <v>1203.6228027</v>
      </c>
      <c r="H1875">
        <v>1155.4289550999999</v>
      </c>
      <c r="I1875">
        <v>1490.5686035000001</v>
      </c>
      <c r="J1875">
        <v>1442.6414795000001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1096</v>
      </c>
      <c r="B1876" s="1">
        <f>DATE(2013,5,1) + TIME(0,0,0)</f>
        <v>41395</v>
      </c>
      <c r="C1876">
        <v>80</v>
      </c>
      <c r="D1876">
        <v>51.958641051999997</v>
      </c>
      <c r="E1876">
        <v>50</v>
      </c>
      <c r="F1876">
        <v>49.988708496000001</v>
      </c>
      <c r="G1876">
        <v>1203.3305664</v>
      </c>
      <c r="H1876">
        <v>1154.9729004000001</v>
      </c>
      <c r="I1876">
        <v>1490.5369873</v>
      </c>
      <c r="J1876">
        <v>1442.6099853999999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1096.0000010000001</v>
      </c>
      <c r="B1877" s="1">
        <f>DATE(2013,5,1) + TIME(0,0,0)</f>
        <v>41395</v>
      </c>
      <c r="C1877">
        <v>80</v>
      </c>
      <c r="D1877">
        <v>51.959018706999998</v>
      </c>
      <c r="E1877">
        <v>50</v>
      </c>
      <c r="F1877">
        <v>49.988430022999999</v>
      </c>
      <c r="G1877">
        <v>1253.8946533000001</v>
      </c>
      <c r="H1877">
        <v>1205.6099853999999</v>
      </c>
      <c r="I1877">
        <v>1440.4232178</v>
      </c>
      <c r="J1877">
        <v>1392.4934082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1096.000004</v>
      </c>
      <c r="B1878" s="1">
        <f>DATE(2013,5,1) + TIME(0,0,0)</f>
        <v>41395</v>
      </c>
      <c r="C1878">
        <v>80</v>
      </c>
      <c r="D1878">
        <v>51.960044861</v>
      </c>
      <c r="E1878">
        <v>50</v>
      </c>
      <c r="F1878">
        <v>49.987693786999998</v>
      </c>
      <c r="G1878">
        <v>1259.7580565999999</v>
      </c>
      <c r="H1878">
        <v>1211.6595459</v>
      </c>
      <c r="I1878">
        <v>1434.5908202999999</v>
      </c>
      <c r="J1878">
        <v>1386.6599120999999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1096.0000130000001</v>
      </c>
      <c r="B1879" s="1">
        <f>DATE(2013,5,1) + TIME(0,0,1)</f>
        <v>41395.000011574077</v>
      </c>
      <c r="C1879">
        <v>80</v>
      </c>
      <c r="D1879">
        <v>51.962528229</v>
      </c>
      <c r="E1879">
        <v>50</v>
      </c>
      <c r="F1879">
        <v>49.986045836999999</v>
      </c>
      <c r="G1879">
        <v>1272.9381103999999</v>
      </c>
      <c r="H1879">
        <v>1225.1044922000001</v>
      </c>
      <c r="I1879">
        <v>1421.5083007999999</v>
      </c>
      <c r="J1879">
        <v>1373.5754394999999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1096.0000399999999</v>
      </c>
      <c r="B1880" s="1">
        <f>DATE(2013,5,1) + TIME(0,0,3)</f>
        <v>41395.000034722223</v>
      </c>
      <c r="C1880">
        <v>80</v>
      </c>
      <c r="D1880">
        <v>51.967685699</v>
      </c>
      <c r="E1880">
        <v>50</v>
      </c>
      <c r="F1880">
        <v>49.983287810999997</v>
      </c>
      <c r="G1880">
        <v>1295.0222168</v>
      </c>
      <c r="H1880">
        <v>1247.3175048999999</v>
      </c>
      <c r="I1880">
        <v>1399.6494141000001</v>
      </c>
      <c r="J1880">
        <v>1351.7152100000001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1096.000121</v>
      </c>
      <c r="B1881" s="1">
        <f>DATE(2013,5,1) + TIME(0,0,10)</f>
        <v>41395.000115740739</v>
      </c>
      <c r="C1881">
        <v>80</v>
      </c>
      <c r="D1881">
        <v>51.978122710999997</v>
      </c>
      <c r="E1881">
        <v>50</v>
      </c>
      <c r="F1881">
        <v>49.979919434000003</v>
      </c>
      <c r="G1881">
        <v>1322.0639647999999</v>
      </c>
      <c r="H1881">
        <v>1274.2889404</v>
      </c>
      <c r="I1881">
        <v>1372.9716797000001</v>
      </c>
      <c r="J1881">
        <v>1325.0380858999999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1096.000364</v>
      </c>
      <c r="B1882" s="1">
        <f>DATE(2013,5,1) + TIME(0,0,31)</f>
        <v>41395.000358796293</v>
      </c>
      <c r="C1882">
        <v>80</v>
      </c>
      <c r="D1882">
        <v>52.002742767000001</v>
      </c>
      <c r="E1882">
        <v>50</v>
      </c>
      <c r="F1882">
        <v>49.976432799999998</v>
      </c>
      <c r="G1882">
        <v>1350.0694579999999</v>
      </c>
      <c r="H1882">
        <v>1302.1700439000001</v>
      </c>
      <c r="I1882">
        <v>1345.5008545000001</v>
      </c>
      <c r="J1882">
        <v>1297.5699463000001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1096.0010930000001</v>
      </c>
      <c r="B1883" s="1">
        <f>DATE(2013,5,1) + TIME(0,1,34)</f>
        <v>41395.001087962963</v>
      </c>
      <c r="C1883">
        <v>80</v>
      </c>
      <c r="D1883">
        <v>52.069652556999998</v>
      </c>
      <c r="E1883">
        <v>50</v>
      </c>
      <c r="F1883">
        <v>49.972900391000003</v>
      </c>
      <c r="G1883">
        <v>1378.4644774999999</v>
      </c>
      <c r="H1883">
        <v>1330.4375</v>
      </c>
      <c r="I1883">
        <v>1318.0515137</v>
      </c>
      <c r="J1883">
        <v>1270.1235352000001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1096.0032799999999</v>
      </c>
      <c r="B1884" s="1">
        <f>DATE(2013,5,1) + TIME(0,4,43)</f>
        <v>41395.003275462965</v>
      </c>
      <c r="C1884">
        <v>80</v>
      </c>
      <c r="D1884">
        <v>52.262714385999999</v>
      </c>
      <c r="E1884">
        <v>50</v>
      </c>
      <c r="F1884">
        <v>49.969203948999997</v>
      </c>
      <c r="G1884">
        <v>1408.0858154</v>
      </c>
      <c r="H1884">
        <v>1360.0433350000001</v>
      </c>
      <c r="I1884">
        <v>1290.4851074000001</v>
      </c>
      <c r="J1884">
        <v>1242.5577393000001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1096.0098410000001</v>
      </c>
      <c r="B1885" s="1">
        <f>DATE(2013,5,1) + TIME(0,14,10)</f>
        <v>41395.009837962964</v>
      </c>
      <c r="C1885">
        <v>80</v>
      </c>
      <c r="D1885">
        <v>52.824310302999997</v>
      </c>
      <c r="E1885">
        <v>50</v>
      </c>
      <c r="F1885">
        <v>49.964992522999999</v>
      </c>
      <c r="G1885">
        <v>1439.9031981999999</v>
      </c>
      <c r="H1885">
        <v>1392.2034911999999</v>
      </c>
      <c r="I1885">
        <v>1262.3640137</v>
      </c>
      <c r="J1885">
        <v>1214.4346923999999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1096.0202859999999</v>
      </c>
      <c r="B1886" s="1">
        <f>DATE(2013,5,1) + TIME(0,29,12)</f>
        <v>41395.020277777781</v>
      </c>
      <c r="C1886">
        <v>80</v>
      </c>
      <c r="D1886">
        <v>53.687465668000002</v>
      </c>
      <c r="E1886">
        <v>50</v>
      </c>
      <c r="F1886">
        <v>49.961444855000003</v>
      </c>
      <c r="G1886">
        <v>1462.4967041</v>
      </c>
      <c r="H1886">
        <v>1415.4217529</v>
      </c>
      <c r="I1886">
        <v>1242.8220214999999</v>
      </c>
      <c r="J1886">
        <v>1194.8905029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1096.031054</v>
      </c>
      <c r="B1887" s="1">
        <f>DATE(2013,5,1) + TIME(0,44,43)</f>
        <v>41395.031053240738</v>
      </c>
      <c r="C1887">
        <v>80</v>
      </c>
      <c r="D1887">
        <v>54.547565460000001</v>
      </c>
      <c r="E1887">
        <v>50</v>
      </c>
      <c r="F1887">
        <v>49.958923339999998</v>
      </c>
      <c r="G1887">
        <v>1475.2401123</v>
      </c>
      <c r="H1887">
        <v>1428.7895507999999</v>
      </c>
      <c r="I1887">
        <v>1231.8995361</v>
      </c>
      <c r="J1887">
        <v>1183.9664307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1096.04213</v>
      </c>
      <c r="B1888" s="1">
        <f>DATE(2013,5,1) + TIME(1,0,40)</f>
        <v>41395.042129629626</v>
      </c>
      <c r="C1888">
        <v>80</v>
      </c>
      <c r="D1888">
        <v>55.402584075999997</v>
      </c>
      <c r="E1888">
        <v>50</v>
      </c>
      <c r="F1888">
        <v>49.956909179999997</v>
      </c>
      <c r="G1888">
        <v>1482.9719238</v>
      </c>
      <c r="H1888">
        <v>1437.1342772999999</v>
      </c>
      <c r="I1888">
        <v>1225.3679199000001</v>
      </c>
      <c r="J1888">
        <v>1177.4335937999999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1096.0535259999999</v>
      </c>
      <c r="B1889" s="1">
        <f>DATE(2013,5,1) + TIME(1,17,4)</f>
        <v>41395.053518518522</v>
      </c>
      <c r="C1889">
        <v>80</v>
      </c>
      <c r="D1889">
        <v>56.251976012999997</v>
      </c>
      <c r="E1889">
        <v>50</v>
      </c>
      <c r="F1889">
        <v>49.955184936999999</v>
      </c>
      <c r="G1889">
        <v>1487.7558594</v>
      </c>
      <c r="H1889">
        <v>1442.5157471</v>
      </c>
      <c r="I1889">
        <v>1221.4056396000001</v>
      </c>
      <c r="J1889">
        <v>1173.4705810999999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1096.0652560000001</v>
      </c>
      <c r="B1890" s="1">
        <f>DATE(2013,5,1) + TIME(1,33,58)</f>
        <v>41395.065254629626</v>
      </c>
      <c r="C1890">
        <v>80</v>
      </c>
      <c r="D1890">
        <v>57.095512390000003</v>
      </c>
      <c r="E1890">
        <v>50</v>
      </c>
      <c r="F1890">
        <v>49.953624724999997</v>
      </c>
      <c r="G1890">
        <v>1490.6767577999999</v>
      </c>
      <c r="H1890">
        <v>1446.0180664</v>
      </c>
      <c r="I1890">
        <v>1219.0242920000001</v>
      </c>
      <c r="J1890">
        <v>1171.088501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1096.07734</v>
      </c>
      <c r="B1891" s="1">
        <f>DATE(2013,5,1) + TIME(1,51,22)</f>
        <v>41395.077337962961</v>
      </c>
      <c r="C1891">
        <v>80</v>
      </c>
      <c r="D1891">
        <v>57.933055877999998</v>
      </c>
      <c r="E1891">
        <v>50</v>
      </c>
      <c r="F1891">
        <v>49.952156066999997</v>
      </c>
      <c r="G1891">
        <v>1492.3795166</v>
      </c>
      <c r="H1891">
        <v>1448.2858887</v>
      </c>
      <c r="I1891">
        <v>1217.6273193</v>
      </c>
      <c r="J1891">
        <v>1169.6907959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1096.0898070000001</v>
      </c>
      <c r="B1892" s="1">
        <f>DATE(2013,5,1) + TIME(2,9,19)</f>
        <v>41395.089803240742</v>
      </c>
      <c r="C1892">
        <v>80</v>
      </c>
      <c r="D1892">
        <v>58.764877319</v>
      </c>
      <c r="E1892">
        <v>50</v>
      </c>
      <c r="F1892">
        <v>49.950733184999997</v>
      </c>
      <c r="G1892">
        <v>1493.2735596</v>
      </c>
      <c r="H1892">
        <v>1449.7293701000001</v>
      </c>
      <c r="I1892">
        <v>1216.8393555</v>
      </c>
      <c r="J1892">
        <v>1168.9022216999999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1096.102676</v>
      </c>
      <c r="B1893" s="1">
        <f>DATE(2013,5,1) + TIME(2,27,51)</f>
        <v>41395.102673611109</v>
      </c>
      <c r="C1893">
        <v>80</v>
      </c>
      <c r="D1893">
        <v>59.590515136999997</v>
      </c>
      <c r="E1893">
        <v>50</v>
      </c>
      <c r="F1893">
        <v>49.949317932</v>
      </c>
      <c r="G1893">
        <v>1493.6274414</v>
      </c>
      <c r="H1893">
        <v>1450.6171875</v>
      </c>
      <c r="I1893">
        <v>1216.4219971</v>
      </c>
      <c r="J1893">
        <v>1168.4842529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1096.1159749999999</v>
      </c>
      <c r="B1894" s="1">
        <f>DATE(2013,5,1) + TIME(2,47,0)</f>
        <v>41395.115972222222</v>
      </c>
      <c r="C1894">
        <v>80</v>
      </c>
      <c r="D1894">
        <v>60.409584045000003</v>
      </c>
      <c r="E1894">
        <v>50</v>
      </c>
      <c r="F1894">
        <v>49.947898864999999</v>
      </c>
      <c r="G1894">
        <v>1493.6212158000001</v>
      </c>
      <c r="H1894">
        <v>1451.1295166</v>
      </c>
      <c r="I1894">
        <v>1216.2238769999999</v>
      </c>
      <c r="J1894">
        <v>1168.2856445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1096.1297360000001</v>
      </c>
      <c r="B1895" s="1">
        <f>DATE(2013,5,1) + TIME(3,6,49)</f>
        <v>41395.129733796297</v>
      </c>
      <c r="C1895">
        <v>80</v>
      </c>
      <c r="D1895">
        <v>61.221965789999999</v>
      </c>
      <c r="E1895">
        <v>50</v>
      </c>
      <c r="F1895">
        <v>49.946456908999998</v>
      </c>
      <c r="G1895">
        <v>1493.3756103999999</v>
      </c>
      <c r="H1895">
        <v>1451.3878173999999</v>
      </c>
      <c r="I1895">
        <v>1216.1503906</v>
      </c>
      <c r="J1895">
        <v>1168.2115478999999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1096.1439929999999</v>
      </c>
      <c r="B1896" s="1">
        <f>DATE(2013,5,1) + TIME(3,27,20)</f>
        <v>41395.14398148148</v>
      </c>
      <c r="C1896">
        <v>80</v>
      </c>
      <c r="D1896">
        <v>62.027847289999997</v>
      </c>
      <c r="E1896">
        <v>50</v>
      </c>
      <c r="F1896">
        <v>49.944984435999999</v>
      </c>
      <c r="G1896">
        <v>1492.972168</v>
      </c>
      <c r="H1896">
        <v>1451.4742432</v>
      </c>
      <c r="I1896">
        <v>1216.1434326000001</v>
      </c>
      <c r="J1896">
        <v>1168.2039795000001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1096.158786</v>
      </c>
      <c r="B1897" s="1">
        <f>DATE(2013,5,1) + TIME(3,48,39)</f>
        <v>41395.158784722225</v>
      </c>
      <c r="C1897">
        <v>80</v>
      </c>
      <c r="D1897">
        <v>62.827106475999997</v>
      </c>
      <c r="E1897">
        <v>50</v>
      </c>
      <c r="F1897">
        <v>49.943473816000001</v>
      </c>
      <c r="G1897">
        <v>1492.4658202999999</v>
      </c>
      <c r="H1897">
        <v>1451.4439697</v>
      </c>
      <c r="I1897">
        <v>1216.1683350000001</v>
      </c>
      <c r="J1897">
        <v>1168.2283935999999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1096.1741569999999</v>
      </c>
      <c r="B1898" s="1">
        <f>DATE(2013,5,1) + TIME(4,10,47)</f>
        <v>41395.174155092594</v>
      </c>
      <c r="C1898">
        <v>80</v>
      </c>
      <c r="D1898">
        <v>63.619613647000001</v>
      </c>
      <c r="E1898">
        <v>50</v>
      </c>
      <c r="F1898">
        <v>49.941917418999999</v>
      </c>
      <c r="G1898">
        <v>1491.8936768000001</v>
      </c>
      <c r="H1898">
        <v>1451.3344727000001</v>
      </c>
      <c r="I1898">
        <v>1216.2053223</v>
      </c>
      <c r="J1898">
        <v>1168.2646483999999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1096.190157</v>
      </c>
      <c r="B1899" s="1">
        <f>DATE(2013,5,1) + TIME(4,33,49)</f>
        <v>41395.190150462964</v>
      </c>
      <c r="C1899">
        <v>80</v>
      </c>
      <c r="D1899">
        <v>64.405235290999997</v>
      </c>
      <c r="E1899">
        <v>50</v>
      </c>
      <c r="F1899">
        <v>49.940311432000001</v>
      </c>
      <c r="G1899">
        <v>1491.2805175999999</v>
      </c>
      <c r="H1899">
        <v>1451.1711425999999</v>
      </c>
      <c r="I1899">
        <v>1216.2435303</v>
      </c>
      <c r="J1899">
        <v>1168.3023682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1096.2068400000001</v>
      </c>
      <c r="B1900" s="1">
        <f>DATE(2013,5,1) + TIME(4,57,50)</f>
        <v>41395.206828703704</v>
      </c>
      <c r="C1900">
        <v>80</v>
      </c>
      <c r="D1900">
        <v>65.183837890999996</v>
      </c>
      <c r="E1900">
        <v>50</v>
      </c>
      <c r="F1900">
        <v>49.938652038999997</v>
      </c>
      <c r="G1900">
        <v>1490.6433105000001</v>
      </c>
      <c r="H1900">
        <v>1450.9713135</v>
      </c>
      <c r="I1900">
        <v>1216.2780762</v>
      </c>
      <c r="J1900">
        <v>1168.3360596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1096.224271</v>
      </c>
      <c r="B1901" s="1">
        <f>DATE(2013,5,1) + TIME(5,22,56)</f>
        <v>41395.224259259259</v>
      </c>
      <c r="C1901">
        <v>80</v>
      </c>
      <c r="D1901">
        <v>65.955360412999994</v>
      </c>
      <c r="E1901">
        <v>50</v>
      </c>
      <c r="F1901">
        <v>49.936931610000002</v>
      </c>
      <c r="G1901">
        <v>1489.9932861</v>
      </c>
      <c r="H1901">
        <v>1450.7467041</v>
      </c>
      <c r="I1901">
        <v>1216.3065185999999</v>
      </c>
      <c r="J1901">
        <v>1168.3638916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1096.2425290000001</v>
      </c>
      <c r="B1902" s="1">
        <f>DATE(2013,5,1) + TIME(5,49,14)</f>
        <v>41395.242523148147</v>
      </c>
      <c r="C1902">
        <v>80</v>
      </c>
      <c r="D1902">
        <v>66.719779967999997</v>
      </c>
      <c r="E1902">
        <v>50</v>
      </c>
      <c r="F1902">
        <v>49.935142517000003</v>
      </c>
      <c r="G1902">
        <v>1489.3378906</v>
      </c>
      <c r="H1902">
        <v>1450.5048827999999</v>
      </c>
      <c r="I1902">
        <v>1216.3287353999999</v>
      </c>
      <c r="J1902">
        <v>1168.3854980000001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1096.2616949999999</v>
      </c>
      <c r="B1903" s="1">
        <f>DATE(2013,5,1) + TIME(6,16,50)</f>
        <v>41395.261689814812</v>
      </c>
      <c r="C1903">
        <v>80</v>
      </c>
      <c r="D1903">
        <v>67.476737975999995</v>
      </c>
      <c r="E1903">
        <v>50</v>
      </c>
      <c r="F1903">
        <v>49.933284759999999</v>
      </c>
      <c r="G1903">
        <v>1488.6821289</v>
      </c>
      <c r="H1903">
        <v>1450.2515868999999</v>
      </c>
      <c r="I1903">
        <v>1216.3453368999999</v>
      </c>
      <c r="J1903">
        <v>1168.4013672000001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1096.281862</v>
      </c>
      <c r="B1904" s="1">
        <f>DATE(2013,5,1) + TIME(6,45,52)</f>
        <v>41395.281851851854</v>
      </c>
      <c r="C1904">
        <v>80</v>
      </c>
      <c r="D1904">
        <v>68.225791931000003</v>
      </c>
      <c r="E1904">
        <v>50</v>
      </c>
      <c r="F1904">
        <v>49.931346892999997</v>
      </c>
      <c r="G1904">
        <v>1488.0295410000001</v>
      </c>
      <c r="H1904">
        <v>1449.9901123</v>
      </c>
      <c r="I1904">
        <v>1216.3570557</v>
      </c>
      <c r="J1904">
        <v>1168.4122314000001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1096.3031410000001</v>
      </c>
      <c r="B1905" s="1">
        <f>DATE(2013,5,1) + TIME(7,16,31)</f>
        <v>41395.303136574075</v>
      </c>
      <c r="C1905">
        <v>80</v>
      </c>
      <c r="D1905">
        <v>68.966629028</v>
      </c>
      <c r="E1905">
        <v>50</v>
      </c>
      <c r="F1905">
        <v>49.929321289000001</v>
      </c>
      <c r="G1905">
        <v>1487.3822021000001</v>
      </c>
      <c r="H1905">
        <v>1449.7232666</v>
      </c>
      <c r="I1905">
        <v>1216.3648682</v>
      </c>
      <c r="J1905">
        <v>1168.4191894999999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1096.3256630000001</v>
      </c>
      <c r="B1906" s="1">
        <f>DATE(2013,5,1) + TIME(7,48,57)</f>
        <v>41395.325659722221</v>
      </c>
      <c r="C1906">
        <v>80</v>
      </c>
      <c r="D1906">
        <v>69.698898314999994</v>
      </c>
      <c r="E1906">
        <v>50</v>
      </c>
      <c r="F1906">
        <v>49.927196502999998</v>
      </c>
      <c r="G1906">
        <v>1486.7414550999999</v>
      </c>
      <c r="H1906">
        <v>1449.4521483999999</v>
      </c>
      <c r="I1906">
        <v>1216.3695068</v>
      </c>
      <c r="J1906">
        <v>1168.4230957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1096.3495829999999</v>
      </c>
      <c r="B1907" s="1">
        <f>DATE(2013,5,1) + TIME(8,23,23)</f>
        <v>41395.34957175926</v>
      </c>
      <c r="C1907">
        <v>80</v>
      </c>
      <c r="D1907">
        <v>70.421821593999994</v>
      </c>
      <c r="E1907">
        <v>50</v>
      </c>
      <c r="F1907">
        <v>49.924964905000003</v>
      </c>
      <c r="G1907">
        <v>1486.1079102000001</v>
      </c>
      <c r="H1907">
        <v>1449.1778564000001</v>
      </c>
      <c r="I1907">
        <v>1216.3719481999999</v>
      </c>
      <c r="J1907">
        <v>1168.4246826000001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1096.375082</v>
      </c>
      <c r="B1908" s="1">
        <f>DATE(2013,5,1) + TIME(9,0,7)</f>
        <v>41395.375081018516</v>
      </c>
      <c r="C1908">
        <v>80</v>
      </c>
      <c r="D1908">
        <v>71.134963988999999</v>
      </c>
      <c r="E1908">
        <v>50</v>
      </c>
      <c r="F1908">
        <v>49.922611236999998</v>
      </c>
      <c r="G1908">
        <v>1485.4818115</v>
      </c>
      <c r="H1908">
        <v>1448.9008789</v>
      </c>
      <c r="I1908">
        <v>1216.3726807</v>
      </c>
      <c r="J1908">
        <v>1168.4244385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1096.402388</v>
      </c>
      <c r="B1909" s="1">
        <f>DATE(2013,5,1) + TIME(9,39,26)</f>
        <v>41395.402384259258</v>
      </c>
      <c r="C1909">
        <v>80</v>
      </c>
      <c r="D1909">
        <v>71.838073730000005</v>
      </c>
      <c r="E1909">
        <v>50</v>
      </c>
      <c r="F1909">
        <v>49.920116425000003</v>
      </c>
      <c r="G1909">
        <v>1484.8630370999999</v>
      </c>
      <c r="H1909">
        <v>1448.6210937999999</v>
      </c>
      <c r="I1909">
        <v>1216.3721923999999</v>
      </c>
      <c r="J1909">
        <v>1168.4228516000001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1096.431775</v>
      </c>
      <c r="B1910" s="1">
        <f>DATE(2013,5,1) + TIME(10,21,45)</f>
        <v>41395.431770833333</v>
      </c>
      <c r="C1910">
        <v>80</v>
      </c>
      <c r="D1910">
        <v>72.530525208</v>
      </c>
      <c r="E1910">
        <v>50</v>
      </c>
      <c r="F1910">
        <v>49.917461394999997</v>
      </c>
      <c r="G1910">
        <v>1484.2510986</v>
      </c>
      <c r="H1910">
        <v>1448.3382568</v>
      </c>
      <c r="I1910">
        <v>1216.3707274999999</v>
      </c>
      <c r="J1910">
        <v>1168.4204102000001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1096.463581</v>
      </c>
      <c r="B1911" s="1">
        <f>DATE(2013,5,1) + TIME(11,7,33)</f>
        <v>41395.463576388887</v>
      </c>
      <c r="C1911">
        <v>80</v>
      </c>
      <c r="D1911">
        <v>73.21156311</v>
      </c>
      <c r="E1911">
        <v>50</v>
      </c>
      <c r="F1911">
        <v>49.914627074999999</v>
      </c>
      <c r="G1911">
        <v>1483.6453856999999</v>
      </c>
      <c r="H1911">
        <v>1448.0518798999999</v>
      </c>
      <c r="I1911">
        <v>1216.3685303</v>
      </c>
      <c r="J1911">
        <v>1168.4169922000001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1096.498233</v>
      </c>
      <c r="B1912" s="1">
        <f>DATE(2013,5,1) + TIME(11,57,27)</f>
        <v>41395.498229166667</v>
      </c>
      <c r="C1912">
        <v>80</v>
      </c>
      <c r="D1912">
        <v>73.880271911999998</v>
      </c>
      <c r="E1912">
        <v>50</v>
      </c>
      <c r="F1912">
        <v>49.911571502999998</v>
      </c>
      <c r="G1912">
        <v>1483.0450439000001</v>
      </c>
      <c r="H1912">
        <v>1447.7609863</v>
      </c>
      <c r="I1912">
        <v>1216.3657227000001</v>
      </c>
      <c r="J1912">
        <v>1168.4129639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1096.5363010000001</v>
      </c>
      <c r="B1913" s="1">
        <f>DATE(2013,5,1) + TIME(12,52,16)</f>
        <v>41395.536296296297</v>
      </c>
      <c r="C1913">
        <v>80</v>
      </c>
      <c r="D1913">
        <v>74.535995482999994</v>
      </c>
      <c r="E1913">
        <v>50</v>
      </c>
      <c r="F1913">
        <v>49.908264160000002</v>
      </c>
      <c r="G1913">
        <v>1482.4487305</v>
      </c>
      <c r="H1913">
        <v>1447.4645995999999</v>
      </c>
      <c r="I1913">
        <v>1216.3624268000001</v>
      </c>
      <c r="J1913">
        <v>1168.4084473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1096.578481</v>
      </c>
      <c r="B1914" s="1">
        <f>DATE(2013,5,1) + TIME(13,53,0)</f>
        <v>41395.578472222223</v>
      </c>
      <c r="C1914">
        <v>80</v>
      </c>
      <c r="D1914">
        <v>75.176841736</v>
      </c>
      <c r="E1914">
        <v>50</v>
      </c>
      <c r="F1914">
        <v>49.904655456999997</v>
      </c>
      <c r="G1914">
        <v>1481.8552245999999</v>
      </c>
      <c r="H1914">
        <v>1447.1611327999999</v>
      </c>
      <c r="I1914">
        <v>1216.3586425999999</v>
      </c>
      <c r="J1914">
        <v>1168.4031981999999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1096.6242219999999</v>
      </c>
      <c r="B1915" s="1">
        <f>DATE(2013,5,1) + TIME(14,58,52)</f>
        <v>41395.624212962961</v>
      </c>
      <c r="C1915">
        <v>80</v>
      </c>
      <c r="D1915">
        <v>75.783538817999997</v>
      </c>
      <c r="E1915">
        <v>50</v>
      </c>
      <c r="F1915">
        <v>49.900787354000002</v>
      </c>
      <c r="G1915">
        <v>1481.2758789</v>
      </c>
      <c r="H1915">
        <v>1446.8537598</v>
      </c>
      <c r="I1915">
        <v>1216.3543701000001</v>
      </c>
      <c r="J1915">
        <v>1168.3974608999999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1096.6700040000001</v>
      </c>
      <c r="B1916" s="1">
        <f>DATE(2013,5,1) + TIME(16,4,48)</f>
        <v>41395.67</v>
      </c>
      <c r="C1916">
        <v>80</v>
      </c>
      <c r="D1916">
        <v>76.313873290999993</v>
      </c>
      <c r="E1916">
        <v>50</v>
      </c>
      <c r="F1916">
        <v>49.896923065000003</v>
      </c>
      <c r="G1916">
        <v>1480.7431641000001</v>
      </c>
      <c r="H1916">
        <v>1446.5567627</v>
      </c>
      <c r="I1916">
        <v>1216.3497314000001</v>
      </c>
      <c r="J1916">
        <v>1168.3913574000001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1096.7162290000001</v>
      </c>
      <c r="B1917" s="1">
        <f>DATE(2013,5,1) + TIME(17,11,22)</f>
        <v>41395.716226851851</v>
      </c>
      <c r="C1917">
        <v>80</v>
      </c>
      <c r="D1917">
        <v>76.780929564999994</v>
      </c>
      <c r="E1917">
        <v>50</v>
      </c>
      <c r="F1917">
        <v>49.893032073999997</v>
      </c>
      <c r="G1917">
        <v>1480.2574463000001</v>
      </c>
      <c r="H1917">
        <v>1446.2777100000001</v>
      </c>
      <c r="I1917">
        <v>1216.3450928</v>
      </c>
      <c r="J1917">
        <v>1168.3851318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1096.763087</v>
      </c>
      <c r="B1918" s="1">
        <f>DATE(2013,5,1) + TIME(18,18,50)</f>
        <v>41395.763078703705</v>
      </c>
      <c r="C1918">
        <v>80</v>
      </c>
      <c r="D1918">
        <v>77.193161011000001</v>
      </c>
      <c r="E1918">
        <v>50</v>
      </c>
      <c r="F1918">
        <v>49.889102936</v>
      </c>
      <c r="G1918">
        <v>1479.8112793</v>
      </c>
      <c r="H1918">
        <v>1446.0136719</v>
      </c>
      <c r="I1918">
        <v>1216.340332</v>
      </c>
      <c r="J1918">
        <v>1168.3787841999999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1096.8107669999999</v>
      </c>
      <c r="B1919" s="1">
        <f>DATE(2013,5,1) + TIME(19,27,30)</f>
        <v>41395.810763888891</v>
      </c>
      <c r="C1919">
        <v>80</v>
      </c>
      <c r="D1919">
        <v>77.557563782000003</v>
      </c>
      <c r="E1919">
        <v>50</v>
      </c>
      <c r="F1919">
        <v>49.885124206999997</v>
      </c>
      <c r="G1919">
        <v>1479.3988036999999</v>
      </c>
      <c r="H1919">
        <v>1445.7620850000001</v>
      </c>
      <c r="I1919">
        <v>1216.3354492000001</v>
      </c>
      <c r="J1919">
        <v>1168.3724365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1096.859459</v>
      </c>
      <c r="B1920" s="1">
        <f>DATE(2013,5,1) + TIME(20,37,37)</f>
        <v>41395.859456018516</v>
      </c>
      <c r="C1920">
        <v>80</v>
      </c>
      <c r="D1920">
        <v>77.879951477000006</v>
      </c>
      <c r="E1920">
        <v>50</v>
      </c>
      <c r="F1920">
        <v>49.881076813</v>
      </c>
      <c r="G1920">
        <v>1479.0151367000001</v>
      </c>
      <c r="H1920">
        <v>1445.5211182</v>
      </c>
      <c r="I1920">
        <v>1216.3305664</v>
      </c>
      <c r="J1920">
        <v>1168.3658447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1096.909357</v>
      </c>
      <c r="B1921" s="1">
        <f>DATE(2013,5,1) + TIME(21,49,28)</f>
        <v>41395.909351851849</v>
      </c>
      <c r="C1921">
        <v>80</v>
      </c>
      <c r="D1921">
        <v>78.165222168</v>
      </c>
      <c r="E1921">
        <v>50</v>
      </c>
      <c r="F1921">
        <v>49.876949310000001</v>
      </c>
      <c r="G1921">
        <v>1478.65625</v>
      </c>
      <c r="H1921">
        <v>1445.2890625</v>
      </c>
      <c r="I1921">
        <v>1216.3255615</v>
      </c>
      <c r="J1921">
        <v>1168.3592529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1096.9606650000001</v>
      </c>
      <c r="B1922" s="1">
        <f>DATE(2013,5,1) + TIME(23,3,21)</f>
        <v>41395.960659722223</v>
      </c>
      <c r="C1922">
        <v>80</v>
      </c>
      <c r="D1922">
        <v>78.417549132999994</v>
      </c>
      <c r="E1922">
        <v>50</v>
      </c>
      <c r="F1922">
        <v>49.872722625999998</v>
      </c>
      <c r="G1922">
        <v>1478.3187256000001</v>
      </c>
      <c r="H1922">
        <v>1445.0644531</v>
      </c>
      <c r="I1922">
        <v>1216.3203125</v>
      </c>
      <c r="J1922">
        <v>1168.3524170000001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1097.013625</v>
      </c>
      <c r="B1923" s="1">
        <f>DATE(2013,5,2) + TIME(0,19,37)</f>
        <v>41396.013622685183</v>
      </c>
      <c r="C1923">
        <v>80</v>
      </c>
      <c r="D1923">
        <v>78.640586853000002</v>
      </c>
      <c r="E1923">
        <v>50</v>
      </c>
      <c r="F1923">
        <v>49.868385314999998</v>
      </c>
      <c r="G1923">
        <v>1477.9995117000001</v>
      </c>
      <c r="H1923">
        <v>1444.8459473</v>
      </c>
      <c r="I1923">
        <v>1216.3150635</v>
      </c>
      <c r="J1923">
        <v>1168.3454589999999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1097.0684639999999</v>
      </c>
      <c r="B1924" s="1">
        <f>DATE(2013,5,2) + TIME(1,38,35)</f>
        <v>41396.068460648145</v>
      </c>
      <c r="C1924">
        <v>80</v>
      </c>
      <c r="D1924">
        <v>78.837379455999994</v>
      </c>
      <c r="E1924">
        <v>50</v>
      </c>
      <c r="F1924">
        <v>49.863922119000001</v>
      </c>
      <c r="G1924">
        <v>1477.6960449000001</v>
      </c>
      <c r="H1924">
        <v>1444.6325684000001</v>
      </c>
      <c r="I1924">
        <v>1216.3095702999999</v>
      </c>
      <c r="J1924">
        <v>1168.3382568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1097.125438</v>
      </c>
      <c r="B1925" s="1">
        <f>DATE(2013,5,2) + TIME(3,0,37)</f>
        <v>41396.125428240739</v>
      </c>
      <c r="C1925">
        <v>80</v>
      </c>
      <c r="D1925">
        <v>79.010612488000007</v>
      </c>
      <c r="E1925">
        <v>50</v>
      </c>
      <c r="F1925">
        <v>49.859310149999999</v>
      </c>
      <c r="G1925">
        <v>1477.40625</v>
      </c>
      <c r="H1925">
        <v>1444.4229736</v>
      </c>
      <c r="I1925">
        <v>1216.3039550999999</v>
      </c>
      <c r="J1925">
        <v>1168.3306885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1097.184845</v>
      </c>
      <c r="B1926" s="1">
        <f>DATE(2013,5,2) + TIME(4,26,10)</f>
        <v>41396.184837962966</v>
      </c>
      <c r="C1926">
        <v>80</v>
      </c>
      <c r="D1926">
        <v>79.162673949999999</v>
      </c>
      <c r="E1926">
        <v>50</v>
      </c>
      <c r="F1926">
        <v>49.854530334000003</v>
      </c>
      <c r="G1926">
        <v>1477.1278076000001</v>
      </c>
      <c r="H1926">
        <v>1444.2163086</v>
      </c>
      <c r="I1926">
        <v>1216.2979736</v>
      </c>
      <c r="J1926">
        <v>1168.322876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1097.247026</v>
      </c>
      <c r="B1927" s="1">
        <f>DATE(2013,5,2) + TIME(5,55,43)</f>
        <v>41396.247025462966</v>
      </c>
      <c r="C1927">
        <v>80</v>
      </c>
      <c r="D1927">
        <v>79.295707703000005</v>
      </c>
      <c r="E1927">
        <v>50</v>
      </c>
      <c r="F1927">
        <v>49.849555969000001</v>
      </c>
      <c r="G1927">
        <v>1476.8588867000001</v>
      </c>
      <c r="H1927">
        <v>1444.0117187999999</v>
      </c>
      <c r="I1927">
        <v>1216.2918701000001</v>
      </c>
      <c r="J1927">
        <v>1168.3148193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1097.312369</v>
      </c>
      <c r="B1928" s="1">
        <f>DATE(2013,5,2) + TIME(7,29,48)</f>
        <v>41396.312361111108</v>
      </c>
      <c r="C1928">
        <v>80</v>
      </c>
      <c r="D1928">
        <v>79.411598205999994</v>
      </c>
      <c r="E1928">
        <v>50</v>
      </c>
      <c r="F1928">
        <v>49.844367980999998</v>
      </c>
      <c r="G1928">
        <v>1476.5977783000001</v>
      </c>
      <c r="H1928">
        <v>1443.8081055</v>
      </c>
      <c r="I1928">
        <v>1216.2854004000001</v>
      </c>
      <c r="J1928">
        <v>1168.3062743999999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1097.3813339999999</v>
      </c>
      <c r="B1929" s="1">
        <f>DATE(2013,5,2) + TIME(9,9,7)</f>
        <v>41396.381331018521</v>
      </c>
      <c r="C1929">
        <v>80</v>
      </c>
      <c r="D1929">
        <v>79.512062072999996</v>
      </c>
      <c r="E1929">
        <v>50</v>
      </c>
      <c r="F1929">
        <v>49.838928223000003</v>
      </c>
      <c r="G1929">
        <v>1476.3426514</v>
      </c>
      <c r="H1929">
        <v>1443.6044922000001</v>
      </c>
      <c r="I1929">
        <v>1216.2786865</v>
      </c>
      <c r="J1929">
        <v>1168.2973632999999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1097.4544169999999</v>
      </c>
      <c r="B1930" s="1">
        <f>DATE(2013,5,2) + TIME(10,54,21)</f>
        <v>41396.454409722224</v>
      </c>
      <c r="C1930">
        <v>80</v>
      </c>
      <c r="D1930">
        <v>79.598602295000006</v>
      </c>
      <c r="E1930">
        <v>50</v>
      </c>
      <c r="F1930">
        <v>49.833206177000001</v>
      </c>
      <c r="G1930">
        <v>1476.0920410000001</v>
      </c>
      <c r="H1930">
        <v>1443.4000243999999</v>
      </c>
      <c r="I1930">
        <v>1216.2714844</v>
      </c>
      <c r="J1930">
        <v>1168.2878418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1097.5313389999999</v>
      </c>
      <c r="B1931" s="1">
        <f>DATE(2013,5,2) + TIME(12,45,7)</f>
        <v>41396.531331018516</v>
      </c>
      <c r="C1931">
        <v>80</v>
      </c>
      <c r="D1931">
        <v>79.671943665000001</v>
      </c>
      <c r="E1931">
        <v>50</v>
      </c>
      <c r="F1931">
        <v>49.827217101999999</v>
      </c>
      <c r="G1931">
        <v>1475.8447266000001</v>
      </c>
      <c r="H1931">
        <v>1443.1939697</v>
      </c>
      <c r="I1931">
        <v>1216.2637939000001</v>
      </c>
      <c r="J1931">
        <v>1168.2779541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1097.612705</v>
      </c>
      <c r="B1932" s="1">
        <f>DATE(2013,5,2) + TIME(14,42,17)</f>
        <v>41396.612696759257</v>
      </c>
      <c r="C1932">
        <v>80</v>
      </c>
      <c r="D1932">
        <v>79.733734131000006</v>
      </c>
      <c r="E1932">
        <v>50</v>
      </c>
      <c r="F1932">
        <v>49.820922852000002</v>
      </c>
      <c r="G1932">
        <v>1475.6011963000001</v>
      </c>
      <c r="H1932">
        <v>1442.9871826000001</v>
      </c>
      <c r="I1932">
        <v>1216.2558594</v>
      </c>
      <c r="J1932">
        <v>1168.2673339999999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1097.699181</v>
      </c>
      <c r="B1933" s="1">
        <f>DATE(2013,5,2) + TIME(16,46,49)</f>
        <v>41396.699178240742</v>
      </c>
      <c r="C1933">
        <v>80</v>
      </c>
      <c r="D1933">
        <v>79.785400390999996</v>
      </c>
      <c r="E1933">
        <v>50</v>
      </c>
      <c r="F1933">
        <v>49.814277648999997</v>
      </c>
      <c r="G1933">
        <v>1475.3597411999999</v>
      </c>
      <c r="H1933">
        <v>1442.7785644999999</v>
      </c>
      <c r="I1933">
        <v>1216.2473144999999</v>
      </c>
      <c r="J1933">
        <v>1168.2562256000001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1097.791565</v>
      </c>
      <c r="B1934" s="1">
        <f>DATE(2013,5,2) + TIME(18,59,51)</f>
        <v>41396.791562500002</v>
      </c>
      <c r="C1934">
        <v>80</v>
      </c>
      <c r="D1934">
        <v>79.828216553000004</v>
      </c>
      <c r="E1934">
        <v>50</v>
      </c>
      <c r="F1934">
        <v>49.807231903000002</v>
      </c>
      <c r="G1934">
        <v>1475.1186522999999</v>
      </c>
      <c r="H1934">
        <v>1442.5672606999999</v>
      </c>
      <c r="I1934">
        <v>1216.2382812000001</v>
      </c>
      <c r="J1934">
        <v>1168.2443848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1097.8883249999999</v>
      </c>
      <c r="B1935" s="1">
        <f>DATE(2013,5,2) + TIME(21,19,11)</f>
        <v>41396.888321759259</v>
      </c>
      <c r="C1935">
        <v>80</v>
      </c>
      <c r="D1935">
        <v>79.862670898000005</v>
      </c>
      <c r="E1935">
        <v>50</v>
      </c>
      <c r="F1935">
        <v>49.799869536999999</v>
      </c>
      <c r="G1935">
        <v>1474.8767089999999</v>
      </c>
      <c r="H1935">
        <v>1442.3520507999999</v>
      </c>
      <c r="I1935">
        <v>1216.2286377</v>
      </c>
      <c r="J1935">
        <v>1168.2318115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1097.9854640000001</v>
      </c>
      <c r="B1936" s="1">
        <f>DATE(2013,5,2) + TIME(23,39,4)</f>
        <v>41396.985462962963</v>
      </c>
      <c r="C1936">
        <v>80</v>
      </c>
      <c r="D1936">
        <v>79.889228821000003</v>
      </c>
      <c r="E1936">
        <v>50</v>
      </c>
      <c r="F1936">
        <v>49.792423247999999</v>
      </c>
      <c r="G1936">
        <v>1474.6383057</v>
      </c>
      <c r="H1936">
        <v>1442.137207</v>
      </c>
      <c r="I1936">
        <v>1216.2185059000001</v>
      </c>
      <c r="J1936">
        <v>1168.21875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1098.0834649999999</v>
      </c>
      <c r="B1937" s="1">
        <f>DATE(2013,5,3) + TIME(2,0,11)</f>
        <v>41397.083460648151</v>
      </c>
      <c r="C1937">
        <v>80</v>
      </c>
      <c r="D1937">
        <v>79.909774780000006</v>
      </c>
      <c r="E1937">
        <v>50</v>
      </c>
      <c r="F1937">
        <v>49.784885406000001</v>
      </c>
      <c r="G1937">
        <v>1474.4111327999999</v>
      </c>
      <c r="H1937">
        <v>1441.9309082</v>
      </c>
      <c r="I1937">
        <v>1216.2082519999999</v>
      </c>
      <c r="J1937">
        <v>1168.2055664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1098.1827820000001</v>
      </c>
      <c r="B1938" s="1">
        <f>DATE(2013,5,3) + TIME(4,23,12)</f>
        <v>41397.18277777778</v>
      </c>
      <c r="C1938">
        <v>80</v>
      </c>
      <c r="D1938">
        <v>79.925712584999999</v>
      </c>
      <c r="E1938">
        <v>50</v>
      </c>
      <c r="F1938">
        <v>49.777236938000001</v>
      </c>
      <c r="G1938">
        <v>1474.1931152</v>
      </c>
      <c r="H1938">
        <v>1441.7314452999999</v>
      </c>
      <c r="I1938">
        <v>1216.1979980000001</v>
      </c>
      <c r="J1938">
        <v>1168.1922606999999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1098.2838489999999</v>
      </c>
      <c r="B1939" s="1">
        <f>DATE(2013,5,3) + TIME(6,48,44)</f>
        <v>41397.283842592595</v>
      </c>
      <c r="C1939">
        <v>80</v>
      </c>
      <c r="D1939">
        <v>79.938087463000002</v>
      </c>
      <c r="E1939">
        <v>50</v>
      </c>
      <c r="F1939">
        <v>49.769458770999996</v>
      </c>
      <c r="G1939">
        <v>1473.9822998</v>
      </c>
      <c r="H1939">
        <v>1441.5374756000001</v>
      </c>
      <c r="I1939">
        <v>1216.1875</v>
      </c>
      <c r="J1939">
        <v>1168.1787108999999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1098.38714</v>
      </c>
      <c r="B1940" s="1">
        <f>DATE(2013,5,3) + TIME(9,17,28)</f>
        <v>41397.387129629627</v>
      </c>
      <c r="C1940">
        <v>80</v>
      </c>
      <c r="D1940">
        <v>79.947700499999996</v>
      </c>
      <c r="E1940">
        <v>50</v>
      </c>
      <c r="F1940">
        <v>49.761528015000003</v>
      </c>
      <c r="G1940">
        <v>1473.7769774999999</v>
      </c>
      <c r="H1940">
        <v>1441.3477783000001</v>
      </c>
      <c r="I1940">
        <v>1216.1768798999999</v>
      </c>
      <c r="J1940">
        <v>1168.1649170000001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1098.4931140000001</v>
      </c>
      <c r="B1941" s="1">
        <f>DATE(2013,5,3) + TIME(11,50,5)</f>
        <v>41397.493113425924</v>
      </c>
      <c r="C1941">
        <v>80</v>
      </c>
      <c r="D1941">
        <v>79.955162048000005</v>
      </c>
      <c r="E1941">
        <v>50</v>
      </c>
      <c r="F1941">
        <v>49.753414153999998</v>
      </c>
      <c r="G1941">
        <v>1473.5758057</v>
      </c>
      <c r="H1941">
        <v>1441.1611327999999</v>
      </c>
      <c r="I1941">
        <v>1216.1660156</v>
      </c>
      <c r="J1941">
        <v>1168.1508789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1098.6021659999999</v>
      </c>
      <c r="B1942" s="1">
        <f>DATE(2013,5,3) + TIME(14,27,7)</f>
        <v>41397.602164351854</v>
      </c>
      <c r="C1942">
        <v>80</v>
      </c>
      <c r="D1942">
        <v>79.9609375</v>
      </c>
      <c r="E1942">
        <v>50</v>
      </c>
      <c r="F1942">
        <v>49.745098114000001</v>
      </c>
      <c r="G1942">
        <v>1473.3776855000001</v>
      </c>
      <c r="H1942">
        <v>1440.9768065999999</v>
      </c>
      <c r="I1942">
        <v>1216.1549072</v>
      </c>
      <c r="J1942">
        <v>1168.1363524999999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1098.7142839999999</v>
      </c>
      <c r="B1943" s="1">
        <f>DATE(2013,5,3) + TIME(17,8,34)</f>
        <v>41397.714282407411</v>
      </c>
      <c r="C1943">
        <v>80</v>
      </c>
      <c r="D1943">
        <v>79.965385436999995</v>
      </c>
      <c r="E1943">
        <v>50</v>
      </c>
      <c r="F1943">
        <v>49.736572266000003</v>
      </c>
      <c r="G1943">
        <v>1473.1817627</v>
      </c>
      <c r="H1943">
        <v>1440.7939452999999</v>
      </c>
      <c r="I1943">
        <v>1216.1434326000001</v>
      </c>
      <c r="J1943">
        <v>1168.121582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1098.8299480000001</v>
      </c>
      <c r="B1944" s="1">
        <f>DATE(2013,5,3) + TIME(19,55,7)</f>
        <v>41397.829942129632</v>
      </c>
      <c r="C1944">
        <v>80</v>
      </c>
      <c r="D1944">
        <v>79.968811035000002</v>
      </c>
      <c r="E1944">
        <v>50</v>
      </c>
      <c r="F1944">
        <v>49.727813720999997</v>
      </c>
      <c r="G1944">
        <v>1472.987793</v>
      </c>
      <c r="H1944">
        <v>1440.6125488</v>
      </c>
      <c r="I1944">
        <v>1216.1315918</v>
      </c>
      <c r="J1944">
        <v>1168.1063231999999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1098.9497080000001</v>
      </c>
      <c r="B1945" s="1">
        <f>DATE(2013,5,3) + TIME(22,47,34)</f>
        <v>41397.949699074074</v>
      </c>
      <c r="C1945">
        <v>80</v>
      </c>
      <c r="D1945">
        <v>79.971435546999999</v>
      </c>
      <c r="E1945">
        <v>50</v>
      </c>
      <c r="F1945">
        <v>49.718784331999998</v>
      </c>
      <c r="G1945">
        <v>1472.7950439000001</v>
      </c>
      <c r="H1945">
        <v>1440.4321289</v>
      </c>
      <c r="I1945">
        <v>1216.1195068</v>
      </c>
      <c r="J1945">
        <v>1168.0904541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1099.0741849999999</v>
      </c>
      <c r="B1946" s="1">
        <f>DATE(2013,5,4) + TIME(1,46,49)</f>
        <v>41398.074178240742</v>
      </c>
      <c r="C1946">
        <v>80</v>
      </c>
      <c r="D1946">
        <v>79.973442078000005</v>
      </c>
      <c r="E1946">
        <v>50</v>
      </c>
      <c r="F1946">
        <v>49.709449767999999</v>
      </c>
      <c r="G1946">
        <v>1472.6025391000001</v>
      </c>
      <c r="H1946">
        <v>1440.2517089999999</v>
      </c>
      <c r="I1946">
        <v>1216.1069336</v>
      </c>
      <c r="J1946">
        <v>1168.0742187999999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1099.2040830000001</v>
      </c>
      <c r="B1947" s="1">
        <f>DATE(2013,5,4) + TIME(4,53,52)</f>
        <v>41398.204074074078</v>
      </c>
      <c r="C1947">
        <v>80</v>
      </c>
      <c r="D1947">
        <v>79.974975585999999</v>
      </c>
      <c r="E1947">
        <v>50</v>
      </c>
      <c r="F1947">
        <v>49.699760437000002</v>
      </c>
      <c r="G1947">
        <v>1472.409668</v>
      </c>
      <c r="H1947">
        <v>1440.0705565999999</v>
      </c>
      <c r="I1947">
        <v>1216.0938721</v>
      </c>
      <c r="J1947">
        <v>1168.057251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1099.340218</v>
      </c>
      <c r="B1948" s="1">
        <f>DATE(2013,5,4) + TIME(8,9,54)</f>
        <v>41398.340208333335</v>
      </c>
      <c r="C1948">
        <v>80</v>
      </c>
      <c r="D1948">
        <v>79.976150512999993</v>
      </c>
      <c r="E1948">
        <v>50</v>
      </c>
      <c r="F1948">
        <v>49.689662933000001</v>
      </c>
      <c r="G1948">
        <v>1472.2154541</v>
      </c>
      <c r="H1948">
        <v>1439.8881836</v>
      </c>
      <c r="I1948">
        <v>1216.0802002</v>
      </c>
      <c r="J1948">
        <v>1168.0395507999999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1099.4835849999999</v>
      </c>
      <c r="B1949" s="1">
        <f>DATE(2013,5,4) + TIME(11,36,21)</f>
        <v>41398.483576388891</v>
      </c>
      <c r="C1949">
        <v>80</v>
      </c>
      <c r="D1949">
        <v>79.977043151999993</v>
      </c>
      <c r="E1949">
        <v>50</v>
      </c>
      <c r="F1949">
        <v>49.679100036999998</v>
      </c>
      <c r="G1949">
        <v>1472.0189209</v>
      </c>
      <c r="H1949">
        <v>1439.7036132999999</v>
      </c>
      <c r="I1949">
        <v>1216.065918</v>
      </c>
      <c r="J1949">
        <v>1168.020874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1099.6349990000001</v>
      </c>
      <c r="B1950" s="1">
        <f>DATE(2013,5,4) + TIME(15,14,23)</f>
        <v>41398.634988425925</v>
      </c>
      <c r="C1950">
        <v>80</v>
      </c>
      <c r="D1950">
        <v>79.977714539000004</v>
      </c>
      <c r="E1950">
        <v>50</v>
      </c>
      <c r="F1950">
        <v>49.668014526</v>
      </c>
      <c r="G1950">
        <v>1471.8194579999999</v>
      </c>
      <c r="H1950">
        <v>1439.5158690999999</v>
      </c>
      <c r="I1950">
        <v>1216.0507812000001</v>
      </c>
      <c r="J1950">
        <v>1168.0013428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1099.791657</v>
      </c>
      <c r="B1951" s="1">
        <f>DATE(2013,5,4) + TIME(18,59,59)</f>
        <v>41398.791655092595</v>
      </c>
      <c r="C1951">
        <v>80</v>
      </c>
      <c r="D1951">
        <v>79.978218079000001</v>
      </c>
      <c r="E1951">
        <v>50</v>
      </c>
      <c r="F1951">
        <v>49.656524658000002</v>
      </c>
      <c r="G1951">
        <v>1471.6162108999999</v>
      </c>
      <c r="H1951">
        <v>1439.3245850000001</v>
      </c>
      <c r="I1951">
        <v>1216.0347899999999</v>
      </c>
      <c r="J1951">
        <v>1167.9808350000001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1099.9490470000001</v>
      </c>
      <c r="B1952" s="1">
        <f>DATE(2013,5,4) + TIME(22,46,37)</f>
        <v>41398.94903935185</v>
      </c>
      <c r="C1952">
        <v>80</v>
      </c>
      <c r="D1952">
        <v>79.978584290000001</v>
      </c>
      <c r="E1952">
        <v>50</v>
      </c>
      <c r="F1952">
        <v>49.644870758000003</v>
      </c>
      <c r="G1952">
        <v>1471.4133300999999</v>
      </c>
      <c r="H1952">
        <v>1439.1336670000001</v>
      </c>
      <c r="I1952">
        <v>1216.0183105000001</v>
      </c>
      <c r="J1952">
        <v>1167.9597168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1100.1079110000001</v>
      </c>
      <c r="B1953" s="1">
        <f>DATE(2013,5,5) + TIME(2,35,23)</f>
        <v>41399.107905092591</v>
      </c>
      <c r="C1953">
        <v>80</v>
      </c>
      <c r="D1953">
        <v>79.978851317999997</v>
      </c>
      <c r="E1953">
        <v>50</v>
      </c>
      <c r="F1953">
        <v>49.633049010999997</v>
      </c>
      <c r="G1953">
        <v>1471.2165527</v>
      </c>
      <c r="H1953">
        <v>1438.9484863</v>
      </c>
      <c r="I1953">
        <v>1216.0017089999999</v>
      </c>
      <c r="J1953">
        <v>1167.9383545000001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1100.268957</v>
      </c>
      <c r="B1954" s="1">
        <f>DATE(2013,5,5) + TIME(6,27,17)</f>
        <v>41399.268946759257</v>
      </c>
      <c r="C1954">
        <v>80</v>
      </c>
      <c r="D1954">
        <v>79.979057311999995</v>
      </c>
      <c r="E1954">
        <v>50</v>
      </c>
      <c r="F1954">
        <v>49.621055603000002</v>
      </c>
      <c r="G1954">
        <v>1471.0247803</v>
      </c>
      <c r="H1954">
        <v>1438.7677002</v>
      </c>
      <c r="I1954">
        <v>1215.9849853999999</v>
      </c>
      <c r="J1954">
        <v>1167.9167480000001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1100.4329190000001</v>
      </c>
      <c r="B1955" s="1">
        <f>DATE(2013,5,5) + TIME(10,23,24)</f>
        <v>41399.432916666665</v>
      </c>
      <c r="C1955">
        <v>80</v>
      </c>
      <c r="D1955">
        <v>79.979209900000001</v>
      </c>
      <c r="E1955">
        <v>50</v>
      </c>
      <c r="F1955">
        <v>49.608856201000002</v>
      </c>
      <c r="G1955">
        <v>1470.8366699000001</v>
      </c>
      <c r="H1955">
        <v>1438.5904541</v>
      </c>
      <c r="I1955">
        <v>1215.9678954999999</v>
      </c>
      <c r="J1955">
        <v>1167.8947754000001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1100.6005729999999</v>
      </c>
      <c r="B1956" s="1">
        <f>DATE(2013,5,5) + TIME(14,24,49)</f>
        <v>41399.60056712963</v>
      </c>
      <c r="C1956">
        <v>80</v>
      </c>
      <c r="D1956">
        <v>79.979331970000004</v>
      </c>
      <c r="E1956">
        <v>50</v>
      </c>
      <c r="F1956">
        <v>49.596420287999997</v>
      </c>
      <c r="G1956">
        <v>1470.6512451000001</v>
      </c>
      <c r="H1956">
        <v>1438.4156493999999</v>
      </c>
      <c r="I1956">
        <v>1215.9506836</v>
      </c>
      <c r="J1956">
        <v>1167.8724365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1100.7720429999999</v>
      </c>
      <c r="B1957" s="1">
        <f>DATE(2013,5,5) + TIME(18,31,44)</f>
        <v>41399.772037037037</v>
      </c>
      <c r="C1957">
        <v>80</v>
      </c>
      <c r="D1957">
        <v>79.979423522999994</v>
      </c>
      <c r="E1957">
        <v>50</v>
      </c>
      <c r="F1957">
        <v>49.583732605000002</v>
      </c>
      <c r="G1957">
        <v>1470.4676514</v>
      </c>
      <c r="H1957">
        <v>1438.2424315999999</v>
      </c>
      <c r="I1957">
        <v>1215.9329834</v>
      </c>
      <c r="J1957">
        <v>1167.8496094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1100.9472370000001</v>
      </c>
      <c r="B1958" s="1">
        <f>DATE(2013,5,5) + TIME(22,44,1)</f>
        <v>41399.947233796294</v>
      </c>
      <c r="C1958">
        <v>80</v>
      </c>
      <c r="D1958">
        <v>79.979492187999995</v>
      </c>
      <c r="E1958">
        <v>50</v>
      </c>
      <c r="F1958">
        <v>49.570796967</v>
      </c>
      <c r="G1958">
        <v>1470.2856445</v>
      </c>
      <c r="H1958">
        <v>1438.0706786999999</v>
      </c>
      <c r="I1958">
        <v>1215.9149170000001</v>
      </c>
      <c r="J1958">
        <v>1167.8262939000001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1101.1268669999999</v>
      </c>
      <c r="B1959" s="1">
        <f>DATE(2013,5,6) + TIME(3,2,41)</f>
        <v>41400.126863425925</v>
      </c>
      <c r="C1959">
        <v>80</v>
      </c>
      <c r="D1959">
        <v>79.979553222999996</v>
      </c>
      <c r="E1959">
        <v>50</v>
      </c>
      <c r="F1959">
        <v>49.557571410999998</v>
      </c>
      <c r="G1959">
        <v>1470.1052245999999</v>
      </c>
      <c r="H1959">
        <v>1437.9005127</v>
      </c>
      <c r="I1959">
        <v>1215.8963623</v>
      </c>
      <c r="J1959">
        <v>1167.8024902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1101.311704</v>
      </c>
      <c r="B1960" s="1">
        <f>DATE(2013,5,6) + TIME(7,28,51)</f>
        <v>41400.311701388891</v>
      </c>
      <c r="C1960">
        <v>80</v>
      </c>
      <c r="D1960">
        <v>79.979598999000004</v>
      </c>
      <c r="E1960">
        <v>50</v>
      </c>
      <c r="F1960">
        <v>49.544017791999998</v>
      </c>
      <c r="G1960">
        <v>1469.9257812000001</v>
      </c>
      <c r="H1960">
        <v>1437.7310791</v>
      </c>
      <c r="I1960">
        <v>1215.8774414</v>
      </c>
      <c r="J1960">
        <v>1167.7779541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1101.50263</v>
      </c>
      <c r="B1961" s="1">
        <f>DATE(2013,5,6) + TIME(12,3,47)</f>
        <v>41400.502627314818</v>
      </c>
      <c r="C1961">
        <v>80</v>
      </c>
      <c r="D1961">
        <v>79.979629517000006</v>
      </c>
      <c r="E1961">
        <v>50</v>
      </c>
      <c r="F1961">
        <v>49.530078887999998</v>
      </c>
      <c r="G1961">
        <v>1469.746582</v>
      </c>
      <c r="H1961">
        <v>1437.5617675999999</v>
      </c>
      <c r="I1961">
        <v>1215.8579102000001</v>
      </c>
      <c r="J1961">
        <v>1167.7528076000001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1101.7006389999999</v>
      </c>
      <c r="B1962" s="1">
        <f>DATE(2013,5,6) + TIME(16,48,55)</f>
        <v>41400.700636574074</v>
      </c>
      <c r="C1962">
        <v>80</v>
      </c>
      <c r="D1962">
        <v>79.979660034000005</v>
      </c>
      <c r="E1962">
        <v>50</v>
      </c>
      <c r="F1962">
        <v>49.515693665000001</v>
      </c>
      <c r="G1962">
        <v>1469.5667725000001</v>
      </c>
      <c r="H1962">
        <v>1437.3919678</v>
      </c>
      <c r="I1962">
        <v>1215.8377685999999</v>
      </c>
      <c r="J1962">
        <v>1167.7268065999999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1101.9068440000001</v>
      </c>
      <c r="B1963" s="1">
        <f>DATE(2013,5,6) + TIME(21,45,51)</f>
        <v>41400.906840277778</v>
      </c>
      <c r="C1963">
        <v>80</v>
      </c>
      <c r="D1963">
        <v>79.979682921999995</v>
      </c>
      <c r="E1963">
        <v>50</v>
      </c>
      <c r="F1963">
        <v>49.500797272</v>
      </c>
      <c r="G1963">
        <v>1469.3858643000001</v>
      </c>
      <c r="H1963">
        <v>1437.2209473</v>
      </c>
      <c r="I1963">
        <v>1215.8167725000001</v>
      </c>
      <c r="J1963">
        <v>1167.699707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1102.122079</v>
      </c>
      <c r="B1964" s="1">
        <f>DATE(2013,5,7) + TIME(2,55,47)</f>
        <v>41401.122071759259</v>
      </c>
      <c r="C1964">
        <v>80</v>
      </c>
      <c r="D1964">
        <v>79.979705811000002</v>
      </c>
      <c r="E1964">
        <v>50</v>
      </c>
      <c r="F1964">
        <v>49.485324859999999</v>
      </c>
      <c r="G1964">
        <v>1469.2028809000001</v>
      </c>
      <c r="H1964">
        <v>1437.0478516000001</v>
      </c>
      <c r="I1964">
        <v>1215.7950439000001</v>
      </c>
      <c r="J1964">
        <v>1167.6716309000001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1102.3383369999999</v>
      </c>
      <c r="B1965" s="1">
        <f>DATE(2013,5,7) + TIME(8,7,12)</f>
        <v>41401.338333333333</v>
      </c>
      <c r="C1965">
        <v>80</v>
      </c>
      <c r="D1965">
        <v>79.979713439999998</v>
      </c>
      <c r="E1965">
        <v>50</v>
      </c>
      <c r="F1965">
        <v>49.469596863</v>
      </c>
      <c r="G1965">
        <v>1469.0174560999999</v>
      </c>
      <c r="H1965">
        <v>1436.8724365</v>
      </c>
      <c r="I1965">
        <v>1215.7722168</v>
      </c>
      <c r="J1965">
        <v>1167.6424560999999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1102.556607</v>
      </c>
      <c r="B1966" s="1">
        <f>DATE(2013,5,7) + TIME(13,21,30)</f>
        <v>41401.556597222225</v>
      </c>
      <c r="C1966">
        <v>80</v>
      </c>
      <c r="D1966">
        <v>79.979728699000006</v>
      </c>
      <c r="E1966">
        <v>50</v>
      </c>
      <c r="F1966">
        <v>49.453659058</v>
      </c>
      <c r="G1966">
        <v>1468.8365478999999</v>
      </c>
      <c r="H1966">
        <v>1436.7011719</v>
      </c>
      <c r="I1966">
        <v>1215.7493896000001</v>
      </c>
      <c r="J1966">
        <v>1167.6130370999999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1102.7778820000001</v>
      </c>
      <c r="B1967" s="1">
        <f>DATE(2013,5,7) + TIME(18,40,9)</f>
        <v>41401.777881944443</v>
      </c>
      <c r="C1967">
        <v>80</v>
      </c>
      <c r="D1967">
        <v>79.979736328000001</v>
      </c>
      <c r="E1967">
        <v>50</v>
      </c>
      <c r="F1967">
        <v>49.437492370999998</v>
      </c>
      <c r="G1967">
        <v>1468.6590576000001</v>
      </c>
      <c r="H1967">
        <v>1436.5330810999999</v>
      </c>
      <c r="I1967">
        <v>1215.7261963000001</v>
      </c>
      <c r="J1967">
        <v>1167.5832519999999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1103.003226</v>
      </c>
      <c r="B1968" s="1">
        <f>DATE(2013,5,8) + TIME(0,4,38)</f>
        <v>41402.003217592595</v>
      </c>
      <c r="C1968">
        <v>80</v>
      </c>
      <c r="D1968">
        <v>79.979743958</v>
      </c>
      <c r="E1968">
        <v>50</v>
      </c>
      <c r="F1968">
        <v>49.421070098999998</v>
      </c>
      <c r="G1968">
        <v>1468.4840088000001</v>
      </c>
      <c r="H1968">
        <v>1436.3671875</v>
      </c>
      <c r="I1968">
        <v>1215.7028809000001</v>
      </c>
      <c r="J1968">
        <v>1167.5531006000001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1103.2335479999999</v>
      </c>
      <c r="B1969" s="1">
        <f>DATE(2013,5,8) + TIME(5,36,18)</f>
        <v>41402.233541666668</v>
      </c>
      <c r="C1969">
        <v>80</v>
      </c>
      <c r="D1969">
        <v>79.979743958</v>
      </c>
      <c r="E1969">
        <v>50</v>
      </c>
      <c r="F1969">
        <v>49.404342651</v>
      </c>
      <c r="G1969">
        <v>1468.3106689000001</v>
      </c>
      <c r="H1969">
        <v>1436.2028809000001</v>
      </c>
      <c r="I1969">
        <v>1215.6789550999999</v>
      </c>
      <c r="J1969">
        <v>1167.5223389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1103.4699370000001</v>
      </c>
      <c r="B1970" s="1">
        <f>DATE(2013,5,8) + TIME(11,16,42)</f>
        <v>41402.469930555555</v>
      </c>
      <c r="C1970">
        <v>80</v>
      </c>
      <c r="D1970">
        <v>79.979751586999996</v>
      </c>
      <c r="E1970">
        <v>50</v>
      </c>
      <c r="F1970">
        <v>49.387252808</v>
      </c>
      <c r="G1970">
        <v>1468.1380615</v>
      </c>
      <c r="H1970">
        <v>1436.0391846</v>
      </c>
      <c r="I1970">
        <v>1215.6545410000001</v>
      </c>
      <c r="J1970">
        <v>1167.4908447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1103.7121030000001</v>
      </c>
      <c r="B1971" s="1">
        <f>DATE(2013,5,8) + TIME(17,5,25)</f>
        <v>41402.712094907409</v>
      </c>
      <c r="C1971">
        <v>80</v>
      </c>
      <c r="D1971">
        <v>79.979751586999996</v>
      </c>
      <c r="E1971">
        <v>50</v>
      </c>
      <c r="F1971">
        <v>49.369792938000003</v>
      </c>
      <c r="G1971">
        <v>1467.9656981999999</v>
      </c>
      <c r="H1971">
        <v>1435.8754882999999</v>
      </c>
      <c r="I1971">
        <v>1215.6295166</v>
      </c>
      <c r="J1971">
        <v>1167.4586182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1103.9596200000001</v>
      </c>
      <c r="B1972" s="1">
        <f>DATE(2013,5,8) + TIME(23,1,51)</f>
        <v>41402.959618055553</v>
      </c>
      <c r="C1972">
        <v>80</v>
      </c>
      <c r="D1972">
        <v>79.979759216000005</v>
      </c>
      <c r="E1972">
        <v>50</v>
      </c>
      <c r="F1972">
        <v>49.351970672999997</v>
      </c>
      <c r="G1972">
        <v>1467.7935791</v>
      </c>
      <c r="H1972">
        <v>1435.7120361</v>
      </c>
      <c r="I1972">
        <v>1215.6038818</v>
      </c>
      <c r="J1972">
        <v>1167.4255370999999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1104.213536</v>
      </c>
      <c r="B1973" s="1">
        <f>DATE(2013,5,9) + TIME(5,7,29)</f>
        <v>41403.213530092595</v>
      </c>
      <c r="C1973">
        <v>80</v>
      </c>
      <c r="D1973">
        <v>79.979759216000005</v>
      </c>
      <c r="E1973">
        <v>50</v>
      </c>
      <c r="F1973">
        <v>49.333744049000003</v>
      </c>
      <c r="G1973">
        <v>1467.6221923999999</v>
      </c>
      <c r="H1973">
        <v>1435.5491943</v>
      </c>
      <c r="I1973">
        <v>1215.5776367000001</v>
      </c>
      <c r="J1973">
        <v>1167.3918457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1104.4750449999999</v>
      </c>
      <c r="B1974" s="1">
        <f>DATE(2013,5,9) + TIME(11,24,3)</f>
        <v>41403.475034722222</v>
      </c>
      <c r="C1974">
        <v>80</v>
      </c>
      <c r="D1974">
        <v>79.979759216000005</v>
      </c>
      <c r="E1974">
        <v>50</v>
      </c>
      <c r="F1974">
        <v>49.315055846999996</v>
      </c>
      <c r="G1974">
        <v>1467.4508057</v>
      </c>
      <c r="H1974">
        <v>1435.3863524999999</v>
      </c>
      <c r="I1974">
        <v>1215.5507812000001</v>
      </c>
      <c r="J1974">
        <v>1167.3570557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1104.7454789999999</v>
      </c>
      <c r="B1975" s="1">
        <f>DATE(2013,5,9) + TIME(17,53,29)</f>
        <v>41403.745474537034</v>
      </c>
      <c r="C1975">
        <v>80</v>
      </c>
      <c r="D1975">
        <v>79.979759216000005</v>
      </c>
      <c r="E1975">
        <v>50</v>
      </c>
      <c r="F1975">
        <v>49.295829773000001</v>
      </c>
      <c r="G1975">
        <v>1467.2788086</v>
      </c>
      <c r="H1975">
        <v>1435.2227783000001</v>
      </c>
      <c r="I1975">
        <v>1215.5230713000001</v>
      </c>
      <c r="J1975">
        <v>1167.3212891000001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1105.026329</v>
      </c>
      <c r="B1976" s="1">
        <f>DATE(2013,5,10) + TIME(0,37,54)</f>
        <v>41404.026319444441</v>
      </c>
      <c r="C1976">
        <v>80</v>
      </c>
      <c r="D1976">
        <v>79.979766846000004</v>
      </c>
      <c r="E1976">
        <v>50</v>
      </c>
      <c r="F1976">
        <v>49.275978088000002</v>
      </c>
      <c r="G1976">
        <v>1467.1053466999999</v>
      </c>
      <c r="H1976">
        <v>1435.0577393000001</v>
      </c>
      <c r="I1976">
        <v>1215.4943848</v>
      </c>
      <c r="J1976">
        <v>1167.2844238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1105.312893</v>
      </c>
      <c r="B1977" s="1">
        <f>DATE(2013,5,10) + TIME(7,30,33)</f>
        <v>41404.312881944446</v>
      </c>
      <c r="C1977">
        <v>80</v>
      </c>
      <c r="D1977">
        <v>79.979766846000004</v>
      </c>
      <c r="E1977">
        <v>50</v>
      </c>
      <c r="F1977">
        <v>49.255641937</v>
      </c>
      <c r="G1977">
        <v>1466.9298096</v>
      </c>
      <c r="H1977">
        <v>1434.890625</v>
      </c>
      <c r="I1977">
        <v>1215.4644774999999</v>
      </c>
      <c r="J1977">
        <v>1167.2460937999999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1105.6020040000001</v>
      </c>
      <c r="B1978" s="1">
        <f>DATE(2013,5,10) + TIME(14,26,53)</f>
        <v>41404.602002314816</v>
      </c>
      <c r="C1978">
        <v>80</v>
      </c>
      <c r="D1978">
        <v>79.979766846000004</v>
      </c>
      <c r="E1978">
        <v>50</v>
      </c>
      <c r="F1978">
        <v>49.234992980999998</v>
      </c>
      <c r="G1978">
        <v>1466.755249</v>
      </c>
      <c r="H1978">
        <v>1434.7242432</v>
      </c>
      <c r="I1978">
        <v>1215.434082</v>
      </c>
      <c r="J1978">
        <v>1167.2070312000001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1105.895117</v>
      </c>
      <c r="B1979" s="1">
        <f>DATE(2013,5,10) + TIME(21,28,58)</f>
        <v>41404.895115740743</v>
      </c>
      <c r="C1979">
        <v>80</v>
      </c>
      <c r="D1979">
        <v>79.979766846000004</v>
      </c>
      <c r="E1979">
        <v>50</v>
      </c>
      <c r="F1979">
        <v>49.214057922000002</v>
      </c>
      <c r="G1979">
        <v>1466.583374</v>
      </c>
      <c r="H1979">
        <v>1434.5604248</v>
      </c>
      <c r="I1979">
        <v>1215.4033202999999</v>
      </c>
      <c r="J1979">
        <v>1167.1674805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1106.193503</v>
      </c>
      <c r="B1980" s="1">
        <f>DATE(2013,5,11) + TIME(4,38,38)</f>
        <v>41405.193495370368</v>
      </c>
      <c r="C1980">
        <v>80</v>
      </c>
      <c r="D1980">
        <v>79.979766846000004</v>
      </c>
      <c r="E1980">
        <v>50</v>
      </c>
      <c r="F1980">
        <v>49.192810059000003</v>
      </c>
      <c r="G1980">
        <v>1466.4133300999999</v>
      </c>
      <c r="H1980">
        <v>1434.3981934000001</v>
      </c>
      <c r="I1980">
        <v>1215.3721923999999</v>
      </c>
      <c r="J1980">
        <v>1167.1274414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1106.498245</v>
      </c>
      <c r="B1981" s="1">
        <f>DATE(2013,5,11) + TIME(11,57,28)</f>
        <v>41405.498240740744</v>
      </c>
      <c r="C1981">
        <v>80</v>
      </c>
      <c r="D1981">
        <v>79.979766846000004</v>
      </c>
      <c r="E1981">
        <v>50</v>
      </c>
      <c r="F1981">
        <v>49.171195984000001</v>
      </c>
      <c r="G1981">
        <v>1466.2445068</v>
      </c>
      <c r="H1981">
        <v>1434.2370605000001</v>
      </c>
      <c r="I1981">
        <v>1215.3404541</v>
      </c>
      <c r="J1981">
        <v>1167.0865478999999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1106.8100260000001</v>
      </c>
      <c r="B1982" s="1">
        <f>DATE(2013,5,11) + TIME(19,26,26)</f>
        <v>41405.810023148151</v>
      </c>
      <c r="C1982">
        <v>80</v>
      </c>
      <c r="D1982">
        <v>79.979774474999999</v>
      </c>
      <c r="E1982">
        <v>50</v>
      </c>
      <c r="F1982">
        <v>49.149177551000001</v>
      </c>
      <c r="G1982">
        <v>1466.0760498</v>
      </c>
      <c r="H1982">
        <v>1434.0761719</v>
      </c>
      <c r="I1982">
        <v>1215.3081055</v>
      </c>
      <c r="J1982">
        <v>1167.0447998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1107.1283229999999</v>
      </c>
      <c r="B1983" s="1">
        <f>DATE(2013,5,12) + TIME(3,4,47)</f>
        <v>41406.128321759257</v>
      </c>
      <c r="C1983">
        <v>80</v>
      </c>
      <c r="D1983">
        <v>79.979774474999999</v>
      </c>
      <c r="E1983">
        <v>50</v>
      </c>
      <c r="F1983">
        <v>49.126750946000001</v>
      </c>
      <c r="G1983">
        <v>1465.9077147999999</v>
      </c>
      <c r="H1983">
        <v>1433.9152832</v>
      </c>
      <c r="I1983">
        <v>1215.2749022999999</v>
      </c>
      <c r="J1983">
        <v>1167.0021973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1107.452184</v>
      </c>
      <c r="B1984" s="1">
        <f>DATE(2013,5,12) + TIME(10,51,8)</f>
        <v>41406.452175925922</v>
      </c>
      <c r="C1984">
        <v>80</v>
      </c>
      <c r="D1984">
        <v>79.979774474999999</v>
      </c>
      <c r="E1984">
        <v>50</v>
      </c>
      <c r="F1984">
        <v>49.103950500000003</v>
      </c>
      <c r="G1984">
        <v>1465.7398682</v>
      </c>
      <c r="H1984">
        <v>1433.7547606999999</v>
      </c>
      <c r="I1984">
        <v>1215.2410889</v>
      </c>
      <c r="J1984">
        <v>1166.9586182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1107.782991</v>
      </c>
      <c r="B1985" s="1">
        <f>DATE(2013,5,12) + TIME(18,47,30)</f>
        <v>41406.782986111109</v>
      </c>
      <c r="C1985">
        <v>80</v>
      </c>
      <c r="D1985">
        <v>79.979774474999999</v>
      </c>
      <c r="E1985">
        <v>50</v>
      </c>
      <c r="F1985">
        <v>49.080745696999998</v>
      </c>
      <c r="G1985">
        <v>1465.572876</v>
      </c>
      <c r="H1985">
        <v>1433.5950928</v>
      </c>
      <c r="I1985">
        <v>1215.206543</v>
      </c>
      <c r="J1985">
        <v>1166.9141846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1108.1220949999999</v>
      </c>
      <c r="B1986" s="1">
        <f>DATE(2013,5,13) + TIME(2,55,48)</f>
        <v>41407.122083333335</v>
      </c>
      <c r="C1986">
        <v>80</v>
      </c>
      <c r="D1986">
        <v>79.979782103999995</v>
      </c>
      <c r="E1986">
        <v>50</v>
      </c>
      <c r="F1986">
        <v>49.057075500000003</v>
      </c>
      <c r="G1986">
        <v>1465.40625</v>
      </c>
      <c r="H1986">
        <v>1433.4355469</v>
      </c>
      <c r="I1986">
        <v>1215.1712646000001</v>
      </c>
      <c r="J1986">
        <v>1166.8688964999999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1108.471086</v>
      </c>
      <c r="B1987" s="1">
        <f>DATE(2013,5,13) + TIME(11,18,21)</f>
        <v>41407.471076388887</v>
      </c>
      <c r="C1987">
        <v>80</v>
      </c>
      <c r="D1987">
        <v>79.979782103999995</v>
      </c>
      <c r="E1987">
        <v>50</v>
      </c>
      <c r="F1987">
        <v>49.032855988000001</v>
      </c>
      <c r="G1987">
        <v>1465.2393798999999</v>
      </c>
      <c r="H1987">
        <v>1433.2756348</v>
      </c>
      <c r="I1987">
        <v>1215.1352539</v>
      </c>
      <c r="J1987">
        <v>1166.8223877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1108.8276490000001</v>
      </c>
      <c r="B1988" s="1">
        <f>DATE(2013,5,13) + TIME(19,51,48)</f>
        <v>41407.827638888892</v>
      </c>
      <c r="C1988">
        <v>80</v>
      </c>
      <c r="D1988">
        <v>79.979782103999995</v>
      </c>
      <c r="E1988">
        <v>50</v>
      </c>
      <c r="F1988">
        <v>49.008125305</v>
      </c>
      <c r="G1988">
        <v>1465.0712891000001</v>
      </c>
      <c r="H1988">
        <v>1433.1145019999999</v>
      </c>
      <c r="I1988">
        <v>1215.0980225000001</v>
      </c>
      <c r="J1988">
        <v>1166.7746582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1109.1871369999999</v>
      </c>
      <c r="B1989" s="1">
        <f>DATE(2013,5,14) + TIME(4,29,28)</f>
        <v>41408.18712962963</v>
      </c>
      <c r="C1989">
        <v>80</v>
      </c>
      <c r="D1989">
        <v>79.979782103999995</v>
      </c>
      <c r="E1989">
        <v>50</v>
      </c>
      <c r="F1989">
        <v>48.983062744000001</v>
      </c>
      <c r="G1989">
        <v>1464.9035644999999</v>
      </c>
      <c r="H1989">
        <v>1432.9536132999999</v>
      </c>
      <c r="I1989">
        <v>1215.0599365</v>
      </c>
      <c r="J1989">
        <v>1166.7258300999999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1109.5512209999999</v>
      </c>
      <c r="B1990" s="1">
        <f>DATE(2013,5,14) + TIME(13,13,45)</f>
        <v>41408.551215277781</v>
      </c>
      <c r="C1990">
        <v>80</v>
      </c>
      <c r="D1990">
        <v>79.979789733999993</v>
      </c>
      <c r="E1990">
        <v>50</v>
      </c>
      <c r="F1990">
        <v>48.957714080999999</v>
      </c>
      <c r="G1990">
        <v>1464.7379149999999</v>
      </c>
      <c r="H1990">
        <v>1432.7946777</v>
      </c>
      <c r="I1990">
        <v>1215.0214844</v>
      </c>
      <c r="J1990">
        <v>1166.6765137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1109.921574</v>
      </c>
      <c r="B1991" s="1">
        <f>DATE(2013,5,14) + TIME(22,7,3)</f>
        <v>41408.9215625</v>
      </c>
      <c r="C1991">
        <v>80</v>
      </c>
      <c r="D1991">
        <v>79.979789733999993</v>
      </c>
      <c r="E1991">
        <v>50</v>
      </c>
      <c r="F1991">
        <v>48.932044982999997</v>
      </c>
      <c r="G1991">
        <v>1464.5739745999999</v>
      </c>
      <c r="H1991">
        <v>1432.637207</v>
      </c>
      <c r="I1991">
        <v>1214.9826660000001</v>
      </c>
      <c r="J1991">
        <v>1166.6265868999999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1110.299714</v>
      </c>
      <c r="B1992" s="1">
        <f>DATE(2013,5,15) + TIME(7,11,35)</f>
        <v>41409.299710648149</v>
      </c>
      <c r="C1992">
        <v>80</v>
      </c>
      <c r="D1992">
        <v>79.979797363000003</v>
      </c>
      <c r="E1992">
        <v>50</v>
      </c>
      <c r="F1992">
        <v>48.905979156000001</v>
      </c>
      <c r="G1992">
        <v>1464.4106445</v>
      </c>
      <c r="H1992">
        <v>1432.4802245999999</v>
      </c>
      <c r="I1992">
        <v>1214.9431152</v>
      </c>
      <c r="J1992">
        <v>1166.5756836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1110.687437</v>
      </c>
      <c r="B1993" s="1">
        <f>DATE(2013,5,15) + TIME(16,29,54)</f>
        <v>41409.687430555554</v>
      </c>
      <c r="C1993">
        <v>80</v>
      </c>
      <c r="D1993">
        <v>79.979797363000003</v>
      </c>
      <c r="E1993">
        <v>50</v>
      </c>
      <c r="F1993">
        <v>48.879425048999998</v>
      </c>
      <c r="G1993">
        <v>1464.2474365</v>
      </c>
      <c r="H1993">
        <v>1432.3233643000001</v>
      </c>
      <c r="I1993">
        <v>1214.9025879000001</v>
      </c>
      <c r="J1993">
        <v>1166.5236815999999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1111.0867249999999</v>
      </c>
      <c r="B1994" s="1">
        <f>DATE(2013,5,16) + TIME(2,4,53)</f>
        <v>41410.086724537039</v>
      </c>
      <c r="C1994">
        <v>80</v>
      </c>
      <c r="D1994">
        <v>79.979804993000002</v>
      </c>
      <c r="E1994">
        <v>50</v>
      </c>
      <c r="F1994">
        <v>48.852272034000002</v>
      </c>
      <c r="G1994">
        <v>1464.0836182</v>
      </c>
      <c r="H1994">
        <v>1432.1656493999999</v>
      </c>
      <c r="I1994">
        <v>1214.8610839999999</v>
      </c>
      <c r="J1994">
        <v>1166.4703368999999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1111.4922260000001</v>
      </c>
      <c r="B1995" s="1">
        <f>DATE(2013,5,16) + TIME(11,48,48)</f>
        <v>41410.492222222223</v>
      </c>
      <c r="C1995">
        <v>80</v>
      </c>
      <c r="D1995">
        <v>79.979804993000002</v>
      </c>
      <c r="E1995">
        <v>50</v>
      </c>
      <c r="F1995">
        <v>48.824623107999997</v>
      </c>
      <c r="G1995">
        <v>1463.9183350000001</v>
      </c>
      <c r="H1995">
        <v>1432.0067139</v>
      </c>
      <c r="I1995">
        <v>1214.8183594</v>
      </c>
      <c r="J1995">
        <v>1166.4155272999999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1111.905256</v>
      </c>
      <c r="B1996" s="1">
        <f>DATE(2013,5,16) + TIME(21,43,34)</f>
        <v>41410.90525462963</v>
      </c>
      <c r="C1996">
        <v>80</v>
      </c>
      <c r="D1996">
        <v>79.979812621999997</v>
      </c>
      <c r="E1996">
        <v>50</v>
      </c>
      <c r="F1996">
        <v>48.796516418000003</v>
      </c>
      <c r="G1996">
        <v>1463.7540283000001</v>
      </c>
      <c r="H1996">
        <v>1431.8483887</v>
      </c>
      <c r="I1996">
        <v>1214.7749022999999</v>
      </c>
      <c r="J1996">
        <v>1166.3597411999999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1112.3273790000001</v>
      </c>
      <c r="B1997" s="1">
        <f>DATE(2013,5,17) + TIME(7,51,25)</f>
        <v>41411.327372685184</v>
      </c>
      <c r="C1997">
        <v>80</v>
      </c>
      <c r="D1997">
        <v>79.979812621999997</v>
      </c>
      <c r="E1997">
        <v>50</v>
      </c>
      <c r="F1997">
        <v>48.767921448000003</v>
      </c>
      <c r="G1997">
        <v>1463.5900879000001</v>
      </c>
      <c r="H1997">
        <v>1431.6903076000001</v>
      </c>
      <c r="I1997">
        <v>1214.7305908000001</v>
      </c>
      <c r="J1997">
        <v>1166.3029785000001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1112.7604739999999</v>
      </c>
      <c r="B1998" s="1">
        <f>DATE(2013,5,17) + TIME(18,15,4)</f>
        <v>41411.760462962964</v>
      </c>
      <c r="C1998">
        <v>80</v>
      </c>
      <c r="D1998">
        <v>79.979820251000007</v>
      </c>
      <c r="E1998">
        <v>50</v>
      </c>
      <c r="F1998">
        <v>48.738758087000001</v>
      </c>
      <c r="G1998">
        <v>1463.4259033000001</v>
      </c>
      <c r="H1998">
        <v>1431.5321045000001</v>
      </c>
      <c r="I1998">
        <v>1214.6853027</v>
      </c>
      <c r="J1998">
        <v>1166.244751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1113.1977979999999</v>
      </c>
      <c r="B1999" s="1">
        <f>DATE(2013,5,18) + TIME(4,44,49)</f>
        <v>41412.197789351849</v>
      </c>
      <c r="C1999">
        <v>80</v>
      </c>
      <c r="D1999">
        <v>79.979820251000007</v>
      </c>
      <c r="E1999">
        <v>50</v>
      </c>
      <c r="F1999">
        <v>48.709175109999997</v>
      </c>
      <c r="G1999">
        <v>1463.2609863</v>
      </c>
      <c r="H1999">
        <v>1431.3729248</v>
      </c>
      <c r="I1999">
        <v>1214.6387939000001</v>
      </c>
      <c r="J1999">
        <v>1166.1851807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1113.6403680000001</v>
      </c>
      <c r="B2000" s="1">
        <f>DATE(2013,5,18) + TIME(15,22,7)</f>
        <v>41412.6403587963</v>
      </c>
      <c r="C2000">
        <v>80</v>
      </c>
      <c r="D2000">
        <v>79.979827881000006</v>
      </c>
      <c r="E2000">
        <v>50</v>
      </c>
      <c r="F2000">
        <v>48.679264068999998</v>
      </c>
      <c r="G2000">
        <v>1463.0977783000001</v>
      </c>
      <c r="H2000">
        <v>1431.2152100000001</v>
      </c>
      <c r="I2000">
        <v>1214.5916748</v>
      </c>
      <c r="J2000">
        <v>1166.125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1114.0902610000001</v>
      </c>
      <c r="B2001" s="1">
        <f>DATE(2013,5,19) + TIME(2,9,58)</f>
        <v>41413.090254629627</v>
      </c>
      <c r="C2001">
        <v>80</v>
      </c>
      <c r="D2001">
        <v>79.979835510000001</v>
      </c>
      <c r="E2001">
        <v>50</v>
      </c>
      <c r="F2001">
        <v>48.649005889999998</v>
      </c>
      <c r="G2001">
        <v>1462.9357910000001</v>
      </c>
      <c r="H2001">
        <v>1431.0588379000001</v>
      </c>
      <c r="I2001">
        <v>1214.5440673999999</v>
      </c>
      <c r="J2001">
        <v>1166.0638428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1114.549336</v>
      </c>
      <c r="B2002" s="1">
        <f>DATE(2013,5,19) + TIME(13,11,2)</f>
        <v>41413.549328703702</v>
      </c>
      <c r="C2002">
        <v>80</v>
      </c>
      <c r="D2002">
        <v>79.979835510000001</v>
      </c>
      <c r="E2002">
        <v>50</v>
      </c>
      <c r="F2002">
        <v>48.618316649999997</v>
      </c>
      <c r="G2002">
        <v>1462.7744141000001</v>
      </c>
      <c r="H2002">
        <v>1430.902832</v>
      </c>
      <c r="I2002">
        <v>1214.4956055</v>
      </c>
      <c r="J2002">
        <v>1166.0017089999999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1115.018943</v>
      </c>
      <c r="B2003" s="1">
        <f>DATE(2013,5,20) + TIME(0,27,16)</f>
        <v>41414.018935185188</v>
      </c>
      <c r="C2003">
        <v>80</v>
      </c>
      <c r="D2003">
        <v>79.97984314</v>
      </c>
      <c r="E2003">
        <v>50</v>
      </c>
      <c r="F2003">
        <v>48.587108612000002</v>
      </c>
      <c r="G2003">
        <v>1462.6129149999999</v>
      </c>
      <c r="H2003">
        <v>1430.746582</v>
      </c>
      <c r="I2003">
        <v>1214.4460449000001</v>
      </c>
      <c r="J2003">
        <v>1165.9382324000001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1115.500072</v>
      </c>
      <c r="B2004" s="1">
        <f>DATE(2013,5,20) + TIME(12,0,6)</f>
        <v>41414.500069444446</v>
      </c>
      <c r="C2004">
        <v>80</v>
      </c>
      <c r="D2004">
        <v>79.979850768999995</v>
      </c>
      <c r="E2004">
        <v>50</v>
      </c>
      <c r="F2004">
        <v>48.555297852000002</v>
      </c>
      <c r="G2004">
        <v>1462.4509277</v>
      </c>
      <c r="H2004">
        <v>1430.5898437999999</v>
      </c>
      <c r="I2004">
        <v>1214.3953856999999</v>
      </c>
      <c r="J2004">
        <v>1165.8732910000001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1115.993862</v>
      </c>
      <c r="B2005" s="1">
        <f>DATE(2013,5,20) + TIME(23,51,9)</f>
        <v>41414.993854166663</v>
      </c>
      <c r="C2005">
        <v>80</v>
      </c>
      <c r="D2005">
        <v>79.979858398000005</v>
      </c>
      <c r="E2005">
        <v>50</v>
      </c>
      <c r="F2005">
        <v>48.522819519000002</v>
      </c>
      <c r="G2005">
        <v>1462.2882079999999</v>
      </c>
      <c r="H2005">
        <v>1430.432251</v>
      </c>
      <c r="I2005">
        <v>1214.3433838000001</v>
      </c>
      <c r="J2005">
        <v>1165.8066406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1116.49361</v>
      </c>
      <c r="B2006" s="1">
        <f>DATE(2013,5,21) + TIME(11,50,47)</f>
        <v>41415.49359953704</v>
      </c>
      <c r="C2006">
        <v>80</v>
      </c>
      <c r="D2006">
        <v>79.979858398000005</v>
      </c>
      <c r="E2006">
        <v>50</v>
      </c>
      <c r="F2006">
        <v>48.489807128999999</v>
      </c>
      <c r="G2006">
        <v>1462.1243896000001</v>
      </c>
      <c r="H2006">
        <v>1430.2734375</v>
      </c>
      <c r="I2006">
        <v>1214.2899170000001</v>
      </c>
      <c r="J2006">
        <v>1165.7382812000001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1117.0014679999999</v>
      </c>
      <c r="B2007" s="1">
        <f>DATE(2013,5,22) + TIME(0,2,6)</f>
        <v>41416.001458333332</v>
      </c>
      <c r="C2007">
        <v>80</v>
      </c>
      <c r="D2007">
        <v>79.979866028000004</v>
      </c>
      <c r="E2007">
        <v>50</v>
      </c>
      <c r="F2007">
        <v>48.456344604000002</v>
      </c>
      <c r="G2007">
        <v>1461.9616699000001</v>
      </c>
      <c r="H2007">
        <v>1430.1158447</v>
      </c>
      <c r="I2007">
        <v>1214.2357178</v>
      </c>
      <c r="J2007">
        <v>1165.6689452999999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1117.5182400000001</v>
      </c>
      <c r="B2008" s="1">
        <f>DATE(2013,5,22) + TIME(12,26,15)</f>
        <v>41416.518229166664</v>
      </c>
      <c r="C2008">
        <v>80</v>
      </c>
      <c r="D2008">
        <v>79.979873656999999</v>
      </c>
      <c r="E2008">
        <v>50</v>
      </c>
      <c r="F2008">
        <v>48.422424315999997</v>
      </c>
      <c r="G2008">
        <v>1461.7995605000001</v>
      </c>
      <c r="H2008">
        <v>1429.9584961</v>
      </c>
      <c r="I2008">
        <v>1214.1805420000001</v>
      </c>
      <c r="J2008">
        <v>1165.5985106999999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1118.038759</v>
      </c>
      <c r="B2009" s="1">
        <f>DATE(2013,5,23) + TIME(0,55,48)</f>
        <v>41417.03875</v>
      </c>
      <c r="C2009">
        <v>80</v>
      </c>
      <c r="D2009">
        <v>79.979881286999998</v>
      </c>
      <c r="E2009">
        <v>50</v>
      </c>
      <c r="F2009">
        <v>48.388160706000001</v>
      </c>
      <c r="G2009">
        <v>1461.6375731999999</v>
      </c>
      <c r="H2009">
        <v>1429.8012695</v>
      </c>
      <c r="I2009">
        <v>1214.1243896000001</v>
      </c>
      <c r="J2009">
        <v>1165.5266113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1118.565259</v>
      </c>
      <c r="B2010" s="1">
        <f>DATE(2013,5,23) + TIME(13,33,58)</f>
        <v>41417.565254629626</v>
      </c>
      <c r="C2010">
        <v>80</v>
      </c>
      <c r="D2010">
        <v>79.979888915999993</v>
      </c>
      <c r="E2010">
        <v>50</v>
      </c>
      <c r="F2010">
        <v>48.353622436999999</v>
      </c>
      <c r="G2010">
        <v>1461.4775391000001</v>
      </c>
      <c r="H2010">
        <v>1429.645874</v>
      </c>
      <c r="I2010">
        <v>1214.067749</v>
      </c>
      <c r="J2010">
        <v>1165.4542236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1119.100365</v>
      </c>
      <c r="B2011" s="1">
        <f>DATE(2013,5,24) + TIME(2,24,31)</f>
        <v>41418.100358796299</v>
      </c>
      <c r="C2011">
        <v>80</v>
      </c>
      <c r="D2011">
        <v>79.979896545000003</v>
      </c>
      <c r="E2011">
        <v>50</v>
      </c>
      <c r="F2011">
        <v>48.318733215000002</v>
      </c>
      <c r="G2011">
        <v>1461.3186035000001</v>
      </c>
      <c r="H2011">
        <v>1429.4913329999999</v>
      </c>
      <c r="I2011">
        <v>1214.010376</v>
      </c>
      <c r="J2011">
        <v>1165.3807373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1119.6461380000001</v>
      </c>
      <c r="B2012" s="1">
        <f>DATE(2013,5,24) + TIME(15,30,26)</f>
        <v>41418.646134259259</v>
      </c>
      <c r="C2012">
        <v>80</v>
      </c>
      <c r="D2012">
        <v>79.979904175000001</v>
      </c>
      <c r="E2012">
        <v>50</v>
      </c>
      <c r="F2012">
        <v>48.283382416000002</v>
      </c>
      <c r="G2012">
        <v>1461.1599120999999</v>
      </c>
      <c r="H2012">
        <v>1429.3371582</v>
      </c>
      <c r="I2012">
        <v>1213.9519043</v>
      </c>
      <c r="J2012">
        <v>1165.3060303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1120.2051369999999</v>
      </c>
      <c r="B2013" s="1">
        <f>DATE(2013,5,25) + TIME(4,55,23)</f>
        <v>41419.205127314817</v>
      </c>
      <c r="C2013">
        <v>80</v>
      </c>
      <c r="D2013">
        <v>79.979911803999997</v>
      </c>
      <c r="E2013">
        <v>50</v>
      </c>
      <c r="F2013">
        <v>48.247425079000003</v>
      </c>
      <c r="G2013">
        <v>1461.0009766000001</v>
      </c>
      <c r="H2013">
        <v>1429.1826172000001</v>
      </c>
      <c r="I2013">
        <v>1213.8922118999999</v>
      </c>
      <c r="J2013">
        <v>1165.2296143000001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1120.780178</v>
      </c>
      <c r="B2014" s="1">
        <f>DATE(2013,5,25) + TIME(18,43,27)</f>
        <v>41419.780173611114</v>
      </c>
      <c r="C2014">
        <v>80</v>
      </c>
      <c r="D2014">
        <v>79.979919433999996</v>
      </c>
      <c r="E2014">
        <v>50</v>
      </c>
      <c r="F2014">
        <v>48.210704802999999</v>
      </c>
      <c r="G2014">
        <v>1460.8411865</v>
      </c>
      <c r="H2014">
        <v>1429.0269774999999</v>
      </c>
      <c r="I2014">
        <v>1213.8310547000001</v>
      </c>
      <c r="J2014">
        <v>1165.1513672000001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1121.3728329999999</v>
      </c>
      <c r="B2015" s="1">
        <f>DATE(2013,5,26) + TIME(8,56,52)</f>
        <v>41420.372824074075</v>
      </c>
      <c r="C2015">
        <v>80</v>
      </c>
      <c r="D2015">
        <v>79.979927063000005</v>
      </c>
      <c r="E2015">
        <v>50</v>
      </c>
      <c r="F2015">
        <v>48.173084258999999</v>
      </c>
      <c r="G2015">
        <v>1460.6796875</v>
      </c>
      <c r="H2015">
        <v>1428.869751</v>
      </c>
      <c r="I2015">
        <v>1213.7679443</v>
      </c>
      <c r="J2015">
        <v>1165.0706786999999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1121.9712689999999</v>
      </c>
      <c r="B2016" s="1">
        <f>DATE(2013,5,26) + TIME(23,18,37)</f>
        <v>41420.971261574072</v>
      </c>
      <c r="C2016">
        <v>80</v>
      </c>
      <c r="D2016">
        <v>79.979934692</v>
      </c>
      <c r="E2016">
        <v>50</v>
      </c>
      <c r="F2016">
        <v>48.134754180999998</v>
      </c>
      <c r="G2016">
        <v>1460.5162353999999</v>
      </c>
      <c r="H2016">
        <v>1428.7105713000001</v>
      </c>
      <c r="I2016">
        <v>1213.7027588000001</v>
      </c>
      <c r="J2016">
        <v>1164.9875488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1122.572782</v>
      </c>
      <c r="B2017" s="1">
        <f>DATE(2013,5,27) + TIME(13,44,48)</f>
        <v>41421.572777777779</v>
      </c>
      <c r="C2017">
        <v>80</v>
      </c>
      <c r="D2017">
        <v>79.979942321999999</v>
      </c>
      <c r="E2017">
        <v>50</v>
      </c>
      <c r="F2017">
        <v>48.096069335999999</v>
      </c>
      <c r="G2017">
        <v>1460.354126</v>
      </c>
      <c r="H2017">
        <v>1428.5524902</v>
      </c>
      <c r="I2017">
        <v>1213.6367187999999</v>
      </c>
      <c r="J2017">
        <v>1164.9033202999999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1123.1787469999999</v>
      </c>
      <c r="B2018" s="1">
        <f>DATE(2013,5,28) + TIME(4,17,23)</f>
        <v>41422.178738425922</v>
      </c>
      <c r="C2018">
        <v>80</v>
      </c>
      <c r="D2018">
        <v>79.979949950999995</v>
      </c>
      <c r="E2018">
        <v>50</v>
      </c>
      <c r="F2018">
        <v>48.057167053000001</v>
      </c>
      <c r="G2018">
        <v>1460.1940918</v>
      </c>
      <c r="H2018">
        <v>1428.3964844</v>
      </c>
      <c r="I2018">
        <v>1213.5703125</v>
      </c>
      <c r="J2018">
        <v>1164.8184814000001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1123.7917729999999</v>
      </c>
      <c r="B2019" s="1">
        <f>DATE(2013,5,28) + TIME(19,0,9)</f>
        <v>41422.791770833333</v>
      </c>
      <c r="C2019">
        <v>80</v>
      </c>
      <c r="D2019">
        <v>79.979957580999994</v>
      </c>
      <c r="E2019">
        <v>50</v>
      </c>
      <c r="F2019">
        <v>48.018016815000003</v>
      </c>
      <c r="G2019">
        <v>1460.0356445</v>
      </c>
      <c r="H2019">
        <v>1428.2418213000001</v>
      </c>
      <c r="I2019">
        <v>1213.5032959</v>
      </c>
      <c r="J2019">
        <v>1164.7327881000001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1124.414929</v>
      </c>
      <c r="B2020" s="1">
        <f>DATE(2013,5,29) + TIME(9,57,29)</f>
        <v>41423.414918981478</v>
      </c>
      <c r="C2020">
        <v>80</v>
      </c>
      <c r="D2020">
        <v>79.979972838999998</v>
      </c>
      <c r="E2020">
        <v>50</v>
      </c>
      <c r="F2020">
        <v>47.978492737000003</v>
      </c>
      <c r="G2020">
        <v>1459.8780518000001</v>
      </c>
      <c r="H2020">
        <v>1428.0880127</v>
      </c>
      <c r="I2020">
        <v>1213.4353027</v>
      </c>
      <c r="J2020">
        <v>1164.645874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1125.0506740000001</v>
      </c>
      <c r="B2021" s="1">
        <f>DATE(2013,5,30) + TIME(1,12,58)</f>
        <v>41424.050671296296</v>
      </c>
      <c r="C2021">
        <v>80</v>
      </c>
      <c r="D2021">
        <v>79.979980468999997</v>
      </c>
      <c r="E2021">
        <v>50</v>
      </c>
      <c r="F2021">
        <v>47.938438415999997</v>
      </c>
      <c r="G2021">
        <v>1459.7205810999999</v>
      </c>
      <c r="H2021">
        <v>1427.9342041</v>
      </c>
      <c r="I2021">
        <v>1213.3659668</v>
      </c>
      <c r="J2021">
        <v>1164.5573730000001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1125.7013260000001</v>
      </c>
      <c r="B2022" s="1">
        <f>DATE(2013,5,30) + TIME(16,49,54)</f>
        <v>41424.701319444444</v>
      </c>
      <c r="C2022">
        <v>80</v>
      </c>
      <c r="D2022">
        <v>79.979988098000007</v>
      </c>
      <c r="E2022">
        <v>50</v>
      </c>
      <c r="F2022">
        <v>47.897697448999999</v>
      </c>
      <c r="G2022">
        <v>1459.5627440999999</v>
      </c>
      <c r="H2022">
        <v>1427.7800293</v>
      </c>
      <c r="I2022">
        <v>1213.2951660000001</v>
      </c>
      <c r="J2022">
        <v>1164.4667969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1126.367164</v>
      </c>
      <c r="B2023" s="1">
        <f>DATE(2013,5,31) + TIME(8,48,42)</f>
        <v>41425.367152777777</v>
      </c>
      <c r="C2023">
        <v>80</v>
      </c>
      <c r="D2023">
        <v>79.979995728000006</v>
      </c>
      <c r="E2023">
        <v>50</v>
      </c>
      <c r="F2023">
        <v>47.856174469000003</v>
      </c>
      <c r="G2023">
        <v>1459.4038086</v>
      </c>
      <c r="H2023">
        <v>1427.6246338000001</v>
      </c>
      <c r="I2023">
        <v>1213.2224120999999</v>
      </c>
      <c r="J2023">
        <v>1164.3739014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1127</v>
      </c>
      <c r="B2024" s="1">
        <f>DATE(2013,6,1) + TIME(0,0,0)</f>
        <v>41426</v>
      </c>
      <c r="C2024">
        <v>80</v>
      </c>
      <c r="D2024">
        <v>79.980003357000001</v>
      </c>
      <c r="E2024">
        <v>50</v>
      </c>
      <c r="F2024">
        <v>47.814872741999999</v>
      </c>
      <c r="G2024">
        <v>1459.2440185999999</v>
      </c>
      <c r="H2024">
        <v>1427.4683838000001</v>
      </c>
      <c r="I2024">
        <v>1213.1477050999999</v>
      </c>
      <c r="J2024">
        <v>1164.2791748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1127.6843759999999</v>
      </c>
      <c r="B2025" s="1">
        <f>DATE(2013,6,1) + TIME(16,25,30)</f>
        <v>41426.684374999997</v>
      </c>
      <c r="C2025">
        <v>80</v>
      </c>
      <c r="D2025">
        <v>79.980018615999995</v>
      </c>
      <c r="E2025">
        <v>50</v>
      </c>
      <c r="F2025">
        <v>47.773262023999997</v>
      </c>
      <c r="G2025">
        <v>1459.0944824000001</v>
      </c>
      <c r="H2025">
        <v>1427.3220214999999</v>
      </c>
      <c r="I2025">
        <v>1213.0766602000001</v>
      </c>
      <c r="J2025">
        <v>1164.1876221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1128.381466</v>
      </c>
      <c r="B2026" s="1">
        <f>DATE(2013,6,2) + TIME(9,9,18)</f>
        <v>41427.381458333337</v>
      </c>
      <c r="C2026">
        <v>80</v>
      </c>
      <c r="D2026">
        <v>79.980026245000005</v>
      </c>
      <c r="E2026">
        <v>50</v>
      </c>
      <c r="F2026">
        <v>47.730300903</v>
      </c>
      <c r="G2026">
        <v>1458.9355469</v>
      </c>
      <c r="H2026">
        <v>1427.1665039</v>
      </c>
      <c r="I2026">
        <v>1212.9995117000001</v>
      </c>
      <c r="J2026">
        <v>1164.0893555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1129.082449</v>
      </c>
      <c r="B2027" s="1">
        <f>DATE(2013,6,3) + TIME(1,58,43)</f>
        <v>41428.082442129627</v>
      </c>
      <c r="C2027">
        <v>80</v>
      </c>
      <c r="D2027">
        <v>79.980041503999999</v>
      </c>
      <c r="E2027">
        <v>50</v>
      </c>
      <c r="F2027">
        <v>47.686611176</v>
      </c>
      <c r="G2027">
        <v>1458.7763672000001</v>
      </c>
      <c r="H2027">
        <v>1427.0104980000001</v>
      </c>
      <c r="I2027">
        <v>1212.9207764</v>
      </c>
      <c r="J2027">
        <v>1163.9888916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1129.7902509999999</v>
      </c>
      <c r="B2028" s="1">
        <f>DATE(2013,6,3) + TIME(18,57,57)</f>
        <v>41428.790243055555</v>
      </c>
      <c r="C2028">
        <v>80</v>
      </c>
      <c r="D2028">
        <v>79.980049132999994</v>
      </c>
      <c r="E2028">
        <v>50</v>
      </c>
      <c r="F2028">
        <v>47.642528534</v>
      </c>
      <c r="G2028">
        <v>1458.6187743999999</v>
      </c>
      <c r="H2028">
        <v>1426.8560791</v>
      </c>
      <c r="I2028">
        <v>1212.8411865</v>
      </c>
      <c r="J2028">
        <v>1163.8873291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1130.50793</v>
      </c>
      <c r="B2029" s="1">
        <f>DATE(2013,6,4) + TIME(12,11,25)</f>
        <v>41429.507928240739</v>
      </c>
      <c r="C2029">
        <v>80</v>
      </c>
      <c r="D2029">
        <v>79.980064392000003</v>
      </c>
      <c r="E2029">
        <v>50</v>
      </c>
      <c r="F2029">
        <v>47.598045349000003</v>
      </c>
      <c r="G2029">
        <v>1458.4622803</v>
      </c>
      <c r="H2029">
        <v>1426.7026367000001</v>
      </c>
      <c r="I2029">
        <v>1212.7607422000001</v>
      </c>
      <c r="J2029">
        <v>1163.7844238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1131.2389290000001</v>
      </c>
      <c r="B2030" s="1">
        <f>DATE(2013,6,5) + TIME(5,44,3)</f>
        <v>41430.238923611112</v>
      </c>
      <c r="C2030">
        <v>80</v>
      </c>
      <c r="D2030">
        <v>79.980072020999998</v>
      </c>
      <c r="E2030">
        <v>50</v>
      </c>
      <c r="F2030">
        <v>47.553020476999997</v>
      </c>
      <c r="G2030">
        <v>1458.3061522999999</v>
      </c>
      <c r="H2030">
        <v>1426.5495605000001</v>
      </c>
      <c r="I2030">
        <v>1212.6787108999999</v>
      </c>
      <c r="J2030">
        <v>1163.6796875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1131.9862450000001</v>
      </c>
      <c r="B2031" s="1">
        <f>DATE(2013,6,5) + TIME(23,40,11)</f>
        <v>41430.986238425925</v>
      </c>
      <c r="C2031">
        <v>80</v>
      </c>
      <c r="D2031">
        <v>79.980087280000006</v>
      </c>
      <c r="E2031">
        <v>50</v>
      </c>
      <c r="F2031">
        <v>47.507270812999998</v>
      </c>
      <c r="G2031">
        <v>1458.1496582</v>
      </c>
      <c r="H2031">
        <v>1426.3959961</v>
      </c>
      <c r="I2031">
        <v>1212.5949707</v>
      </c>
      <c r="J2031">
        <v>1163.5726318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1132.753543</v>
      </c>
      <c r="B2032" s="1">
        <f>DATE(2013,6,6) + TIME(18,5,6)</f>
        <v>41431.753541666665</v>
      </c>
      <c r="C2032">
        <v>80</v>
      </c>
      <c r="D2032">
        <v>79.980094910000005</v>
      </c>
      <c r="E2032">
        <v>50</v>
      </c>
      <c r="F2032">
        <v>47.460597991999997</v>
      </c>
      <c r="G2032">
        <v>1457.9921875</v>
      </c>
      <c r="H2032">
        <v>1426.2414550999999</v>
      </c>
      <c r="I2032">
        <v>1212.5090332</v>
      </c>
      <c r="J2032">
        <v>1163.4627685999999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1133.5409139999999</v>
      </c>
      <c r="B2033" s="1">
        <f>DATE(2013,6,7) + TIME(12,58,54)</f>
        <v>41432.540902777779</v>
      </c>
      <c r="C2033">
        <v>80</v>
      </c>
      <c r="D2033">
        <v>79.980110167999996</v>
      </c>
      <c r="E2033">
        <v>50</v>
      </c>
      <c r="F2033">
        <v>47.412860870000003</v>
      </c>
      <c r="G2033">
        <v>1457.8331298999999</v>
      </c>
      <c r="H2033">
        <v>1426.0853271000001</v>
      </c>
      <c r="I2033">
        <v>1212.4204102000001</v>
      </c>
      <c r="J2033">
        <v>1163.3496094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1134.3289259999999</v>
      </c>
      <c r="B2034" s="1">
        <f>DATE(2013,6,8) + TIME(7,53,39)</f>
        <v>41433.328923611109</v>
      </c>
      <c r="C2034">
        <v>80</v>
      </c>
      <c r="D2034">
        <v>79.980117797999995</v>
      </c>
      <c r="E2034">
        <v>50</v>
      </c>
      <c r="F2034">
        <v>47.364356995000001</v>
      </c>
      <c r="G2034">
        <v>1457.6724853999999</v>
      </c>
      <c r="H2034">
        <v>1425.9276123</v>
      </c>
      <c r="I2034">
        <v>1212.3291016000001</v>
      </c>
      <c r="J2034">
        <v>1163.2331543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1135.120819</v>
      </c>
      <c r="B2035" s="1">
        <f>DATE(2013,6,9) + TIME(2,53,58)</f>
        <v>41434.120810185188</v>
      </c>
      <c r="C2035">
        <v>80</v>
      </c>
      <c r="D2035">
        <v>79.980133057000003</v>
      </c>
      <c r="E2035">
        <v>50</v>
      </c>
      <c r="F2035">
        <v>47.315601348999998</v>
      </c>
      <c r="G2035">
        <v>1457.5142822</v>
      </c>
      <c r="H2035">
        <v>1425.7720947</v>
      </c>
      <c r="I2035">
        <v>1212.2373047000001</v>
      </c>
      <c r="J2035">
        <v>1163.1158447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1135.9199120000001</v>
      </c>
      <c r="B2036" s="1">
        <f>DATE(2013,6,9) + TIME(22,4,40)</f>
        <v>41434.919907407406</v>
      </c>
      <c r="C2036">
        <v>80</v>
      </c>
      <c r="D2036">
        <v>79.980148314999994</v>
      </c>
      <c r="E2036">
        <v>50</v>
      </c>
      <c r="F2036">
        <v>47.266605376999998</v>
      </c>
      <c r="G2036">
        <v>1457.3577881000001</v>
      </c>
      <c r="H2036">
        <v>1425.6182861</v>
      </c>
      <c r="I2036">
        <v>1212.1446533000001</v>
      </c>
      <c r="J2036">
        <v>1162.9973144999999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1136.7295650000001</v>
      </c>
      <c r="B2037" s="1">
        <f>DATE(2013,6,10) + TIME(17,30,34)</f>
        <v>41435.729560185187</v>
      </c>
      <c r="C2037">
        <v>80</v>
      </c>
      <c r="D2037">
        <v>79.980155945000007</v>
      </c>
      <c r="E2037">
        <v>50</v>
      </c>
      <c r="F2037">
        <v>47.217224121000001</v>
      </c>
      <c r="G2037">
        <v>1457.2023925999999</v>
      </c>
      <c r="H2037">
        <v>1425.465332</v>
      </c>
      <c r="I2037">
        <v>1212.0507812000001</v>
      </c>
      <c r="J2037">
        <v>1162.8770752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1137.5538300000001</v>
      </c>
      <c r="B2038" s="1">
        <f>DATE(2013,6,11) + TIME(13,17,30)</f>
        <v>41436.553819444445</v>
      </c>
      <c r="C2038">
        <v>80</v>
      </c>
      <c r="D2038">
        <v>79.980171204000001</v>
      </c>
      <c r="E2038">
        <v>50</v>
      </c>
      <c r="F2038">
        <v>47.167259215999998</v>
      </c>
      <c r="G2038">
        <v>1457.0472411999999</v>
      </c>
      <c r="H2038">
        <v>1425.3127440999999</v>
      </c>
      <c r="I2038">
        <v>1211.9552002</v>
      </c>
      <c r="J2038">
        <v>1162.7547606999999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1138.3960870000001</v>
      </c>
      <c r="B2039" s="1">
        <f>DATE(2013,6,12) + TIME(9,30,21)</f>
        <v>41437.39607638889</v>
      </c>
      <c r="C2039">
        <v>80</v>
      </c>
      <c r="D2039">
        <v>79.980186462000006</v>
      </c>
      <c r="E2039">
        <v>50</v>
      </c>
      <c r="F2039">
        <v>47.116477965999998</v>
      </c>
      <c r="G2039">
        <v>1456.8917236</v>
      </c>
      <c r="H2039">
        <v>1425.159668</v>
      </c>
      <c r="I2039">
        <v>1211.8574219</v>
      </c>
      <c r="J2039">
        <v>1162.6295166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1139.25773</v>
      </c>
      <c r="B2040" s="1">
        <f>DATE(2013,6,13) + TIME(6,11,7)</f>
        <v>41438.257719907408</v>
      </c>
      <c r="C2040">
        <v>80</v>
      </c>
      <c r="D2040">
        <v>79.980194092000005</v>
      </c>
      <c r="E2040">
        <v>50</v>
      </c>
      <c r="F2040">
        <v>47.064708709999998</v>
      </c>
      <c r="G2040">
        <v>1456.7352295000001</v>
      </c>
      <c r="H2040">
        <v>1425.0056152</v>
      </c>
      <c r="I2040">
        <v>1211.7569579999999</v>
      </c>
      <c r="J2040">
        <v>1162.5008545000001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1140.140181</v>
      </c>
      <c r="B2041" s="1">
        <f>DATE(2013,6,14) + TIME(3,21,51)</f>
        <v>41439.140173611115</v>
      </c>
      <c r="C2041">
        <v>80</v>
      </c>
      <c r="D2041">
        <v>79.980209350999999</v>
      </c>
      <c r="E2041">
        <v>50</v>
      </c>
      <c r="F2041">
        <v>47.011829376000001</v>
      </c>
      <c r="G2041">
        <v>1456.5776367000001</v>
      </c>
      <c r="H2041">
        <v>1424.8503418</v>
      </c>
      <c r="I2041">
        <v>1211.6535644999999</v>
      </c>
      <c r="J2041">
        <v>1162.3684082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1141.0297539999999</v>
      </c>
      <c r="B2042" s="1">
        <f>DATE(2013,6,15) + TIME(0,42,50)</f>
        <v>41440.029745370368</v>
      </c>
      <c r="C2042">
        <v>80</v>
      </c>
      <c r="D2042">
        <v>79.980224609000004</v>
      </c>
      <c r="E2042">
        <v>50</v>
      </c>
      <c r="F2042">
        <v>46.957992554</v>
      </c>
      <c r="G2042">
        <v>1456.4185791</v>
      </c>
      <c r="H2042">
        <v>1424.6937256000001</v>
      </c>
      <c r="I2042">
        <v>1211.5471190999999</v>
      </c>
      <c r="J2042">
        <v>1162.2320557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1141.9235510000001</v>
      </c>
      <c r="B2043" s="1">
        <f>DATE(2013,6,15) + TIME(22,9,54)</f>
        <v>41440.923541666663</v>
      </c>
      <c r="C2043">
        <v>80</v>
      </c>
      <c r="D2043">
        <v>79.980239867999998</v>
      </c>
      <c r="E2043">
        <v>50</v>
      </c>
      <c r="F2043">
        <v>46.903656005999999</v>
      </c>
      <c r="G2043">
        <v>1456.2607422000001</v>
      </c>
      <c r="H2043">
        <v>1424.5382079999999</v>
      </c>
      <c r="I2043">
        <v>1211.4392089999999</v>
      </c>
      <c r="J2043">
        <v>1162.09375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1142.8253380000001</v>
      </c>
      <c r="B2044" s="1">
        <f>DATE(2013,6,16) + TIME(19,48,29)</f>
        <v>41441.825335648151</v>
      </c>
      <c r="C2044">
        <v>80</v>
      </c>
      <c r="D2044">
        <v>79.980255127000007</v>
      </c>
      <c r="E2044">
        <v>50</v>
      </c>
      <c r="F2044">
        <v>46.848953246999997</v>
      </c>
      <c r="G2044">
        <v>1456.1046143000001</v>
      </c>
      <c r="H2044">
        <v>1424.3841553</v>
      </c>
      <c r="I2044">
        <v>1211.3300781</v>
      </c>
      <c r="J2044">
        <v>1161.9536132999999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1143.7389459999999</v>
      </c>
      <c r="B2045" s="1">
        <f>DATE(2013,6,17) + TIME(17,44,4)</f>
        <v>41442.738935185182</v>
      </c>
      <c r="C2045">
        <v>80</v>
      </c>
      <c r="D2045">
        <v>79.980270386000001</v>
      </c>
      <c r="E2045">
        <v>50</v>
      </c>
      <c r="F2045">
        <v>46.793754577999998</v>
      </c>
      <c r="G2045">
        <v>1455.9493408000001</v>
      </c>
      <c r="H2045">
        <v>1424.230957</v>
      </c>
      <c r="I2045">
        <v>1211.2193603999999</v>
      </c>
      <c r="J2045">
        <v>1161.8112793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1144.6656909999999</v>
      </c>
      <c r="B2046" s="1">
        <f>DATE(2013,6,18) + TIME(15,58,35)</f>
        <v>41443.665682870371</v>
      </c>
      <c r="C2046">
        <v>80</v>
      </c>
      <c r="D2046">
        <v>79.980285644999995</v>
      </c>
      <c r="E2046">
        <v>50</v>
      </c>
      <c r="F2046">
        <v>46.737880707000002</v>
      </c>
      <c r="G2046">
        <v>1455.7943115</v>
      </c>
      <c r="H2046">
        <v>1424.0780029</v>
      </c>
      <c r="I2046">
        <v>1211.1063231999999</v>
      </c>
      <c r="J2046">
        <v>1161.6660156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1145.60895</v>
      </c>
      <c r="B2047" s="1">
        <f>DATE(2013,6,19) + TIME(14,36,53)</f>
        <v>41444.608946759261</v>
      </c>
      <c r="C2047">
        <v>80</v>
      </c>
      <c r="D2047">
        <v>79.980300903</v>
      </c>
      <c r="E2047">
        <v>50</v>
      </c>
      <c r="F2047">
        <v>46.681190491000002</v>
      </c>
      <c r="G2047">
        <v>1455.6394043</v>
      </c>
      <c r="H2047">
        <v>1423.9251709</v>
      </c>
      <c r="I2047">
        <v>1210.9909668</v>
      </c>
      <c r="J2047">
        <v>1161.5175781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1146.5730639999999</v>
      </c>
      <c r="B2048" s="1">
        <f>DATE(2013,6,20) + TIME(13,45,12)</f>
        <v>41445.573055555556</v>
      </c>
      <c r="C2048">
        <v>80</v>
      </c>
      <c r="D2048">
        <v>79.980316161999994</v>
      </c>
      <c r="E2048">
        <v>50</v>
      </c>
      <c r="F2048">
        <v>46.623466491999999</v>
      </c>
      <c r="G2048">
        <v>1455.4840088000001</v>
      </c>
      <c r="H2048">
        <v>1423.7717285000001</v>
      </c>
      <c r="I2048">
        <v>1210.8728027</v>
      </c>
      <c r="J2048">
        <v>1161.3652344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1147.5612180000001</v>
      </c>
      <c r="B2049" s="1">
        <f>DATE(2013,6,21) + TIME(13,28,9)</f>
        <v>41446.561215277776</v>
      </c>
      <c r="C2049">
        <v>80</v>
      </c>
      <c r="D2049">
        <v>79.980331421000002</v>
      </c>
      <c r="E2049">
        <v>50</v>
      </c>
      <c r="F2049">
        <v>46.564464569000002</v>
      </c>
      <c r="G2049">
        <v>1455.3275146000001</v>
      </c>
      <c r="H2049">
        <v>1423.6171875</v>
      </c>
      <c r="I2049">
        <v>1210.7509766000001</v>
      </c>
      <c r="J2049">
        <v>1161.208374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1148.560514</v>
      </c>
      <c r="B2050" s="1">
        <f>DATE(2013,6,22) + TIME(13,27,8)</f>
        <v>41447.56050925926</v>
      </c>
      <c r="C2050">
        <v>80</v>
      </c>
      <c r="D2050">
        <v>79.980346679999997</v>
      </c>
      <c r="E2050">
        <v>50</v>
      </c>
      <c r="F2050">
        <v>46.504207610999998</v>
      </c>
      <c r="G2050">
        <v>1455.1694336</v>
      </c>
      <c r="H2050">
        <v>1423.4610596</v>
      </c>
      <c r="I2050">
        <v>1210.6252440999999</v>
      </c>
      <c r="J2050">
        <v>1161.0462646000001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1149.5627830000001</v>
      </c>
      <c r="B2051" s="1">
        <f>DATE(2013,6,23) + TIME(13,30,24)</f>
        <v>41448.562777777777</v>
      </c>
      <c r="C2051">
        <v>80</v>
      </c>
      <c r="D2051">
        <v>79.980361938000001</v>
      </c>
      <c r="E2051">
        <v>50</v>
      </c>
      <c r="F2051">
        <v>46.443206787000001</v>
      </c>
      <c r="G2051">
        <v>1455.0118408000001</v>
      </c>
      <c r="H2051">
        <v>1423.3054199000001</v>
      </c>
      <c r="I2051">
        <v>1210.4970702999999</v>
      </c>
      <c r="J2051">
        <v>1160.8808594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1150.5721080000001</v>
      </c>
      <c r="B2052" s="1">
        <f>DATE(2013,6,24) + TIME(13,43,50)</f>
        <v>41449.572106481479</v>
      </c>
      <c r="C2052">
        <v>80</v>
      </c>
      <c r="D2052">
        <v>79.980377196999996</v>
      </c>
      <c r="E2052">
        <v>50</v>
      </c>
      <c r="F2052">
        <v>46.381748199</v>
      </c>
      <c r="G2052">
        <v>1454.8562012</v>
      </c>
      <c r="H2052">
        <v>1423.1513672000001</v>
      </c>
      <c r="I2052">
        <v>1210.3674315999999</v>
      </c>
      <c r="J2052">
        <v>1160.7132568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1151.59266</v>
      </c>
      <c r="B2053" s="1">
        <f>DATE(2013,6,25) + TIME(14,13,25)</f>
        <v>41450.592650462961</v>
      </c>
      <c r="C2053">
        <v>80</v>
      </c>
      <c r="D2053">
        <v>79.980392456000004</v>
      </c>
      <c r="E2053">
        <v>50</v>
      </c>
      <c r="F2053">
        <v>46.319713593000003</v>
      </c>
      <c r="G2053">
        <v>1454.7015381000001</v>
      </c>
      <c r="H2053">
        <v>1422.9985352000001</v>
      </c>
      <c r="I2053">
        <v>1210.2358397999999</v>
      </c>
      <c r="J2053">
        <v>1160.5427245999999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1152.628778</v>
      </c>
      <c r="B2054" s="1">
        <f>DATE(2013,6,26) + TIME(15,5,26)</f>
        <v>41451.62877314815</v>
      </c>
      <c r="C2054">
        <v>80</v>
      </c>
      <c r="D2054">
        <v>79.980407714999998</v>
      </c>
      <c r="E2054">
        <v>50</v>
      </c>
      <c r="F2054">
        <v>46.256858825999998</v>
      </c>
      <c r="G2054">
        <v>1454.5474853999999</v>
      </c>
      <c r="H2054">
        <v>1422.8460693</v>
      </c>
      <c r="I2054">
        <v>1210.1015625</v>
      </c>
      <c r="J2054">
        <v>1160.3686522999999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1153.685651</v>
      </c>
      <c r="B2055" s="1">
        <f>DATE(2013,6,27) + TIME(16,27,20)</f>
        <v>41452.685648148145</v>
      </c>
      <c r="C2055">
        <v>80</v>
      </c>
      <c r="D2055">
        <v>79.980430603000002</v>
      </c>
      <c r="E2055">
        <v>50</v>
      </c>
      <c r="F2055">
        <v>46.192893982000001</v>
      </c>
      <c r="G2055">
        <v>1454.3931885</v>
      </c>
      <c r="H2055">
        <v>1422.6934814000001</v>
      </c>
      <c r="I2055">
        <v>1209.9639893000001</v>
      </c>
      <c r="J2055">
        <v>1160.1900635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1154.760556</v>
      </c>
      <c r="B2056" s="1">
        <f>DATE(2013,6,28) + TIME(18,15,12)</f>
        <v>41453.760555555556</v>
      </c>
      <c r="C2056">
        <v>80</v>
      </c>
      <c r="D2056">
        <v>79.980445861999996</v>
      </c>
      <c r="E2056">
        <v>50</v>
      </c>
      <c r="F2056">
        <v>46.127605438000003</v>
      </c>
      <c r="G2056">
        <v>1454.2380370999999</v>
      </c>
      <c r="H2056">
        <v>1422.5400391000001</v>
      </c>
      <c r="I2056">
        <v>1209.8225098</v>
      </c>
      <c r="J2056">
        <v>1160.0061035000001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1155.853658</v>
      </c>
      <c r="B2057" s="1">
        <f>DATE(2013,6,29) + TIME(20,29,16)</f>
        <v>41454.85365740741</v>
      </c>
      <c r="C2057">
        <v>80</v>
      </c>
      <c r="D2057">
        <v>79.980461121000005</v>
      </c>
      <c r="E2057">
        <v>50</v>
      </c>
      <c r="F2057">
        <v>46.060993195000002</v>
      </c>
      <c r="G2057">
        <v>1454.0823975000001</v>
      </c>
      <c r="H2057">
        <v>1422.3859863</v>
      </c>
      <c r="I2057">
        <v>1209.6770019999999</v>
      </c>
      <c r="J2057">
        <v>1159.8167725000001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1156.426829</v>
      </c>
      <c r="B2058" s="1">
        <f>DATE(2013,6,30) + TIME(10,14,38)</f>
        <v>41455.426828703705</v>
      </c>
      <c r="C2058">
        <v>80</v>
      </c>
      <c r="D2058">
        <v>79.98046875</v>
      </c>
      <c r="E2058">
        <v>50</v>
      </c>
      <c r="F2058">
        <v>46.005405426000003</v>
      </c>
      <c r="G2058">
        <v>1453.9274902</v>
      </c>
      <c r="H2058">
        <v>1422.2325439000001</v>
      </c>
      <c r="I2058">
        <v>1209.5273437999999</v>
      </c>
      <c r="J2058">
        <v>1159.6307373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1157</v>
      </c>
      <c r="B2059" s="1">
        <f>DATE(2013,7,1) + TIME(0,0,0)</f>
        <v>41456</v>
      </c>
      <c r="C2059">
        <v>80</v>
      </c>
      <c r="D2059">
        <v>79.980476378999995</v>
      </c>
      <c r="E2059">
        <v>50</v>
      </c>
      <c r="F2059">
        <v>45.962127686000002</v>
      </c>
      <c r="G2059">
        <v>1453.8448486</v>
      </c>
      <c r="H2059">
        <v>1422.1506348</v>
      </c>
      <c r="I2059">
        <v>1209.4476318</v>
      </c>
      <c r="J2059">
        <v>1159.5211182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1157.561269</v>
      </c>
      <c r="B2060" s="1">
        <f>DATE(2013,7,1) + TIME(13,28,13)</f>
        <v>41456.561261574076</v>
      </c>
      <c r="C2060">
        <v>80</v>
      </c>
      <c r="D2060">
        <v>79.980484008999994</v>
      </c>
      <c r="E2060">
        <v>50</v>
      </c>
      <c r="F2060">
        <v>45.923725128000001</v>
      </c>
      <c r="G2060">
        <v>1453.7642822</v>
      </c>
      <c r="H2060">
        <v>1422.0709228999999</v>
      </c>
      <c r="I2060">
        <v>1209.3681641000001</v>
      </c>
      <c r="J2060">
        <v>1159.4152832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1158.683806</v>
      </c>
      <c r="B2061" s="1">
        <f>DATE(2013,7,2) + TIME(16,24,40)</f>
        <v>41457.683796296296</v>
      </c>
      <c r="C2061">
        <v>80</v>
      </c>
      <c r="D2061">
        <v>79.980506896999998</v>
      </c>
      <c r="E2061">
        <v>50</v>
      </c>
      <c r="F2061">
        <v>45.878646850999999</v>
      </c>
      <c r="G2061">
        <v>1453.6860352000001</v>
      </c>
      <c r="H2061">
        <v>1421.9932861</v>
      </c>
      <c r="I2061">
        <v>1209.2904053</v>
      </c>
      <c r="J2061">
        <v>1159.3061522999999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1159.8093570000001</v>
      </c>
      <c r="B2062" s="1">
        <f>DATE(2013,7,3) + TIME(19,25,28)</f>
        <v>41458.809351851851</v>
      </c>
      <c r="C2062">
        <v>80</v>
      </c>
      <c r="D2062">
        <v>79.980522156000006</v>
      </c>
      <c r="E2062">
        <v>50</v>
      </c>
      <c r="F2062">
        <v>45.813987732000001</v>
      </c>
      <c r="G2062">
        <v>1453.5323486</v>
      </c>
      <c r="H2062">
        <v>1421.8410644999999</v>
      </c>
      <c r="I2062">
        <v>1209.1334228999999</v>
      </c>
      <c r="J2062">
        <v>1159.1047363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1160.952045</v>
      </c>
      <c r="B2063" s="1">
        <f>DATE(2013,7,4) + TIME(22,50,56)</f>
        <v>41459.952037037037</v>
      </c>
      <c r="C2063">
        <v>80</v>
      </c>
      <c r="D2063">
        <v>79.980545043999996</v>
      </c>
      <c r="E2063">
        <v>50</v>
      </c>
      <c r="F2063">
        <v>45.744106293000002</v>
      </c>
      <c r="G2063">
        <v>1453.3793945</v>
      </c>
      <c r="H2063">
        <v>1421.6894531</v>
      </c>
      <c r="I2063">
        <v>1208.9736327999999</v>
      </c>
      <c r="J2063">
        <v>1158.8961182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1162.11014</v>
      </c>
      <c r="B2064" s="1">
        <f>DATE(2013,7,6) + TIME(2,38,36)</f>
        <v>41461.110138888886</v>
      </c>
      <c r="C2064">
        <v>80</v>
      </c>
      <c r="D2064">
        <v>79.980560303000004</v>
      </c>
      <c r="E2064">
        <v>50</v>
      </c>
      <c r="F2064">
        <v>45.671890259000001</v>
      </c>
      <c r="G2064">
        <v>1453.2261963000001</v>
      </c>
      <c r="H2064">
        <v>1421.5375977000001</v>
      </c>
      <c r="I2064">
        <v>1208.8096923999999</v>
      </c>
      <c r="J2064">
        <v>1158.6806641000001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1163.2879190000001</v>
      </c>
      <c r="B2065" s="1">
        <f>DATE(2013,7,7) + TIME(6,54,36)</f>
        <v>41462.287916666668</v>
      </c>
      <c r="C2065">
        <v>80</v>
      </c>
      <c r="D2065">
        <v>79.980575561999999</v>
      </c>
      <c r="E2065">
        <v>50</v>
      </c>
      <c r="F2065">
        <v>45.597988129000001</v>
      </c>
      <c r="G2065">
        <v>1453.0729980000001</v>
      </c>
      <c r="H2065">
        <v>1421.3857422000001</v>
      </c>
      <c r="I2065">
        <v>1208.6417236</v>
      </c>
      <c r="J2065">
        <v>1158.4592285000001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1164.4902099999999</v>
      </c>
      <c r="B2066" s="1">
        <f>DATE(2013,7,8) + TIME(11,45,54)</f>
        <v>41463.490208333336</v>
      </c>
      <c r="C2066">
        <v>80</v>
      </c>
      <c r="D2066">
        <v>79.980598450000002</v>
      </c>
      <c r="E2066">
        <v>50</v>
      </c>
      <c r="F2066">
        <v>45.522293091000002</v>
      </c>
      <c r="G2066">
        <v>1452.9191894999999</v>
      </c>
      <c r="H2066">
        <v>1421.2332764</v>
      </c>
      <c r="I2066">
        <v>1208.46875</v>
      </c>
      <c r="J2066">
        <v>1158.2308350000001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1165.70009</v>
      </c>
      <c r="B2067" s="1">
        <f>DATE(2013,7,9) + TIME(16,48,7)</f>
        <v>41464.70008101852</v>
      </c>
      <c r="C2067">
        <v>80</v>
      </c>
      <c r="D2067">
        <v>79.980613708000007</v>
      </c>
      <c r="E2067">
        <v>50</v>
      </c>
      <c r="F2067">
        <v>45.444805144999997</v>
      </c>
      <c r="G2067">
        <v>1452.7644043</v>
      </c>
      <c r="H2067">
        <v>1421.0797118999999</v>
      </c>
      <c r="I2067">
        <v>1208.2901611</v>
      </c>
      <c r="J2067">
        <v>1157.9945068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1166.9138190000001</v>
      </c>
      <c r="B2068" s="1">
        <f>DATE(2013,7,10) + TIME(21,55,53)</f>
        <v>41465.913807870369</v>
      </c>
      <c r="C2068">
        <v>80</v>
      </c>
      <c r="D2068">
        <v>79.980636597</v>
      </c>
      <c r="E2068">
        <v>50</v>
      </c>
      <c r="F2068">
        <v>45.366138458000002</v>
      </c>
      <c r="G2068">
        <v>1452.6107178</v>
      </c>
      <c r="H2068">
        <v>1420.9272461</v>
      </c>
      <c r="I2068">
        <v>1208.1080322</v>
      </c>
      <c r="J2068">
        <v>1157.7529297000001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1168.1361899999999</v>
      </c>
      <c r="B2069" s="1">
        <f>DATE(2013,7,12) + TIME(3,16,6)</f>
        <v>41467.136180555557</v>
      </c>
      <c r="C2069">
        <v>80</v>
      </c>
      <c r="D2069">
        <v>79.980651855000005</v>
      </c>
      <c r="E2069">
        <v>50</v>
      </c>
      <c r="F2069">
        <v>45.286464690999999</v>
      </c>
      <c r="G2069">
        <v>1452.4586182</v>
      </c>
      <c r="H2069">
        <v>1420.7762451000001</v>
      </c>
      <c r="I2069">
        <v>1207.9230957</v>
      </c>
      <c r="J2069">
        <v>1157.5068358999999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1169.3722909999999</v>
      </c>
      <c r="B2070" s="1">
        <f>DATE(2013,7,13) + TIME(8,56,5)</f>
        <v>41468.37228009259</v>
      </c>
      <c r="C2070">
        <v>80</v>
      </c>
      <c r="D2070">
        <v>79.980674743999998</v>
      </c>
      <c r="E2070">
        <v>50</v>
      </c>
      <c r="F2070">
        <v>45.205535888999997</v>
      </c>
      <c r="G2070">
        <v>1452.3073730000001</v>
      </c>
      <c r="H2070">
        <v>1420.6262207</v>
      </c>
      <c r="I2070">
        <v>1207.734375</v>
      </c>
      <c r="J2070">
        <v>1157.2551269999999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1170.6275350000001</v>
      </c>
      <c r="B2071" s="1">
        <f>DATE(2013,7,14) + TIME(15,3,38)</f>
        <v>41469.627523148149</v>
      </c>
      <c r="C2071">
        <v>80</v>
      </c>
      <c r="D2071">
        <v>79.980690002000003</v>
      </c>
      <c r="E2071">
        <v>50</v>
      </c>
      <c r="F2071">
        <v>45.122989654999998</v>
      </c>
      <c r="G2071">
        <v>1452.1563721</v>
      </c>
      <c r="H2071">
        <v>1420.4763184000001</v>
      </c>
      <c r="I2071">
        <v>1207.5411377</v>
      </c>
      <c r="J2071">
        <v>1156.996582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1171.9020370000001</v>
      </c>
      <c r="B2072" s="1">
        <f>DATE(2013,7,15) + TIME(21,38,55)</f>
        <v>41470.902025462965</v>
      </c>
      <c r="C2072">
        <v>80</v>
      </c>
      <c r="D2072">
        <v>79.980712890999996</v>
      </c>
      <c r="E2072">
        <v>50</v>
      </c>
      <c r="F2072">
        <v>45.038482666</v>
      </c>
      <c r="G2072">
        <v>1452.0051269999999</v>
      </c>
      <c r="H2072">
        <v>1420.3260498</v>
      </c>
      <c r="I2072">
        <v>1207.3422852000001</v>
      </c>
      <c r="J2072">
        <v>1156.7299805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1173.1994340000001</v>
      </c>
      <c r="B2073" s="1">
        <f>DATE(2013,7,17) + TIME(4,47,11)</f>
        <v>41472.199432870373</v>
      </c>
      <c r="C2073">
        <v>80</v>
      </c>
      <c r="D2073">
        <v>79.980735779</v>
      </c>
      <c r="E2073">
        <v>50</v>
      </c>
      <c r="F2073">
        <v>44.951831818000002</v>
      </c>
      <c r="G2073">
        <v>1451.8535156</v>
      </c>
      <c r="H2073">
        <v>1420.1755370999999</v>
      </c>
      <c r="I2073">
        <v>1207.1375731999999</v>
      </c>
      <c r="J2073">
        <v>1156.4547118999999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1174.4994799999999</v>
      </c>
      <c r="B2074" s="1">
        <f>DATE(2013,7,18) + TIME(11,59,15)</f>
        <v>41473.499479166669</v>
      </c>
      <c r="C2074">
        <v>80</v>
      </c>
      <c r="D2074">
        <v>79.980751037999994</v>
      </c>
      <c r="E2074">
        <v>50</v>
      </c>
      <c r="F2074">
        <v>44.863071441999999</v>
      </c>
      <c r="G2074">
        <v>1451.7011719</v>
      </c>
      <c r="H2074">
        <v>1420.0241699000001</v>
      </c>
      <c r="I2074">
        <v>1206.9263916</v>
      </c>
      <c r="J2074">
        <v>1156.1701660000001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1175.806789</v>
      </c>
      <c r="B2075" s="1">
        <f>DATE(2013,7,19) + TIME(19,21,46)</f>
        <v>41474.80678240741</v>
      </c>
      <c r="C2075">
        <v>80</v>
      </c>
      <c r="D2075">
        <v>79.980773925999998</v>
      </c>
      <c r="E2075">
        <v>50</v>
      </c>
      <c r="F2075">
        <v>44.772895812999998</v>
      </c>
      <c r="G2075">
        <v>1451.5504149999999</v>
      </c>
      <c r="H2075">
        <v>1419.8743896000001</v>
      </c>
      <c r="I2075">
        <v>1206.7116699000001</v>
      </c>
      <c r="J2075">
        <v>1155.8797606999999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1177.126434</v>
      </c>
      <c r="B2076" s="1">
        <f>DATE(2013,7,21) + TIME(3,2,3)</f>
        <v>41476.126423611109</v>
      </c>
      <c r="C2076">
        <v>80</v>
      </c>
      <c r="D2076">
        <v>79.980789185000006</v>
      </c>
      <c r="E2076">
        <v>50</v>
      </c>
      <c r="F2076">
        <v>44.681152343999997</v>
      </c>
      <c r="G2076">
        <v>1451.4007568</v>
      </c>
      <c r="H2076">
        <v>1419.7257079999999</v>
      </c>
      <c r="I2076">
        <v>1206.4927978999999</v>
      </c>
      <c r="J2076">
        <v>1155.5827637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1178.4610729999999</v>
      </c>
      <c r="B2077" s="1">
        <f>DATE(2013,7,22) + TIME(11,3,56)</f>
        <v>41477.461064814815</v>
      </c>
      <c r="C2077">
        <v>80</v>
      </c>
      <c r="D2077">
        <v>79.980812072999996</v>
      </c>
      <c r="E2077">
        <v>50</v>
      </c>
      <c r="F2077">
        <v>44.587509154999999</v>
      </c>
      <c r="G2077">
        <v>1451.2517089999999</v>
      </c>
      <c r="H2077">
        <v>1419.5775146000001</v>
      </c>
      <c r="I2077">
        <v>1206.2686768000001</v>
      </c>
      <c r="J2077">
        <v>1155.277832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1179.813191</v>
      </c>
      <c r="B2078" s="1">
        <f>DATE(2013,7,23) + TIME(19,30,59)</f>
        <v>41478.81318287037</v>
      </c>
      <c r="C2078">
        <v>80</v>
      </c>
      <c r="D2078">
        <v>79.980834960999999</v>
      </c>
      <c r="E2078">
        <v>50</v>
      </c>
      <c r="F2078">
        <v>44.491691588999998</v>
      </c>
      <c r="G2078">
        <v>1451.1027832</v>
      </c>
      <c r="H2078">
        <v>1419.4295654</v>
      </c>
      <c r="I2078">
        <v>1206.0386963000001</v>
      </c>
      <c r="J2078">
        <v>1154.9639893000001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1181.1888280000001</v>
      </c>
      <c r="B2079" s="1">
        <f>DATE(2013,7,25) + TIME(4,31,54)</f>
        <v>41480.188819444447</v>
      </c>
      <c r="C2079">
        <v>80</v>
      </c>
      <c r="D2079">
        <v>79.980850219999994</v>
      </c>
      <c r="E2079">
        <v>50</v>
      </c>
      <c r="F2079">
        <v>44.393383026000002</v>
      </c>
      <c r="G2079">
        <v>1450.9537353999999</v>
      </c>
      <c r="H2079">
        <v>1419.2813721</v>
      </c>
      <c r="I2079">
        <v>1205.8023682</v>
      </c>
      <c r="J2079">
        <v>1154.6403809000001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1182.5796069999999</v>
      </c>
      <c r="B2080" s="1">
        <f>DATE(2013,7,26) + TIME(13,54,38)</f>
        <v>41481.579606481479</v>
      </c>
      <c r="C2080">
        <v>80</v>
      </c>
      <c r="D2080">
        <v>79.980873107999997</v>
      </c>
      <c r="E2080">
        <v>50</v>
      </c>
      <c r="F2080">
        <v>44.292304993000002</v>
      </c>
      <c r="G2080">
        <v>1450.8040771000001</v>
      </c>
      <c r="H2080">
        <v>1419.1325684000001</v>
      </c>
      <c r="I2080">
        <v>1205.5583495999999</v>
      </c>
      <c r="J2080">
        <v>1154.3055420000001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1183.976422</v>
      </c>
      <c r="B2081" s="1">
        <f>DATE(2013,7,27) + TIME(23,26,2)</f>
        <v>41482.976412037038</v>
      </c>
      <c r="C2081">
        <v>80</v>
      </c>
      <c r="D2081">
        <v>79.980895996000001</v>
      </c>
      <c r="E2081">
        <v>50</v>
      </c>
      <c r="F2081">
        <v>44.188819885000001</v>
      </c>
      <c r="G2081">
        <v>1450.6546631000001</v>
      </c>
      <c r="H2081">
        <v>1418.9840088000001</v>
      </c>
      <c r="I2081">
        <v>1205.3081055</v>
      </c>
      <c r="J2081">
        <v>1153.9608154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1185.3824589999999</v>
      </c>
      <c r="B2082" s="1">
        <f>DATE(2013,7,29) + TIME(9,10,44)</f>
        <v>41484.382453703707</v>
      </c>
      <c r="C2082">
        <v>80</v>
      </c>
      <c r="D2082">
        <v>79.980918884000005</v>
      </c>
      <c r="E2082">
        <v>50</v>
      </c>
      <c r="F2082">
        <v>44.083320618000002</v>
      </c>
      <c r="G2082">
        <v>1450.5064697</v>
      </c>
      <c r="H2082">
        <v>1418.8365478999999</v>
      </c>
      <c r="I2082">
        <v>1205.0529785000001</v>
      </c>
      <c r="J2082">
        <v>1153.6080322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1186.8004860000001</v>
      </c>
      <c r="B2083" s="1">
        <f>DATE(2013,7,30) + TIME(19,12,41)</f>
        <v>41485.800474537034</v>
      </c>
      <c r="C2083">
        <v>80</v>
      </c>
      <c r="D2083">
        <v>79.980934142999999</v>
      </c>
      <c r="E2083">
        <v>50</v>
      </c>
      <c r="F2083">
        <v>43.975631714000002</v>
      </c>
      <c r="G2083">
        <v>1450.3590088000001</v>
      </c>
      <c r="H2083">
        <v>1418.6899414</v>
      </c>
      <c r="I2083">
        <v>1204.7923584</v>
      </c>
      <c r="J2083">
        <v>1153.246582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1188</v>
      </c>
      <c r="B2084" s="1">
        <f>DATE(2013,8,1) + TIME(0,0,0)</f>
        <v>41487</v>
      </c>
      <c r="C2084">
        <v>80</v>
      </c>
      <c r="D2084">
        <v>79.980957031000003</v>
      </c>
      <c r="E2084">
        <v>50</v>
      </c>
      <c r="F2084">
        <v>43.869537354000002</v>
      </c>
      <c r="G2084">
        <v>1450.2124022999999</v>
      </c>
      <c r="H2084">
        <v>1418.5439452999999</v>
      </c>
      <c r="I2084">
        <v>1204.5256348</v>
      </c>
      <c r="J2084">
        <v>1152.8790283000001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1189.435348</v>
      </c>
      <c r="B2085" s="1">
        <f>DATE(2013,8,2) + TIME(10,26,54)</f>
        <v>41488.435347222221</v>
      </c>
      <c r="C2085">
        <v>80</v>
      </c>
      <c r="D2085">
        <v>79.980979919000006</v>
      </c>
      <c r="E2085">
        <v>50</v>
      </c>
      <c r="F2085">
        <v>43.768470764</v>
      </c>
      <c r="G2085">
        <v>1450.0891113</v>
      </c>
      <c r="H2085">
        <v>1418.4213867000001</v>
      </c>
      <c r="I2085">
        <v>1204.2963867000001</v>
      </c>
      <c r="J2085">
        <v>1152.5526123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1190.914029</v>
      </c>
      <c r="B2086" s="1">
        <f>DATE(2013,8,3) + TIME(21,56,12)</f>
        <v>41489.914027777777</v>
      </c>
      <c r="C2086">
        <v>80</v>
      </c>
      <c r="D2086">
        <v>79.980995178000001</v>
      </c>
      <c r="E2086">
        <v>50</v>
      </c>
      <c r="F2086">
        <v>43.655754088999998</v>
      </c>
      <c r="G2086">
        <v>1449.9440918</v>
      </c>
      <c r="H2086">
        <v>1418.2769774999999</v>
      </c>
      <c r="I2086">
        <v>1204.0194091999999</v>
      </c>
      <c r="J2086">
        <v>1152.1663818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1192.403472</v>
      </c>
      <c r="B2087" s="1">
        <f>DATE(2013,8,5) + TIME(9,41,0)</f>
        <v>41491.40347222222</v>
      </c>
      <c r="C2087">
        <v>80</v>
      </c>
      <c r="D2087">
        <v>79.981018066000004</v>
      </c>
      <c r="E2087">
        <v>50</v>
      </c>
      <c r="F2087">
        <v>43.537040709999999</v>
      </c>
      <c r="G2087">
        <v>1449.7962646000001</v>
      </c>
      <c r="H2087">
        <v>1418.1298827999999</v>
      </c>
      <c r="I2087">
        <v>1203.7296143000001</v>
      </c>
      <c r="J2087">
        <v>1151.7598877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1193.896933</v>
      </c>
      <c r="B2088" s="1">
        <f>DATE(2013,8,6) + TIME(21,31,35)</f>
        <v>41492.896932870368</v>
      </c>
      <c r="C2088">
        <v>80</v>
      </c>
      <c r="D2088">
        <v>79.981040954999997</v>
      </c>
      <c r="E2088">
        <v>50</v>
      </c>
      <c r="F2088">
        <v>43.415119171000001</v>
      </c>
      <c r="G2088">
        <v>1449.6491699000001</v>
      </c>
      <c r="H2088">
        <v>1417.9833983999999</v>
      </c>
      <c r="I2088">
        <v>1203.4333495999999</v>
      </c>
      <c r="J2088">
        <v>1151.3424072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1195.4013090000001</v>
      </c>
      <c r="B2089" s="1">
        <f>DATE(2013,8,8) + TIME(9,37,53)</f>
        <v>41494.401307870372</v>
      </c>
      <c r="C2089">
        <v>80</v>
      </c>
      <c r="D2089">
        <v>79.981063843000001</v>
      </c>
      <c r="E2089">
        <v>50</v>
      </c>
      <c r="F2089">
        <v>43.290725707999997</v>
      </c>
      <c r="G2089">
        <v>1449.5032959</v>
      </c>
      <c r="H2089">
        <v>1417.8382568</v>
      </c>
      <c r="I2089">
        <v>1203.1319579999999</v>
      </c>
      <c r="J2089">
        <v>1150.9157714999999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1196.922108</v>
      </c>
      <c r="B2090" s="1">
        <f>DATE(2013,8,9) + TIME(22,7,50)</f>
        <v>41495.922106481485</v>
      </c>
      <c r="C2090">
        <v>80</v>
      </c>
      <c r="D2090">
        <v>79.981086731000005</v>
      </c>
      <c r="E2090">
        <v>50</v>
      </c>
      <c r="F2090">
        <v>43.163528442</v>
      </c>
      <c r="G2090">
        <v>1449.3582764</v>
      </c>
      <c r="H2090">
        <v>1417.6937256000001</v>
      </c>
      <c r="I2090">
        <v>1202.8240966999999</v>
      </c>
      <c r="J2090">
        <v>1150.4783935999999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1198.4649199999999</v>
      </c>
      <c r="B2091" s="1">
        <f>DATE(2013,8,11) + TIME(11,9,29)</f>
        <v>41497.464918981481</v>
      </c>
      <c r="C2091">
        <v>80</v>
      </c>
      <c r="D2091">
        <v>79.981109618999994</v>
      </c>
      <c r="E2091">
        <v>50</v>
      </c>
      <c r="F2091">
        <v>43.033023833999998</v>
      </c>
      <c r="G2091">
        <v>1449.2132568</v>
      </c>
      <c r="H2091">
        <v>1417.5494385</v>
      </c>
      <c r="I2091">
        <v>1202.5084228999999</v>
      </c>
      <c r="J2091">
        <v>1150.0283202999999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1200.0282079999999</v>
      </c>
      <c r="B2092" s="1">
        <f>DATE(2013,8,13) + TIME(0,40,37)</f>
        <v>41499.02820601852</v>
      </c>
      <c r="C2092">
        <v>80</v>
      </c>
      <c r="D2092">
        <v>79.981132506999998</v>
      </c>
      <c r="E2092">
        <v>50</v>
      </c>
      <c r="F2092">
        <v>42.898792266999997</v>
      </c>
      <c r="G2092">
        <v>1449.0679932</v>
      </c>
      <c r="H2092">
        <v>1417.4046631000001</v>
      </c>
      <c r="I2092">
        <v>1202.1837158000001</v>
      </c>
      <c r="J2092">
        <v>1149.5639647999999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1201.616372</v>
      </c>
      <c r="B2093" s="1">
        <f>DATE(2013,8,14) + TIME(14,47,34)</f>
        <v>41500.616365740738</v>
      </c>
      <c r="C2093">
        <v>80</v>
      </c>
      <c r="D2093">
        <v>79.981155396000005</v>
      </c>
      <c r="E2093">
        <v>50</v>
      </c>
      <c r="F2093">
        <v>42.760707855</v>
      </c>
      <c r="G2093">
        <v>1448.9224853999999</v>
      </c>
      <c r="H2093">
        <v>1417.2597656</v>
      </c>
      <c r="I2093">
        <v>1201.8500977000001</v>
      </c>
      <c r="J2093">
        <v>1149.0850829999999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1203.2057339999999</v>
      </c>
      <c r="B2094" s="1">
        <f>DATE(2013,8,16) + TIME(4,56,15)</f>
        <v>41502.205729166664</v>
      </c>
      <c r="C2094">
        <v>80</v>
      </c>
      <c r="D2094">
        <v>79.981178283999995</v>
      </c>
      <c r="E2094">
        <v>50</v>
      </c>
      <c r="F2094">
        <v>42.618789673000002</v>
      </c>
      <c r="G2094">
        <v>1448.7763672000001</v>
      </c>
      <c r="H2094">
        <v>1417.1142577999999</v>
      </c>
      <c r="I2094">
        <v>1201.5067139</v>
      </c>
      <c r="J2094">
        <v>1148.5906981999999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1204.8032920000001</v>
      </c>
      <c r="B2095" s="1">
        <f>DATE(2013,8,17) + TIME(19,16,44)</f>
        <v>41503.803287037037</v>
      </c>
      <c r="C2095">
        <v>80</v>
      </c>
      <c r="D2095">
        <v>79.981201171999999</v>
      </c>
      <c r="E2095">
        <v>50</v>
      </c>
      <c r="F2095">
        <v>42.474262238000001</v>
      </c>
      <c r="G2095">
        <v>1448.6319579999999</v>
      </c>
      <c r="H2095">
        <v>1416.9703368999999</v>
      </c>
      <c r="I2095">
        <v>1201.1583252</v>
      </c>
      <c r="J2095">
        <v>1148.0870361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1206.4176480000001</v>
      </c>
      <c r="B2096" s="1">
        <f>DATE(2013,8,19) + TIME(10,1,24)</f>
        <v>41505.417638888888</v>
      </c>
      <c r="C2096">
        <v>80</v>
      </c>
      <c r="D2096">
        <v>79.981224060000002</v>
      </c>
      <c r="E2096">
        <v>50</v>
      </c>
      <c r="F2096">
        <v>42.3268013</v>
      </c>
      <c r="G2096">
        <v>1448.4884033000001</v>
      </c>
      <c r="H2096">
        <v>1416.8272704999999</v>
      </c>
      <c r="I2096">
        <v>1200.8035889</v>
      </c>
      <c r="J2096">
        <v>1147.5722656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1208.050078</v>
      </c>
      <c r="B2097" s="1">
        <f>DATE(2013,8,21) + TIME(1,12,6)</f>
        <v>41507.050069444442</v>
      </c>
      <c r="C2097">
        <v>80</v>
      </c>
      <c r="D2097">
        <v>79.981246948000006</v>
      </c>
      <c r="E2097">
        <v>50</v>
      </c>
      <c r="F2097">
        <v>42.175792694000002</v>
      </c>
      <c r="G2097">
        <v>1448.3449707</v>
      </c>
      <c r="H2097">
        <v>1416.6843262</v>
      </c>
      <c r="I2097">
        <v>1200.4407959</v>
      </c>
      <c r="J2097">
        <v>1147.0439452999999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1209.7041529999999</v>
      </c>
      <c r="B2098" s="1">
        <f>DATE(2013,8,22) + TIME(16,53,58)</f>
        <v>41508.704143518517</v>
      </c>
      <c r="C2098">
        <v>80</v>
      </c>
      <c r="D2098">
        <v>79.981269835999996</v>
      </c>
      <c r="E2098">
        <v>50</v>
      </c>
      <c r="F2098">
        <v>42.020927428999997</v>
      </c>
      <c r="G2098">
        <v>1448.2016602000001</v>
      </c>
      <c r="H2098">
        <v>1416.5415039</v>
      </c>
      <c r="I2098">
        <v>1200.0693358999999</v>
      </c>
      <c r="J2098">
        <v>1146.5010986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1211.386088</v>
      </c>
      <c r="B2099" s="1">
        <f>DATE(2013,8,24) + TIME(9,15,57)</f>
        <v>41510.386076388888</v>
      </c>
      <c r="C2099">
        <v>80</v>
      </c>
      <c r="D2099">
        <v>79.981292725000003</v>
      </c>
      <c r="E2099">
        <v>50</v>
      </c>
      <c r="F2099">
        <v>41.861793517999999</v>
      </c>
      <c r="G2099">
        <v>1448.0579834</v>
      </c>
      <c r="H2099">
        <v>1416.3983154</v>
      </c>
      <c r="I2099">
        <v>1199.6885986</v>
      </c>
      <c r="J2099">
        <v>1145.942749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1213.0770130000001</v>
      </c>
      <c r="B2100" s="1">
        <f>DATE(2013,8,26) + TIME(1,50,53)</f>
        <v>41512.077002314814</v>
      </c>
      <c r="C2100">
        <v>80</v>
      </c>
      <c r="D2100">
        <v>79.981315613000007</v>
      </c>
      <c r="E2100">
        <v>50</v>
      </c>
      <c r="F2100">
        <v>41.698173523000001</v>
      </c>
      <c r="G2100">
        <v>1447.9135742000001</v>
      </c>
      <c r="H2100">
        <v>1416.2543945</v>
      </c>
      <c r="I2100">
        <v>1199.2969971</v>
      </c>
      <c r="J2100">
        <v>1145.3668213000001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1214.774476</v>
      </c>
      <c r="B2101" s="1">
        <f>DATE(2013,8,27) + TIME(18,35,14)</f>
        <v>41513.774467592593</v>
      </c>
      <c r="C2101">
        <v>80</v>
      </c>
      <c r="D2101">
        <v>79.981338500999996</v>
      </c>
      <c r="E2101">
        <v>50</v>
      </c>
      <c r="F2101">
        <v>41.531261444000002</v>
      </c>
      <c r="G2101">
        <v>1447.7701416</v>
      </c>
      <c r="H2101">
        <v>1416.1113281</v>
      </c>
      <c r="I2101">
        <v>1198.8990478999999</v>
      </c>
      <c r="J2101">
        <v>1144.7791748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1216.4874910000001</v>
      </c>
      <c r="B2102" s="1">
        <f>DATE(2013,8,29) + TIME(11,41,59)</f>
        <v>41515.487488425926</v>
      </c>
      <c r="C2102">
        <v>80</v>
      </c>
      <c r="D2102">
        <v>79.981361389</v>
      </c>
      <c r="E2102">
        <v>50</v>
      </c>
      <c r="F2102">
        <v>41.361289978000002</v>
      </c>
      <c r="G2102">
        <v>1447.6275635</v>
      </c>
      <c r="H2102">
        <v>1415.9692382999999</v>
      </c>
      <c r="I2102">
        <v>1198.4952393000001</v>
      </c>
      <c r="J2102">
        <v>1144.1806641000001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1218.2153310000001</v>
      </c>
      <c r="B2103" s="1">
        <f>DATE(2013,8,31) + TIME(5,10,4)</f>
        <v>41517.215324074074</v>
      </c>
      <c r="C2103">
        <v>80</v>
      </c>
      <c r="D2103">
        <v>79.981384277000004</v>
      </c>
      <c r="E2103">
        <v>50</v>
      </c>
      <c r="F2103">
        <v>41.187725067000002</v>
      </c>
      <c r="G2103">
        <v>1447.4853516000001</v>
      </c>
      <c r="H2103">
        <v>1415.8275146000001</v>
      </c>
      <c r="I2103">
        <v>1198.0837402</v>
      </c>
      <c r="J2103">
        <v>1143.5687256000001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1219</v>
      </c>
      <c r="B2104" s="1">
        <f>DATE(2013,9,1) + TIME(0,0,0)</f>
        <v>41518</v>
      </c>
      <c r="C2104">
        <v>80</v>
      </c>
      <c r="D2104">
        <v>79.981391907000003</v>
      </c>
      <c r="E2104">
        <v>50</v>
      </c>
      <c r="F2104">
        <v>41.040344238000003</v>
      </c>
      <c r="G2104">
        <v>1447.3447266000001</v>
      </c>
      <c r="H2104">
        <v>1415.6872559000001</v>
      </c>
      <c r="I2104">
        <v>1197.6669922000001</v>
      </c>
      <c r="J2104">
        <v>1142.9774170000001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1220.750873</v>
      </c>
      <c r="B2105" s="1">
        <f>DATE(2013,9,2) + TIME(18,1,15)</f>
        <v>41519.750868055555</v>
      </c>
      <c r="C2105">
        <v>80</v>
      </c>
      <c r="D2105">
        <v>79.981422424000002</v>
      </c>
      <c r="E2105">
        <v>50</v>
      </c>
      <c r="F2105">
        <v>40.917865753000001</v>
      </c>
      <c r="G2105">
        <v>1447.2786865</v>
      </c>
      <c r="H2105">
        <v>1415.6213379000001</v>
      </c>
      <c r="I2105">
        <v>1197.4709473</v>
      </c>
      <c r="J2105">
        <v>1142.6408690999999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1222.5330630000001</v>
      </c>
      <c r="B2106" s="1">
        <f>DATE(2013,9,4) + TIME(12,47,36)</f>
        <v>41521.533055555556</v>
      </c>
      <c r="C2106">
        <v>80</v>
      </c>
      <c r="D2106">
        <v>79.981445312000005</v>
      </c>
      <c r="E2106">
        <v>50</v>
      </c>
      <c r="F2106">
        <v>40.744503021</v>
      </c>
      <c r="G2106">
        <v>1447.1379394999999</v>
      </c>
      <c r="H2106">
        <v>1415.4810791</v>
      </c>
      <c r="I2106">
        <v>1197.0433350000001</v>
      </c>
      <c r="J2106">
        <v>1142.0092772999999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1224.326243</v>
      </c>
      <c r="B2107" s="1">
        <f>DATE(2013,9,6) + TIME(7,49,47)</f>
        <v>41523.326238425929</v>
      </c>
      <c r="C2107">
        <v>80</v>
      </c>
      <c r="D2107">
        <v>79.981468200999998</v>
      </c>
      <c r="E2107">
        <v>50</v>
      </c>
      <c r="F2107">
        <v>40.558567046999997</v>
      </c>
      <c r="G2107">
        <v>1446.9953613</v>
      </c>
      <c r="H2107">
        <v>1415.3388672000001</v>
      </c>
      <c r="I2107">
        <v>1196.6029053</v>
      </c>
      <c r="J2107">
        <v>1141.3481445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1226.1363260000001</v>
      </c>
      <c r="B2108" s="1">
        <f>DATE(2013,9,8) + TIME(3,16,18)</f>
        <v>41525.136319444442</v>
      </c>
      <c r="C2108">
        <v>80</v>
      </c>
      <c r="D2108">
        <v>79.981498717999997</v>
      </c>
      <c r="E2108">
        <v>50</v>
      </c>
      <c r="F2108">
        <v>40.368003844999997</v>
      </c>
      <c r="G2108">
        <v>1446.8535156</v>
      </c>
      <c r="H2108">
        <v>1415.1972656</v>
      </c>
      <c r="I2108">
        <v>1196.1563721</v>
      </c>
      <c r="J2108">
        <v>1140.6738281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1227.96101</v>
      </c>
      <c r="B2109" s="1">
        <f>DATE(2013,9,9) + TIME(23,3,51)</f>
        <v>41526.961006944446</v>
      </c>
      <c r="C2109">
        <v>80</v>
      </c>
      <c r="D2109">
        <v>79.981521606000001</v>
      </c>
      <c r="E2109">
        <v>50</v>
      </c>
      <c r="F2109">
        <v>40.173664092999999</v>
      </c>
      <c r="G2109">
        <v>1446.7117920000001</v>
      </c>
      <c r="H2109">
        <v>1415.0559082</v>
      </c>
      <c r="I2109">
        <v>1195.7026367000001</v>
      </c>
      <c r="J2109">
        <v>1139.9860839999999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1229.80106</v>
      </c>
      <c r="B2110" s="1">
        <f>DATE(2013,9,11) + TIME(19,13,31)</f>
        <v>41528.801053240742</v>
      </c>
      <c r="C2110">
        <v>80</v>
      </c>
      <c r="D2110">
        <v>79.981544494999994</v>
      </c>
      <c r="E2110">
        <v>50</v>
      </c>
      <c r="F2110">
        <v>39.976024627999998</v>
      </c>
      <c r="G2110">
        <v>1446.5703125</v>
      </c>
      <c r="H2110">
        <v>1414.9147949000001</v>
      </c>
      <c r="I2110">
        <v>1195.2426757999999</v>
      </c>
      <c r="J2110">
        <v>1139.2863769999999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1231.659913</v>
      </c>
      <c r="B2111" s="1">
        <f>DATE(2013,9,13) + TIME(15,50,16)</f>
        <v>41530.659907407404</v>
      </c>
      <c r="C2111">
        <v>80</v>
      </c>
      <c r="D2111">
        <v>79.981567382999998</v>
      </c>
      <c r="E2111">
        <v>50</v>
      </c>
      <c r="F2111">
        <v>39.775180816999999</v>
      </c>
      <c r="G2111">
        <v>1446.4290771000001</v>
      </c>
      <c r="H2111">
        <v>1414.7739257999999</v>
      </c>
      <c r="I2111">
        <v>1194.7766113</v>
      </c>
      <c r="J2111">
        <v>1138.5748291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1233.526848</v>
      </c>
      <c r="B2112" s="1">
        <f>DATE(2013,9,15) + TIME(12,38,39)</f>
        <v>41532.52684027778</v>
      </c>
      <c r="C2112">
        <v>80</v>
      </c>
      <c r="D2112">
        <v>79.981590271000002</v>
      </c>
      <c r="E2112">
        <v>50</v>
      </c>
      <c r="F2112">
        <v>39.571147918999998</v>
      </c>
      <c r="G2112">
        <v>1446.2879639</v>
      </c>
      <c r="H2112">
        <v>1414.6330565999999</v>
      </c>
      <c r="I2112">
        <v>1194.3039550999999</v>
      </c>
      <c r="J2112">
        <v>1137.8509521000001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1235.408809</v>
      </c>
      <c r="B2113" s="1">
        <f>DATE(2013,9,17) + TIME(9,48,41)</f>
        <v>41534.408807870372</v>
      </c>
      <c r="C2113">
        <v>80</v>
      </c>
      <c r="D2113">
        <v>79.981620789000004</v>
      </c>
      <c r="E2113">
        <v>50</v>
      </c>
      <c r="F2113">
        <v>39.364719391000001</v>
      </c>
      <c r="G2113">
        <v>1446.1474608999999</v>
      </c>
      <c r="H2113">
        <v>1414.4930420000001</v>
      </c>
      <c r="I2113">
        <v>1193.8277588000001</v>
      </c>
      <c r="J2113">
        <v>1137.1187743999999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1237.308219</v>
      </c>
      <c r="B2114" s="1">
        <f>DATE(2013,9,19) + TIME(7,23,50)</f>
        <v>41536.308217592596</v>
      </c>
      <c r="C2114">
        <v>80</v>
      </c>
      <c r="D2114">
        <v>79.981643676999994</v>
      </c>
      <c r="E2114">
        <v>50</v>
      </c>
      <c r="F2114">
        <v>39.155666351000001</v>
      </c>
      <c r="G2114">
        <v>1446.0073242000001</v>
      </c>
      <c r="H2114">
        <v>1414.3531493999999</v>
      </c>
      <c r="I2114">
        <v>1193.3468018000001</v>
      </c>
      <c r="J2114">
        <v>1136.3765868999999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1239.228151</v>
      </c>
      <c r="B2115" s="1">
        <f>DATE(2013,9,21) + TIME(5,28,32)</f>
        <v>41538.228148148148</v>
      </c>
      <c r="C2115">
        <v>80</v>
      </c>
      <c r="D2115">
        <v>79.981666564999998</v>
      </c>
      <c r="E2115">
        <v>50</v>
      </c>
      <c r="F2115">
        <v>38.943840027</v>
      </c>
      <c r="G2115">
        <v>1445.8671875</v>
      </c>
      <c r="H2115">
        <v>1414.2133789</v>
      </c>
      <c r="I2115">
        <v>1192.8607178</v>
      </c>
      <c r="J2115">
        <v>1135.6241454999999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1241.1691020000001</v>
      </c>
      <c r="B2116" s="1">
        <f>DATE(2013,9,23) + TIME(4,3,30)</f>
        <v>41540.16909722222</v>
      </c>
      <c r="C2116">
        <v>80</v>
      </c>
      <c r="D2116">
        <v>79.981697083</v>
      </c>
      <c r="E2116">
        <v>50</v>
      </c>
      <c r="F2116">
        <v>38.729187011999997</v>
      </c>
      <c r="G2116">
        <v>1445.7269286999999</v>
      </c>
      <c r="H2116">
        <v>1414.0733643000001</v>
      </c>
      <c r="I2116">
        <v>1192.3693848</v>
      </c>
      <c r="J2116">
        <v>1134.8608397999999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1243.1146450000001</v>
      </c>
      <c r="B2117" s="1">
        <f>DATE(2013,9,25) + TIME(2,45,5)</f>
        <v>41542.114641203705</v>
      </c>
      <c r="C2117">
        <v>80</v>
      </c>
      <c r="D2117">
        <v>79.981719971000004</v>
      </c>
      <c r="E2117">
        <v>50</v>
      </c>
      <c r="F2117">
        <v>38.512119292999998</v>
      </c>
      <c r="G2117">
        <v>1445.5864257999999</v>
      </c>
      <c r="H2117">
        <v>1413.9331055</v>
      </c>
      <c r="I2117">
        <v>1191.8732910000001</v>
      </c>
      <c r="J2117">
        <v>1134.0875243999999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1245.0718429999999</v>
      </c>
      <c r="B2118" s="1">
        <f>DATE(2013,9,27) + TIME(1,43,27)</f>
        <v>41544.071840277778</v>
      </c>
      <c r="C2118">
        <v>80</v>
      </c>
      <c r="D2118">
        <v>79.981742858999993</v>
      </c>
      <c r="E2118">
        <v>50</v>
      </c>
      <c r="F2118">
        <v>38.294151306000003</v>
      </c>
      <c r="G2118">
        <v>1445.4468993999999</v>
      </c>
      <c r="H2118">
        <v>1413.7938231999999</v>
      </c>
      <c r="I2118">
        <v>1191.3770752</v>
      </c>
      <c r="J2118">
        <v>1133.3109131000001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1247.0455959999999</v>
      </c>
      <c r="B2119" s="1">
        <f>DATE(2013,9,29) + TIME(1,5,39)</f>
        <v>41546.045590277776</v>
      </c>
      <c r="C2119">
        <v>80</v>
      </c>
      <c r="D2119">
        <v>79.981765746999997</v>
      </c>
      <c r="E2119">
        <v>50</v>
      </c>
      <c r="F2119">
        <v>38.075065613</v>
      </c>
      <c r="G2119">
        <v>1445.3077393000001</v>
      </c>
      <c r="H2119">
        <v>1413.6549072</v>
      </c>
      <c r="I2119">
        <v>1190.8796387</v>
      </c>
      <c r="J2119">
        <v>1132.5296631000001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1249</v>
      </c>
      <c r="B2120" s="1">
        <f>DATE(2013,10,1) + TIME(0,0,0)</f>
        <v>41548</v>
      </c>
      <c r="C2120">
        <v>80</v>
      </c>
      <c r="D2120">
        <v>79.981796265</v>
      </c>
      <c r="E2120">
        <v>50</v>
      </c>
      <c r="F2120">
        <v>37.855400084999999</v>
      </c>
      <c r="G2120">
        <v>1445.1687012</v>
      </c>
      <c r="H2120">
        <v>1413.5161132999999</v>
      </c>
      <c r="I2120">
        <v>1190.3803711</v>
      </c>
      <c r="J2120">
        <v>1131.7436522999999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1250.991264</v>
      </c>
      <c r="B2121" s="1">
        <f>DATE(2013,10,2) + TIME(23,47,25)</f>
        <v>41549.991261574076</v>
      </c>
      <c r="C2121">
        <v>80</v>
      </c>
      <c r="D2121">
        <v>79.981819153000004</v>
      </c>
      <c r="E2121">
        <v>50</v>
      </c>
      <c r="F2121">
        <v>37.637325287000003</v>
      </c>
      <c r="G2121">
        <v>1445.0321045000001</v>
      </c>
      <c r="H2121">
        <v>1413.3797606999999</v>
      </c>
      <c r="I2121">
        <v>1189.8890381000001</v>
      </c>
      <c r="J2121">
        <v>1130.965332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1253.0200830000001</v>
      </c>
      <c r="B2122" s="1">
        <f>DATE(2013,10,5) + TIME(0,28,55)</f>
        <v>41552.02008101852</v>
      </c>
      <c r="C2122">
        <v>80</v>
      </c>
      <c r="D2122">
        <v>79.981842040999993</v>
      </c>
      <c r="E2122">
        <v>50</v>
      </c>
      <c r="F2122">
        <v>37.417201996000003</v>
      </c>
      <c r="G2122">
        <v>1444.894043</v>
      </c>
      <c r="H2122">
        <v>1413.2419434000001</v>
      </c>
      <c r="I2122">
        <v>1189.3924560999999</v>
      </c>
      <c r="J2122">
        <v>1130.1768798999999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1255.058385</v>
      </c>
      <c r="B2123" s="1">
        <f>DATE(2013,10,7) + TIME(1,24,4)</f>
        <v>41554.058379629627</v>
      </c>
      <c r="C2123">
        <v>80</v>
      </c>
      <c r="D2123">
        <v>79.981872558999996</v>
      </c>
      <c r="E2123">
        <v>50</v>
      </c>
      <c r="F2123">
        <v>37.195148467999999</v>
      </c>
      <c r="G2123">
        <v>1444.7546387</v>
      </c>
      <c r="H2123">
        <v>1413.1027832</v>
      </c>
      <c r="I2123">
        <v>1188.8911132999999</v>
      </c>
      <c r="J2123">
        <v>1129.3786620999999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1257.1117139999999</v>
      </c>
      <c r="B2124" s="1">
        <f>DATE(2013,10,9) + TIME(2,40,52)</f>
        <v>41556.111712962964</v>
      </c>
      <c r="C2124">
        <v>80</v>
      </c>
      <c r="D2124">
        <v>79.981895446999999</v>
      </c>
      <c r="E2124">
        <v>50</v>
      </c>
      <c r="F2124">
        <v>36.973823547000002</v>
      </c>
      <c r="G2124">
        <v>1444.6157227000001</v>
      </c>
      <c r="H2124">
        <v>1412.9639893000001</v>
      </c>
      <c r="I2124">
        <v>1188.3930664</v>
      </c>
      <c r="J2124">
        <v>1128.5820312000001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1259.1800020000001</v>
      </c>
      <c r="B2125" s="1">
        <f>DATE(2013,10,11) + TIME(4,19,12)</f>
        <v>41558.18</v>
      </c>
      <c r="C2125">
        <v>80</v>
      </c>
      <c r="D2125">
        <v>79.981918335000003</v>
      </c>
      <c r="E2125">
        <v>50</v>
      </c>
      <c r="F2125">
        <v>36.753486633000001</v>
      </c>
      <c r="G2125">
        <v>1444.4768065999999</v>
      </c>
      <c r="H2125">
        <v>1412.8253173999999</v>
      </c>
      <c r="I2125">
        <v>1187.8977050999999</v>
      </c>
      <c r="J2125">
        <v>1127.7869873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1261.2638469999999</v>
      </c>
      <c r="B2126" s="1">
        <f>DATE(2013,10,13) + TIME(6,19,56)</f>
        <v>41560.263842592591</v>
      </c>
      <c r="C2126">
        <v>80</v>
      </c>
      <c r="D2126">
        <v>79.981948853000006</v>
      </c>
      <c r="E2126">
        <v>50</v>
      </c>
      <c r="F2126">
        <v>36.534793854</v>
      </c>
      <c r="G2126">
        <v>1444.3378906</v>
      </c>
      <c r="H2126">
        <v>1412.6867675999999</v>
      </c>
      <c r="I2126">
        <v>1187.4063721</v>
      </c>
      <c r="J2126">
        <v>1126.9953613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1263.350322</v>
      </c>
      <c r="B2127" s="1">
        <f>DATE(2013,10,15) + TIME(8,24,27)</f>
        <v>41562.350312499999</v>
      </c>
      <c r="C2127">
        <v>80</v>
      </c>
      <c r="D2127">
        <v>79.981971740999995</v>
      </c>
      <c r="E2127">
        <v>50</v>
      </c>
      <c r="F2127">
        <v>36.318351745999998</v>
      </c>
      <c r="G2127">
        <v>1444.1990966999999</v>
      </c>
      <c r="H2127">
        <v>1412.5480957</v>
      </c>
      <c r="I2127">
        <v>1186.9197998</v>
      </c>
      <c r="J2127">
        <v>1126.208374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1265.4417080000001</v>
      </c>
      <c r="B2128" s="1">
        <f>DATE(2013,10,17) + TIME(10,36,3)</f>
        <v>41564.441701388889</v>
      </c>
      <c r="C2128">
        <v>80</v>
      </c>
      <c r="D2128">
        <v>79.981994628999999</v>
      </c>
      <c r="E2128">
        <v>50</v>
      </c>
      <c r="F2128">
        <v>36.105884551999999</v>
      </c>
      <c r="G2128">
        <v>1444.0611572</v>
      </c>
      <c r="H2128">
        <v>1412.4102783000001</v>
      </c>
      <c r="I2128">
        <v>1186.4423827999999</v>
      </c>
      <c r="J2128">
        <v>1125.4332274999999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1267.545785</v>
      </c>
      <c r="B2129" s="1">
        <f>DATE(2013,10,19) + TIME(13,5,55)</f>
        <v>41566.545775462961</v>
      </c>
      <c r="C2129">
        <v>80</v>
      </c>
      <c r="D2129">
        <v>79.982025145999998</v>
      </c>
      <c r="E2129">
        <v>50</v>
      </c>
      <c r="F2129">
        <v>35.897708893000001</v>
      </c>
      <c r="G2129">
        <v>1443.9238281</v>
      </c>
      <c r="H2129">
        <v>1412.2730713000001</v>
      </c>
      <c r="I2129">
        <v>1185.9741211</v>
      </c>
      <c r="J2129">
        <v>1124.6699219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1269.6845390000001</v>
      </c>
      <c r="B2130" s="1">
        <f>DATE(2013,10,21) + TIME(16,25,44)</f>
        <v>41568.684537037036</v>
      </c>
      <c r="C2130">
        <v>80</v>
      </c>
      <c r="D2130">
        <v>79.982048035000005</v>
      </c>
      <c r="E2130">
        <v>50</v>
      </c>
      <c r="F2130">
        <v>35.693885803000001</v>
      </c>
      <c r="G2130">
        <v>1443.786499</v>
      </c>
      <c r="H2130">
        <v>1412.1359863</v>
      </c>
      <c r="I2130">
        <v>1185.5151367000001</v>
      </c>
      <c r="J2130">
        <v>1123.9187012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1271.835212</v>
      </c>
      <c r="B2131" s="1">
        <f>DATE(2013,10,23) + TIME(20,2,42)</f>
        <v>41570.83520833333</v>
      </c>
      <c r="C2131">
        <v>80</v>
      </c>
      <c r="D2131">
        <v>79.982078552000004</v>
      </c>
      <c r="E2131">
        <v>50</v>
      </c>
      <c r="F2131">
        <v>35.493671417000002</v>
      </c>
      <c r="G2131">
        <v>1443.6479492000001</v>
      </c>
      <c r="H2131">
        <v>1411.9976807</v>
      </c>
      <c r="I2131">
        <v>1185.0614014</v>
      </c>
      <c r="J2131">
        <v>1123.1740723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1273.9934900000001</v>
      </c>
      <c r="B2132" s="1">
        <f>DATE(2013,10,25) + TIME(23,50,37)</f>
        <v>41572.993483796294</v>
      </c>
      <c r="C2132">
        <v>80</v>
      </c>
      <c r="D2132">
        <v>79.982101439999994</v>
      </c>
      <c r="E2132">
        <v>50</v>
      </c>
      <c r="F2132">
        <v>35.299751282000003</v>
      </c>
      <c r="G2132">
        <v>1443.5095214999999</v>
      </c>
      <c r="H2132">
        <v>1411.859375</v>
      </c>
      <c r="I2132">
        <v>1184.6201172000001</v>
      </c>
      <c r="J2132">
        <v>1122.4470214999999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1275.080786</v>
      </c>
      <c r="B2133" s="1">
        <f>DATE(2013,10,27) + TIME(1,56,19)</f>
        <v>41574.080775462964</v>
      </c>
      <c r="C2133">
        <v>80</v>
      </c>
      <c r="D2133">
        <v>79.982109070000007</v>
      </c>
      <c r="E2133">
        <v>50</v>
      </c>
      <c r="F2133">
        <v>35.135383605999998</v>
      </c>
      <c r="G2133">
        <v>1443.3725586</v>
      </c>
      <c r="H2133">
        <v>1411.7226562000001</v>
      </c>
      <c r="I2133">
        <v>1184.1949463000001</v>
      </c>
      <c r="J2133">
        <v>1121.7727050999999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1277.1992600000001</v>
      </c>
      <c r="B2134" s="1">
        <f>DATE(2013,10,29) + TIME(4,46,56)</f>
        <v>41576.199259259258</v>
      </c>
      <c r="C2134">
        <v>80</v>
      </c>
      <c r="D2134">
        <v>79.982139587000006</v>
      </c>
      <c r="E2134">
        <v>50</v>
      </c>
      <c r="F2134">
        <v>35.014533997000001</v>
      </c>
      <c r="G2134">
        <v>1443.3015137</v>
      </c>
      <c r="H2134">
        <v>1411.6516113</v>
      </c>
      <c r="I2134">
        <v>1183.9835204999999</v>
      </c>
      <c r="J2134">
        <v>1121.3813477000001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1279.3592779999999</v>
      </c>
      <c r="B2135" s="1">
        <f>DATE(2013,10,31) + TIME(8,37,21)</f>
        <v>41578.359270833331</v>
      </c>
      <c r="C2135">
        <v>80</v>
      </c>
      <c r="D2135">
        <v>79.982162475999999</v>
      </c>
      <c r="E2135">
        <v>50</v>
      </c>
      <c r="F2135">
        <v>34.853038787999999</v>
      </c>
      <c r="G2135">
        <v>1443.1680908000001</v>
      </c>
      <c r="H2135">
        <v>1411.5183105000001</v>
      </c>
      <c r="I2135">
        <v>1183.5915527</v>
      </c>
      <c r="J2135">
        <v>1120.7404785000001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1280</v>
      </c>
      <c r="B2136" s="1">
        <f>DATE(2013,11,1) + TIME(0,0,0)</f>
        <v>41579</v>
      </c>
      <c r="C2136">
        <v>80</v>
      </c>
      <c r="D2136">
        <v>79.982170104999994</v>
      </c>
      <c r="E2136">
        <v>50</v>
      </c>
      <c r="F2136">
        <v>34.731681823999999</v>
      </c>
      <c r="G2136">
        <v>1443.0349120999999</v>
      </c>
      <c r="H2136">
        <v>1411.3852539</v>
      </c>
      <c r="I2136">
        <v>1183.2145995999999</v>
      </c>
      <c r="J2136">
        <v>1120.1663818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1280.0000010000001</v>
      </c>
      <c r="B2137" s="1">
        <f>DATE(2013,11,1) + TIME(0,0,0)</f>
        <v>41579</v>
      </c>
      <c r="C2137">
        <v>80</v>
      </c>
      <c r="D2137">
        <v>79.981857300000001</v>
      </c>
      <c r="E2137">
        <v>50</v>
      </c>
      <c r="F2137">
        <v>34.731983184999997</v>
      </c>
      <c r="G2137">
        <v>1409.2050781</v>
      </c>
      <c r="H2137">
        <v>1377.5700684000001</v>
      </c>
      <c r="I2137">
        <v>1248.4224853999999</v>
      </c>
      <c r="J2137">
        <v>1185.4085693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1280.000004</v>
      </c>
      <c r="B2138" s="1">
        <f>DATE(2013,11,1) + TIME(0,0,0)</f>
        <v>41579</v>
      </c>
      <c r="C2138">
        <v>80</v>
      </c>
      <c r="D2138">
        <v>79.981071471999996</v>
      </c>
      <c r="E2138">
        <v>50</v>
      </c>
      <c r="F2138">
        <v>34.732814789000003</v>
      </c>
      <c r="G2138">
        <v>1403.6975098</v>
      </c>
      <c r="H2138">
        <v>1372.0618896000001</v>
      </c>
      <c r="I2138">
        <v>1254.4266356999999</v>
      </c>
      <c r="J2138">
        <v>1191.4206543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1280.0000130000001</v>
      </c>
      <c r="B2139" s="1">
        <f>DATE(2013,11,1) + TIME(0,0,1)</f>
        <v>41579.000011574077</v>
      </c>
      <c r="C2139">
        <v>80</v>
      </c>
      <c r="D2139">
        <v>79.979492187999995</v>
      </c>
      <c r="E2139">
        <v>50</v>
      </c>
      <c r="F2139">
        <v>34.734882355000003</v>
      </c>
      <c r="G2139">
        <v>1392.5810547000001</v>
      </c>
      <c r="H2139">
        <v>1360.9447021000001</v>
      </c>
      <c r="I2139">
        <v>1268.6955565999999</v>
      </c>
      <c r="J2139">
        <v>1205.7104492000001</v>
      </c>
      <c r="K2139">
        <v>0</v>
      </c>
      <c r="L2139">
        <v>2400</v>
      </c>
      <c r="M2139">
        <v>2400</v>
      </c>
      <c r="N2139">
        <v>0</v>
      </c>
    </row>
    <row r="2140" spans="1:14" x14ac:dyDescent="0.25">
      <c r="A2140">
        <v>1280.0000399999999</v>
      </c>
      <c r="B2140" s="1">
        <f>DATE(2013,11,1) + TIME(0,0,3)</f>
        <v>41579.000034722223</v>
      </c>
      <c r="C2140">
        <v>80</v>
      </c>
      <c r="D2140">
        <v>79.977180481000005</v>
      </c>
      <c r="E2140">
        <v>50</v>
      </c>
      <c r="F2140">
        <v>34.739124298</v>
      </c>
      <c r="G2140">
        <v>1376.3482666</v>
      </c>
      <c r="H2140">
        <v>1344.7114257999999</v>
      </c>
      <c r="I2140">
        <v>1294.6967772999999</v>
      </c>
      <c r="J2140">
        <v>1231.7456055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1280.000121</v>
      </c>
      <c r="B2141" s="1">
        <f>DATE(2013,11,1) + TIME(0,0,10)</f>
        <v>41579.000115740739</v>
      </c>
      <c r="C2141">
        <v>80</v>
      </c>
      <c r="D2141">
        <v>79.974601746000005</v>
      </c>
      <c r="E2141">
        <v>50</v>
      </c>
      <c r="F2141">
        <v>34.746730804000002</v>
      </c>
      <c r="G2141">
        <v>1358.2867432</v>
      </c>
      <c r="H2141">
        <v>1326.6529541</v>
      </c>
      <c r="I2141">
        <v>1328.8513184000001</v>
      </c>
      <c r="J2141">
        <v>1265.9360352000001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1280.000364</v>
      </c>
      <c r="B2142" s="1">
        <f>DATE(2013,11,1) + TIME(0,0,31)</f>
        <v>41579.000358796293</v>
      </c>
      <c r="C2142">
        <v>80</v>
      </c>
      <c r="D2142">
        <v>79.971977233999993</v>
      </c>
      <c r="E2142">
        <v>50</v>
      </c>
      <c r="F2142">
        <v>34.761806487999998</v>
      </c>
      <c r="G2142">
        <v>1340.1455077999999</v>
      </c>
      <c r="H2142">
        <v>1308.5155029</v>
      </c>
      <c r="I2142">
        <v>1365.0838623</v>
      </c>
      <c r="J2142">
        <v>1302.2075195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1280.0010930000001</v>
      </c>
      <c r="B2143" s="1">
        <f>DATE(2013,11,1) + TIME(0,1,34)</f>
        <v>41579.001087962963</v>
      </c>
      <c r="C2143">
        <v>80</v>
      </c>
      <c r="D2143">
        <v>79.969261169000006</v>
      </c>
      <c r="E2143">
        <v>50</v>
      </c>
      <c r="F2143">
        <v>34.798545836999999</v>
      </c>
      <c r="G2143">
        <v>1322.0251464999999</v>
      </c>
      <c r="H2143">
        <v>1290.3977050999999</v>
      </c>
      <c r="I2143">
        <v>1401.6253661999999</v>
      </c>
      <c r="J2143">
        <v>1338.7790527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1280.0032799999999</v>
      </c>
      <c r="B2144" s="1">
        <f>DATE(2013,11,1) + TIME(0,4,43)</f>
        <v>41579.003275462965</v>
      </c>
      <c r="C2144">
        <v>80</v>
      </c>
      <c r="D2144">
        <v>79.966224670000003</v>
      </c>
      <c r="E2144">
        <v>50</v>
      </c>
      <c r="F2144">
        <v>34.899742126</v>
      </c>
      <c r="G2144">
        <v>1303.6140137</v>
      </c>
      <c r="H2144">
        <v>1271.9863281</v>
      </c>
      <c r="I2144">
        <v>1438.7429199000001</v>
      </c>
      <c r="J2144">
        <v>1375.9693603999999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1280.0098410000001</v>
      </c>
      <c r="B2145" s="1">
        <f>DATE(2013,11,1) + TIME(0,14,10)</f>
        <v>41579.009837962964</v>
      </c>
      <c r="C2145">
        <v>80</v>
      </c>
      <c r="D2145">
        <v>79.962196349999999</v>
      </c>
      <c r="E2145">
        <v>50</v>
      </c>
      <c r="F2145">
        <v>35.189407349</v>
      </c>
      <c r="G2145">
        <v>1284.0175781</v>
      </c>
      <c r="H2145">
        <v>1252.3875731999999</v>
      </c>
      <c r="I2145">
        <v>1476.2318115</v>
      </c>
      <c r="J2145">
        <v>1413.7661132999999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1280.029524</v>
      </c>
      <c r="B2146" s="1">
        <f>DATE(2013,11,1) + TIME(0,42,30)</f>
        <v>41579.029513888891</v>
      </c>
      <c r="C2146">
        <v>80</v>
      </c>
      <c r="D2146">
        <v>79.955841063999998</v>
      </c>
      <c r="E2146">
        <v>50</v>
      </c>
      <c r="F2146">
        <v>36.003047942999999</v>
      </c>
      <c r="G2146">
        <v>1264.5667725000001</v>
      </c>
      <c r="H2146">
        <v>1232.934082</v>
      </c>
      <c r="I2146">
        <v>1509.2777100000001</v>
      </c>
      <c r="J2146">
        <v>1447.7584228999999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1280.0514880000001</v>
      </c>
      <c r="B2147" s="1">
        <f>DATE(2013,11,1) + TIME(1,14,8)</f>
        <v>41579.051481481481</v>
      </c>
      <c r="C2147">
        <v>80</v>
      </c>
      <c r="D2147">
        <v>79.950576781999999</v>
      </c>
      <c r="E2147">
        <v>50</v>
      </c>
      <c r="F2147">
        <v>36.854473114000001</v>
      </c>
      <c r="G2147">
        <v>1255.8649902</v>
      </c>
      <c r="H2147">
        <v>1224.2307129000001</v>
      </c>
      <c r="I2147">
        <v>1522.6699219</v>
      </c>
      <c r="J2147">
        <v>1462.1251221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1280.0748120000001</v>
      </c>
      <c r="B2148" s="1">
        <f>DATE(2013,11,1) + TIME(1,47,43)</f>
        <v>41579.074803240743</v>
      </c>
      <c r="C2148">
        <v>80</v>
      </c>
      <c r="D2148">
        <v>79.945777892999999</v>
      </c>
      <c r="E2148">
        <v>50</v>
      </c>
      <c r="F2148">
        <v>37.700618744000003</v>
      </c>
      <c r="G2148">
        <v>1252.0355225000001</v>
      </c>
      <c r="H2148">
        <v>1220.4001464999999</v>
      </c>
      <c r="I2148">
        <v>1527.9020995999999</v>
      </c>
      <c r="J2148">
        <v>1468.3034668</v>
      </c>
      <c r="K2148">
        <v>0</v>
      </c>
      <c r="L2148">
        <v>2400</v>
      </c>
      <c r="M2148">
        <v>2400</v>
      </c>
      <c r="N2148">
        <v>0</v>
      </c>
    </row>
    <row r="2149" spans="1:14" x14ac:dyDescent="0.25">
      <c r="A2149">
        <v>1280.0996270000001</v>
      </c>
      <c r="B2149" s="1">
        <f>DATE(2013,11,1) + TIME(2,23,27)</f>
        <v>41579.099618055552</v>
      </c>
      <c r="C2149">
        <v>80</v>
      </c>
      <c r="D2149">
        <v>79.941085814999994</v>
      </c>
      <c r="E2149">
        <v>50</v>
      </c>
      <c r="F2149">
        <v>38.540100098000003</v>
      </c>
      <c r="G2149">
        <v>1250.3942870999999</v>
      </c>
      <c r="H2149">
        <v>1218.7579346</v>
      </c>
      <c r="I2149">
        <v>1529.5507812000001</v>
      </c>
      <c r="J2149">
        <v>1470.8671875</v>
      </c>
      <c r="K2149">
        <v>0</v>
      </c>
      <c r="L2149">
        <v>2400</v>
      </c>
      <c r="M2149">
        <v>2400</v>
      </c>
      <c r="N2149">
        <v>0</v>
      </c>
    </row>
    <row r="2150" spans="1:14" x14ac:dyDescent="0.25">
      <c r="A2150">
        <v>1280.126121</v>
      </c>
      <c r="B2150" s="1">
        <f>DATE(2013,11,1) + TIME(3,1,36)</f>
        <v>41579.126111111109</v>
      </c>
      <c r="C2150">
        <v>80</v>
      </c>
      <c r="D2150">
        <v>79.936309813999998</v>
      </c>
      <c r="E2150">
        <v>50</v>
      </c>
      <c r="F2150">
        <v>39.372173308999997</v>
      </c>
      <c r="G2150">
        <v>1249.7292480000001</v>
      </c>
      <c r="H2150">
        <v>1218.0917969</v>
      </c>
      <c r="I2150">
        <v>1529.5679932</v>
      </c>
      <c r="J2150">
        <v>1471.7683105000001</v>
      </c>
      <c r="K2150">
        <v>0</v>
      </c>
      <c r="L2150">
        <v>2400</v>
      </c>
      <c r="M2150">
        <v>2400</v>
      </c>
      <c r="N2150">
        <v>0</v>
      </c>
    </row>
    <row r="2151" spans="1:14" x14ac:dyDescent="0.25">
      <c r="A2151">
        <v>1280.154532</v>
      </c>
      <c r="B2151" s="1">
        <f>DATE(2013,11,1) + TIME(3,42,31)</f>
        <v>41579.15452546296</v>
      </c>
      <c r="C2151">
        <v>80</v>
      </c>
      <c r="D2151">
        <v>79.931350707999997</v>
      </c>
      <c r="E2151">
        <v>50</v>
      </c>
      <c r="F2151">
        <v>40.196228026999997</v>
      </c>
      <c r="G2151">
        <v>1249.4822998</v>
      </c>
      <c r="H2151">
        <v>1217.8438721</v>
      </c>
      <c r="I2151">
        <v>1528.8499756000001</v>
      </c>
      <c r="J2151">
        <v>1471.9034423999999</v>
      </c>
      <c r="K2151">
        <v>0</v>
      </c>
      <c r="L2151">
        <v>2400</v>
      </c>
      <c r="M2151">
        <v>2400</v>
      </c>
      <c r="N2151">
        <v>0</v>
      </c>
    </row>
    <row r="2152" spans="1:14" x14ac:dyDescent="0.25">
      <c r="A2152">
        <v>1280.185158</v>
      </c>
      <c r="B2152" s="1">
        <f>DATE(2013,11,1) + TIME(4,26,37)</f>
        <v>41579.185150462959</v>
      </c>
      <c r="C2152">
        <v>80</v>
      </c>
      <c r="D2152">
        <v>79.926139832000004</v>
      </c>
      <c r="E2152">
        <v>50</v>
      </c>
      <c r="F2152">
        <v>41.011680603000002</v>
      </c>
      <c r="G2152">
        <v>1249.4030762</v>
      </c>
      <c r="H2152">
        <v>1217.7635498</v>
      </c>
      <c r="I2152">
        <v>1527.8144531</v>
      </c>
      <c r="J2152">
        <v>1471.6906738</v>
      </c>
      <c r="K2152">
        <v>0</v>
      </c>
      <c r="L2152">
        <v>2400</v>
      </c>
      <c r="M2152">
        <v>2400</v>
      </c>
      <c r="N2152">
        <v>0</v>
      </c>
    </row>
    <row r="2153" spans="1:14" x14ac:dyDescent="0.25">
      <c r="A2153">
        <v>1280.2183680000001</v>
      </c>
      <c r="B2153" s="1">
        <f>DATE(2013,11,1) + TIME(5,14,27)</f>
        <v>41579.218368055554</v>
      </c>
      <c r="C2153">
        <v>80</v>
      </c>
      <c r="D2153">
        <v>79.920616150000001</v>
      </c>
      <c r="E2153">
        <v>50</v>
      </c>
      <c r="F2153">
        <v>41.817584990999997</v>
      </c>
      <c r="G2153">
        <v>1249.3842772999999</v>
      </c>
      <c r="H2153">
        <v>1217.7435303</v>
      </c>
      <c r="I2153">
        <v>1526.6539307</v>
      </c>
      <c r="J2153">
        <v>1471.3231201000001</v>
      </c>
      <c r="K2153">
        <v>0</v>
      </c>
      <c r="L2153">
        <v>2400</v>
      </c>
      <c r="M2153">
        <v>2400</v>
      </c>
      <c r="N2153">
        <v>0</v>
      </c>
    </row>
    <row r="2154" spans="1:14" x14ac:dyDescent="0.25">
      <c r="A2154">
        <v>1280.2546339999999</v>
      </c>
      <c r="B2154" s="1">
        <f>DATE(2013,11,1) + TIME(6,6,40)</f>
        <v>41579.254629629628</v>
      </c>
      <c r="C2154">
        <v>80</v>
      </c>
      <c r="D2154">
        <v>79.914718628000003</v>
      </c>
      <c r="E2154">
        <v>50</v>
      </c>
      <c r="F2154">
        <v>42.612892150999997</v>
      </c>
      <c r="G2154">
        <v>1249.3831786999999</v>
      </c>
      <c r="H2154">
        <v>1217.7413329999999</v>
      </c>
      <c r="I2154">
        <v>1525.4553223</v>
      </c>
      <c r="J2154">
        <v>1470.8880615</v>
      </c>
      <c r="K2154">
        <v>0</v>
      </c>
      <c r="L2154">
        <v>2400</v>
      </c>
      <c r="M2154">
        <v>2400</v>
      </c>
      <c r="N2154">
        <v>0</v>
      </c>
    </row>
    <row r="2155" spans="1:14" x14ac:dyDescent="0.25">
      <c r="A2155">
        <v>1280.2945580000001</v>
      </c>
      <c r="B2155" s="1">
        <f>DATE(2013,11,1) + TIME(7,4,9)</f>
        <v>41579.294548611113</v>
      </c>
      <c r="C2155">
        <v>80</v>
      </c>
      <c r="D2155">
        <v>79.908378600999995</v>
      </c>
      <c r="E2155">
        <v>50</v>
      </c>
      <c r="F2155">
        <v>43.396350861000002</v>
      </c>
      <c r="G2155">
        <v>1249.3847656</v>
      </c>
      <c r="H2155">
        <v>1217.7415771000001</v>
      </c>
      <c r="I2155">
        <v>1524.2565918</v>
      </c>
      <c r="J2155">
        <v>1470.4238281</v>
      </c>
      <c r="K2155">
        <v>0</v>
      </c>
      <c r="L2155">
        <v>2400</v>
      </c>
      <c r="M2155">
        <v>2400</v>
      </c>
      <c r="N2155">
        <v>0</v>
      </c>
    </row>
    <row r="2156" spans="1:14" x14ac:dyDescent="0.25">
      <c r="A2156">
        <v>1280.3389500000001</v>
      </c>
      <c r="B2156" s="1">
        <f>DATE(2013,11,1) + TIME(8,8,5)</f>
        <v>41579.338946759257</v>
      </c>
      <c r="C2156">
        <v>80</v>
      </c>
      <c r="D2156">
        <v>79.901496886999993</v>
      </c>
      <c r="E2156">
        <v>50</v>
      </c>
      <c r="F2156">
        <v>44.166530608999999</v>
      </c>
      <c r="G2156">
        <v>1249.3845214999999</v>
      </c>
      <c r="H2156">
        <v>1217.7399902</v>
      </c>
      <c r="I2156">
        <v>1523.0734863</v>
      </c>
      <c r="J2156">
        <v>1469.9461670000001</v>
      </c>
      <c r="K2156">
        <v>0</v>
      </c>
      <c r="L2156">
        <v>2400</v>
      </c>
      <c r="M2156">
        <v>2400</v>
      </c>
      <c r="N2156">
        <v>0</v>
      </c>
    </row>
    <row r="2157" spans="1:14" x14ac:dyDescent="0.25">
      <c r="A2157">
        <v>1280.3888959999999</v>
      </c>
      <c r="B2157" s="1">
        <f>DATE(2013,11,1) + TIME(9,20,0)</f>
        <v>41579.388888888891</v>
      </c>
      <c r="C2157">
        <v>80</v>
      </c>
      <c r="D2157">
        <v>79.893959045000003</v>
      </c>
      <c r="E2157">
        <v>50</v>
      </c>
      <c r="F2157">
        <v>44.921447753999999</v>
      </c>
      <c r="G2157">
        <v>1249.3819579999999</v>
      </c>
      <c r="H2157">
        <v>1217.7358397999999</v>
      </c>
      <c r="I2157">
        <v>1521.9116211</v>
      </c>
      <c r="J2157">
        <v>1469.4604492000001</v>
      </c>
      <c r="K2157">
        <v>0</v>
      </c>
      <c r="L2157">
        <v>2400</v>
      </c>
      <c r="M2157">
        <v>2400</v>
      </c>
      <c r="N2157">
        <v>0</v>
      </c>
    </row>
    <row r="2158" spans="1:14" x14ac:dyDescent="0.25">
      <c r="A2158">
        <v>1280.4459079999999</v>
      </c>
      <c r="B2158" s="1">
        <f>DATE(2013,11,1) + TIME(10,42,6)</f>
        <v>41579.445902777778</v>
      </c>
      <c r="C2158">
        <v>80</v>
      </c>
      <c r="D2158">
        <v>79.885604857999994</v>
      </c>
      <c r="E2158">
        <v>50</v>
      </c>
      <c r="F2158">
        <v>45.658504485999998</v>
      </c>
      <c r="G2158">
        <v>1249.3774414</v>
      </c>
      <c r="H2158">
        <v>1217.7296143000001</v>
      </c>
      <c r="I2158">
        <v>1520.7727050999999</v>
      </c>
      <c r="J2158">
        <v>1468.9675293</v>
      </c>
      <c r="K2158">
        <v>0</v>
      </c>
      <c r="L2158">
        <v>2400</v>
      </c>
      <c r="M2158">
        <v>2400</v>
      </c>
      <c r="N2158">
        <v>0</v>
      </c>
    </row>
    <row r="2159" spans="1:14" x14ac:dyDescent="0.25">
      <c r="A2159">
        <v>1280.512176</v>
      </c>
      <c r="B2159" s="1">
        <f>DATE(2013,11,1) + TIME(12,17,32)</f>
        <v>41579.512175925927</v>
      </c>
      <c r="C2159">
        <v>80</v>
      </c>
      <c r="D2159">
        <v>79.876190186000002</v>
      </c>
      <c r="E2159">
        <v>50</v>
      </c>
      <c r="F2159">
        <v>46.374179839999996</v>
      </c>
      <c r="G2159">
        <v>1249.3712158000001</v>
      </c>
      <c r="H2159">
        <v>1217.7214355000001</v>
      </c>
      <c r="I2159">
        <v>1519.6561279</v>
      </c>
      <c r="J2159">
        <v>1468.4654541</v>
      </c>
      <c r="K2159">
        <v>0</v>
      </c>
      <c r="L2159">
        <v>2400</v>
      </c>
      <c r="M2159">
        <v>2400</v>
      </c>
      <c r="N2159">
        <v>0</v>
      </c>
    </row>
    <row r="2160" spans="1:14" x14ac:dyDescent="0.25">
      <c r="A2160">
        <v>1280.591013</v>
      </c>
      <c r="B2160" s="1">
        <f>DATE(2013,11,1) + TIME(14,11,3)</f>
        <v>41579.591006944444</v>
      </c>
      <c r="C2160">
        <v>80</v>
      </c>
      <c r="D2160">
        <v>79.865386963000006</v>
      </c>
      <c r="E2160">
        <v>50</v>
      </c>
      <c r="F2160">
        <v>47.063610077</v>
      </c>
      <c r="G2160">
        <v>1249.3635254000001</v>
      </c>
      <c r="H2160">
        <v>1217.7115478999999</v>
      </c>
      <c r="I2160">
        <v>1518.5603027</v>
      </c>
      <c r="J2160">
        <v>1467.9501952999999</v>
      </c>
      <c r="K2160">
        <v>0</v>
      </c>
      <c r="L2160">
        <v>2400</v>
      </c>
      <c r="M2160">
        <v>2400</v>
      </c>
      <c r="N2160">
        <v>0</v>
      </c>
    </row>
    <row r="2161" spans="1:14" x14ac:dyDescent="0.25">
      <c r="A2161">
        <v>1280.67904</v>
      </c>
      <c r="B2161" s="1">
        <f>DATE(2013,11,1) + TIME(16,17,49)</f>
        <v>41579.679039351853</v>
      </c>
      <c r="C2161">
        <v>80</v>
      </c>
      <c r="D2161">
        <v>79.853584290000001</v>
      </c>
      <c r="E2161">
        <v>50</v>
      </c>
      <c r="F2161">
        <v>47.673221587999997</v>
      </c>
      <c r="G2161">
        <v>1249.354126</v>
      </c>
      <c r="H2161">
        <v>1217.6998291</v>
      </c>
      <c r="I2161">
        <v>1517.5437012</v>
      </c>
      <c r="J2161">
        <v>1467.4376221</v>
      </c>
      <c r="K2161">
        <v>0</v>
      </c>
      <c r="L2161">
        <v>2400</v>
      </c>
      <c r="M2161">
        <v>2400</v>
      </c>
      <c r="N2161">
        <v>0</v>
      </c>
    </row>
    <row r="2162" spans="1:14" x14ac:dyDescent="0.25">
      <c r="A2162">
        <v>1280.768221</v>
      </c>
      <c r="B2162" s="1">
        <f>DATE(2013,11,1) + TIME(18,26,14)</f>
        <v>41579.768217592595</v>
      </c>
      <c r="C2162">
        <v>80</v>
      </c>
      <c r="D2162">
        <v>79.841613769999995</v>
      </c>
      <c r="E2162">
        <v>50</v>
      </c>
      <c r="F2162">
        <v>48.160820006999998</v>
      </c>
      <c r="G2162">
        <v>1249.3435059000001</v>
      </c>
      <c r="H2162">
        <v>1217.6868896000001</v>
      </c>
      <c r="I2162">
        <v>1516.6667480000001</v>
      </c>
      <c r="J2162">
        <v>1466.9580077999999</v>
      </c>
      <c r="K2162">
        <v>0</v>
      </c>
      <c r="L2162">
        <v>2400</v>
      </c>
      <c r="M2162">
        <v>2400</v>
      </c>
      <c r="N2162">
        <v>0</v>
      </c>
    </row>
    <row r="2163" spans="1:14" x14ac:dyDescent="0.25">
      <c r="A2163">
        <v>1280.860676</v>
      </c>
      <c r="B2163" s="1">
        <f>DATE(2013,11,1) + TIME(20,39,22)</f>
        <v>41579.860671296294</v>
      </c>
      <c r="C2163">
        <v>80</v>
      </c>
      <c r="D2163">
        <v>79.829261779999996</v>
      </c>
      <c r="E2163">
        <v>50</v>
      </c>
      <c r="F2163">
        <v>48.556747436999999</v>
      </c>
      <c r="G2163">
        <v>1249.3327637</v>
      </c>
      <c r="H2163">
        <v>1217.6737060999999</v>
      </c>
      <c r="I2163">
        <v>1515.9113769999999</v>
      </c>
      <c r="J2163">
        <v>1466.5222168</v>
      </c>
      <c r="K2163">
        <v>0</v>
      </c>
      <c r="L2163">
        <v>2400</v>
      </c>
      <c r="M2163">
        <v>2400</v>
      </c>
      <c r="N2163">
        <v>0</v>
      </c>
    </row>
    <row r="2164" spans="1:14" x14ac:dyDescent="0.25">
      <c r="A2164">
        <v>1280.957535</v>
      </c>
      <c r="B2164" s="1">
        <f>DATE(2013,11,1) + TIME(22,58,51)</f>
        <v>41579.95753472222</v>
      </c>
      <c r="C2164">
        <v>80</v>
      </c>
      <c r="D2164">
        <v>79.816429138000004</v>
      </c>
      <c r="E2164">
        <v>50</v>
      </c>
      <c r="F2164">
        <v>48.878246306999998</v>
      </c>
      <c r="G2164">
        <v>1249.3214111</v>
      </c>
      <c r="H2164">
        <v>1217.6599120999999</v>
      </c>
      <c r="I2164">
        <v>1515.2486572</v>
      </c>
      <c r="J2164">
        <v>1466.1175536999999</v>
      </c>
      <c r="K2164">
        <v>0</v>
      </c>
      <c r="L2164">
        <v>2400</v>
      </c>
      <c r="M2164">
        <v>2400</v>
      </c>
      <c r="N2164">
        <v>0</v>
      </c>
    </row>
    <row r="2165" spans="1:14" x14ac:dyDescent="0.25">
      <c r="A2165">
        <v>1281.0601369999999</v>
      </c>
      <c r="B2165" s="1">
        <f>DATE(2013,11,2) + TIME(1,26,35)</f>
        <v>41580.060127314813</v>
      </c>
      <c r="C2165">
        <v>80</v>
      </c>
      <c r="D2165">
        <v>79.802978515999996</v>
      </c>
      <c r="E2165">
        <v>50</v>
      </c>
      <c r="F2165">
        <v>49.138710021999998</v>
      </c>
      <c r="G2165">
        <v>1249.3096923999999</v>
      </c>
      <c r="H2165">
        <v>1217.6455077999999</v>
      </c>
      <c r="I2165">
        <v>1514.6589355000001</v>
      </c>
      <c r="J2165">
        <v>1465.7362060999999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1281.1700370000001</v>
      </c>
      <c r="B2166" s="1">
        <f>DATE(2013,11,2) + TIME(4,4,51)</f>
        <v>41580.170034722221</v>
      </c>
      <c r="C2166">
        <v>80</v>
      </c>
      <c r="D2166">
        <v>79.788749695000007</v>
      </c>
      <c r="E2166">
        <v>50</v>
      </c>
      <c r="F2166">
        <v>49.348564148000001</v>
      </c>
      <c r="G2166">
        <v>1249.2972411999999</v>
      </c>
      <c r="H2166">
        <v>1217.630249</v>
      </c>
      <c r="I2166">
        <v>1514.1264647999999</v>
      </c>
      <c r="J2166">
        <v>1465.371582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1281.2891749999999</v>
      </c>
      <c r="B2167" s="1">
        <f>DATE(2013,11,2) + TIME(6,56,24)</f>
        <v>41580.289166666669</v>
      </c>
      <c r="C2167">
        <v>80</v>
      </c>
      <c r="D2167">
        <v>79.773551940999994</v>
      </c>
      <c r="E2167">
        <v>50</v>
      </c>
      <c r="F2167">
        <v>49.516193389999998</v>
      </c>
      <c r="G2167">
        <v>1249.2839355000001</v>
      </c>
      <c r="H2167">
        <v>1217.6138916</v>
      </c>
      <c r="I2167">
        <v>1513.6381836</v>
      </c>
      <c r="J2167">
        <v>1465.0180664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1281.420026</v>
      </c>
      <c r="B2168" s="1">
        <f>DATE(2013,11,2) + TIME(10,4,50)</f>
        <v>41580.420023148145</v>
      </c>
      <c r="C2168">
        <v>80</v>
      </c>
      <c r="D2168">
        <v>79.757141113000003</v>
      </c>
      <c r="E2168">
        <v>50</v>
      </c>
      <c r="F2168">
        <v>49.648456572999997</v>
      </c>
      <c r="G2168">
        <v>1249.2695312000001</v>
      </c>
      <c r="H2168">
        <v>1217.5963135</v>
      </c>
      <c r="I2168">
        <v>1513.1829834</v>
      </c>
      <c r="J2168">
        <v>1464.6702881000001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1281.5655549999999</v>
      </c>
      <c r="B2169" s="1">
        <f>DATE(2013,11,2) + TIME(13,34,23)</f>
        <v>41580.56554398148</v>
      </c>
      <c r="C2169">
        <v>80</v>
      </c>
      <c r="D2169">
        <v>79.739227295000006</v>
      </c>
      <c r="E2169">
        <v>50</v>
      </c>
      <c r="F2169">
        <v>49.750930785999998</v>
      </c>
      <c r="G2169">
        <v>1249.2536620999999</v>
      </c>
      <c r="H2169">
        <v>1217.5769043</v>
      </c>
      <c r="I2169">
        <v>1512.7512207</v>
      </c>
      <c r="J2169">
        <v>1464.322876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1281.7268999999999</v>
      </c>
      <c r="B2170" s="1">
        <f>DATE(2013,11,2) + TIME(17,26,44)</f>
        <v>41580.726898148147</v>
      </c>
      <c r="C2170">
        <v>80</v>
      </c>
      <c r="D2170">
        <v>79.719665527000004</v>
      </c>
      <c r="E2170">
        <v>50</v>
      </c>
      <c r="F2170">
        <v>49.827583312999998</v>
      </c>
      <c r="G2170">
        <v>1249.2362060999999</v>
      </c>
      <c r="H2170">
        <v>1217.5555420000001</v>
      </c>
      <c r="I2170">
        <v>1512.3349608999999</v>
      </c>
      <c r="J2170">
        <v>1463.9715576000001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1281.90904</v>
      </c>
      <c r="B2171" s="1">
        <f>DATE(2013,11,2) + TIME(21,49,1)</f>
        <v>41580.909039351849</v>
      </c>
      <c r="C2171">
        <v>80</v>
      </c>
      <c r="D2171">
        <v>79.698013306000007</v>
      </c>
      <c r="E2171">
        <v>50</v>
      </c>
      <c r="F2171">
        <v>49.883666992000002</v>
      </c>
      <c r="G2171">
        <v>1249.2166748</v>
      </c>
      <c r="H2171">
        <v>1217.5317382999999</v>
      </c>
      <c r="I2171">
        <v>1511.9299315999999</v>
      </c>
      <c r="J2171">
        <v>1463.6159668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1282.0969930000001</v>
      </c>
      <c r="B2172" s="1">
        <f>DATE(2013,11,3) + TIME(2,19,40)</f>
        <v>41581.096990740742</v>
      </c>
      <c r="C2172">
        <v>80</v>
      </c>
      <c r="D2172">
        <v>79.675270080999994</v>
      </c>
      <c r="E2172">
        <v>50</v>
      </c>
      <c r="F2172">
        <v>49.920791626000003</v>
      </c>
      <c r="G2172">
        <v>1249.1948242000001</v>
      </c>
      <c r="H2172">
        <v>1217.5054932</v>
      </c>
      <c r="I2172">
        <v>1511.5294189000001</v>
      </c>
      <c r="J2172">
        <v>1463.2508545000001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1282.2873930000001</v>
      </c>
      <c r="B2173" s="1">
        <f>DATE(2013,11,3) + TIME(6,53,50)</f>
        <v>41581.28738425926</v>
      </c>
      <c r="C2173">
        <v>80</v>
      </c>
      <c r="D2173">
        <v>79.651878357000001</v>
      </c>
      <c r="E2173">
        <v>50</v>
      </c>
      <c r="F2173">
        <v>49.944843292000002</v>
      </c>
      <c r="G2173">
        <v>1249.1721190999999</v>
      </c>
      <c r="H2173">
        <v>1217.4782714999999</v>
      </c>
      <c r="I2173">
        <v>1511.1593018000001</v>
      </c>
      <c r="J2173">
        <v>1462.9058838000001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1282.483344</v>
      </c>
      <c r="B2174" s="1">
        <f>DATE(2013,11,3) + TIME(11,36,0)</f>
        <v>41581.48333333333</v>
      </c>
      <c r="C2174">
        <v>80</v>
      </c>
      <c r="D2174">
        <v>79.627777100000003</v>
      </c>
      <c r="E2174">
        <v>50</v>
      </c>
      <c r="F2174">
        <v>49.960536957000002</v>
      </c>
      <c r="G2174">
        <v>1249.1490478999999</v>
      </c>
      <c r="H2174">
        <v>1217.4505615</v>
      </c>
      <c r="I2174">
        <v>1510.8186035000001</v>
      </c>
      <c r="J2174">
        <v>1462.5839844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1282.687737</v>
      </c>
      <c r="B2175" s="1">
        <f>DATE(2013,11,3) + TIME(16,30,20)</f>
        <v>41581.687731481485</v>
      </c>
      <c r="C2175">
        <v>80</v>
      </c>
      <c r="D2175">
        <v>79.602798461999996</v>
      </c>
      <c r="E2175">
        <v>50</v>
      </c>
      <c r="F2175">
        <v>49.970779419000003</v>
      </c>
      <c r="G2175">
        <v>1249.1254882999999</v>
      </c>
      <c r="H2175">
        <v>1217.4219971</v>
      </c>
      <c r="I2175">
        <v>1510.4975586</v>
      </c>
      <c r="J2175">
        <v>1462.2772216999999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1282.903577</v>
      </c>
      <c r="B2176" s="1">
        <f>DATE(2013,11,3) + TIME(21,41,9)</f>
        <v>41581.90357638889</v>
      </c>
      <c r="C2176">
        <v>80</v>
      </c>
      <c r="D2176">
        <v>79.576713561999995</v>
      </c>
      <c r="E2176">
        <v>50</v>
      </c>
      <c r="F2176">
        <v>49.977432251000003</v>
      </c>
      <c r="G2176">
        <v>1249.1009521000001</v>
      </c>
      <c r="H2176">
        <v>1217.3922118999999</v>
      </c>
      <c r="I2176">
        <v>1510.1884766000001</v>
      </c>
      <c r="J2176">
        <v>1461.9798584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1283.1344180000001</v>
      </c>
      <c r="B2177" s="1">
        <f>DATE(2013,11,4) + TIME(3,13,33)</f>
        <v>41582.134409722225</v>
      </c>
      <c r="C2177">
        <v>80</v>
      </c>
      <c r="D2177">
        <v>79.549224854000002</v>
      </c>
      <c r="E2177">
        <v>50</v>
      </c>
      <c r="F2177">
        <v>49.981712340999998</v>
      </c>
      <c r="G2177">
        <v>1249.0750731999999</v>
      </c>
      <c r="H2177">
        <v>1217.3608397999999</v>
      </c>
      <c r="I2177">
        <v>1509.8862305</v>
      </c>
      <c r="J2177">
        <v>1461.6875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1283.3846169999999</v>
      </c>
      <c r="B2178" s="1">
        <f>DATE(2013,11,4) + TIME(9,13,50)</f>
        <v>41582.384606481479</v>
      </c>
      <c r="C2178">
        <v>80</v>
      </c>
      <c r="D2178">
        <v>79.519927979000002</v>
      </c>
      <c r="E2178">
        <v>50</v>
      </c>
      <c r="F2178">
        <v>49.984436035000002</v>
      </c>
      <c r="G2178">
        <v>1249.0473632999999</v>
      </c>
      <c r="H2178">
        <v>1217.3273925999999</v>
      </c>
      <c r="I2178">
        <v>1509.5856934000001</v>
      </c>
      <c r="J2178">
        <v>1461.3957519999999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1283.6598839999999</v>
      </c>
      <c r="B2179" s="1">
        <f>DATE(2013,11,4) + TIME(15,50,13)</f>
        <v>41582.659872685188</v>
      </c>
      <c r="C2179">
        <v>80</v>
      </c>
      <c r="D2179">
        <v>79.488327025999993</v>
      </c>
      <c r="E2179">
        <v>50</v>
      </c>
      <c r="F2179">
        <v>49.986141205000003</v>
      </c>
      <c r="G2179">
        <v>1249.0174560999999</v>
      </c>
      <c r="H2179">
        <v>1217.2911377</v>
      </c>
      <c r="I2179">
        <v>1509.2824707</v>
      </c>
      <c r="J2179">
        <v>1461.1007079999999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1283.9619270000001</v>
      </c>
      <c r="B2180" s="1">
        <f>DATE(2013,11,4) + TIME(23,5,10)</f>
        <v>41582.961921296293</v>
      </c>
      <c r="C2180">
        <v>80</v>
      </c>
      <c r="D2180">
        <v>79.454078674000002</v>
      </c>
      <c r="E2180">
        <v>50</v>
      </c>
      <c r="F2180">
        <v>49.987174988</v>
      </c>
      <c r="G2180">
        <v>1248.9844971</v>
      </c>
      <c r="H2180">
        <v>1217.2514647999999</v>
      </c>
      <c r="I2180">
        <v>1508.9718018000001</v>
      </c>
      <c r="J2180">
        <v>1460.7982178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1284.268204</v>
      </c>
      <c r="B2181" s="1">
        <f>DATE(2013,11,5) + TIME(6,26,12)</f>
        <v>41583.268194444441</v>
      </c>
      <c r="C2181">
        <v>80</v>
      </c>
      <c r="D2181">
        <v>79.418319702000005</v>
      </c>
      <c r="E2181">
        <v>50</v>
      </c>
      <c r="F2181">
        <v>49.987762451000002</v>
      </c>
      <c r="G2181">
        <v>1248.9483643000001</v>
      </c>
      <c r="H2181">
        <v>1217.2082519999999</v>
      </c>
      <c r="I2181">
        <v>1508.6546631000001</v>
      </c>
      <c r="J2181">
        <v>1460.4890137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1284.5804579999999</v>
      </c>
      <c r="B2182" s="1">
        <f>DATE(2013,11,5) + TIME(13,55,51)</f>
        <v>41583.580451388887</v>
      </c>
      <c r="C2182">
        <v>80</v>
      </c>
      <c r="D2182">
        <v>79.381523131999998</v>
      </c>
      <c r="E2182">
        <v>50</v>
      </c>
      <c r="F2182">
        <v>49.988101958999998</v>
      </c>
      <c r="G2182">
        <v>1248.9116211</v>
      </c>
      <c r="H2182">
        <v>1217.1641846</v>
      </c>
      <c r="I2182">
        <v>1508.3552245999999</v>
      </c>
      <c r="J2182">
        <v>1460.1970214999999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1284.901936</v>
      </c>
      <c r="B2183" s="1">
        <f>DATE(2013,11,5) + TIME(21,38,47)</f>
        <v>41583.901932870373</v>
      </c>
      <c r="C2183">
        <v>80</v>
      </c>
      <c r="D2183">
        <v>79.343734741000006</v>
      </c>
      <c r="E2183">
        <v>50</v>
      </c>
      <c r="F2183">
        <v>49.988300322999997</v>
      </c>
      <c r="G2183">
        <v>1248.8741454999999</v>
      </c>
      <c r="H2183">
        <v>1217.1192627</v>
      </c>
      <c r="I2183">
        <v>1508.0698242000001</v>
      </c>
      <c r="J2183">
        <v>1459.9187012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1285.237484</v>
      </c>
      <c r="B2184" s="1">
        <f>DATE(2013,11,6) + TIME(5,41,58)</f>
        <v>41584.237476851849</v>
      </c>
      <c r="C2184">
        <v>80</v>
      </c>
      <c r="D2184">
        <v>79.304718018000003</v>
      </c>
      <c r="E2184">
        <v>50</v>
      </c>
      <c r="F2184">
        <v>49.988422393999997</v>
      </c>
      <c r="G2184">
        <v>1248.8356934000001</v>
      </c>
      <c r="H2184">
        <v>1217.072876</v>
      </c>
      <c r="I2184">
        <v>1507.7940673999999</v>
      </c>
      <c r="J2184">
        <v>1459.6497803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1285.592482</v>
      </c>
      <c r="B2185" s="1">
        <f>DATE(2013,11,6) + TIME(14,13,10)</f>
        <v>41584.592476851853</v>
      </c>
      <c r="C2185">
        <v>80</v>
      </c>
      <c r="D2185">
        <v>79.264060974000003</v>
      </c>
      <c r="E2185">
        <v>50</v>
      </c>
      <c r="F2185">
        <v>49.988498688</v>
      </c>
      <c r="G2185">
        <v>1248.7956543</v>
      </c>
      <c r="H2185">
        <v>1217.0245361</v>
      </c>
      <c r="I2185">
        <v>1507.5231934000001</v>
      </c>
      <c r="J2185">
        <v>1459.3856201000001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1285.9733080000001</v>
      </c>
      <c r="B2186" s="1">
        <f>DATE(2013,11,6) + TIME(23,21,33)</f>
        <v>41584.973298611112</v>
      </c>
      <c r="C2186">
        <v>80</v>
      </c>
      <c r="D2186">
        <v>79.221206664999997</v>
      </c>
      <c r="E2186">
        <v>50</v>
      </c>
      <c r="F2186">
        <v>49.988544464</v>
      </c>
      <c r="G2186">
        <v>1248.7531738</v>
      </c>
      <c r="H2186">
        <v>1216.9735106999999</v>
      </c>
      <c r="I2186">
        <v>1507.2531738</v>
      </c>
      <c r="J2186">
        <v>1459.1221923999999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1286.3880730000001</v>
      </c>
      <c r="B2187" s="1">
        <f>DATE(2013,11,7) + TIME(9,18,49)</f>
        <v>41585.388067129628</v>
      </c>
      <c r="C2187">
        <v>80</v>
      </c>
      <c r="D2187">
        <v>79.175437927000004</v>
      </c>
      <c r="E2187">
        <v>50</v>
      </c>
      <c r="F2187">
        <v>49.988578795999999</v>
      </c>
      <c r="G2187">
        <v>1248.7076416</v>
      </c>
      <c r="H2187">
        <v>1216.9187012</v>
      </c>
      <c r="I2187">
        <v>1506.9801024999999</v>
      </c>
      <c r="J2187">
        <v>1458.8558350000001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1286.8119549999999</v>
      </c>
      <c r="B2188" s="1">
        <f>DATE(2013,11,7) + TIME(19,29,12)</f>
        <v>41585.811944444446</v>
      </c>
      <c r="C2188">
        <v>80</v>
      </c>
      <c r="D2188">
        <v>79.127517699999999</v>
      </c>
      <c r="E2188">
        <v>50</v>
      </c>
      <c r="F2188">
        <v>49.98859787</v>
      </c>
      <c r="G2188">
        <v>1248.6580810999999</v>
      </c>
      <c r="H2188">
        <v>1216.8594971</v>
      </c>
      <c r="I2188">
        <v>1506.699707</v>
      </c>
      <c r="J2188">
        <v>1458.5823975000001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1287.2401139999999</v>
      </c>
      <c r="B2189" s="1">
        <f>DATE(2013,11,8) + TIME(5,45,45)</f>
        <v>41586.240104166667</v>
      </c>
      <c r="C2189">
        <v>80</v>
      </c>
      <c r="D2189">
        <v>79.078414917000003</v>
      </c>
      <c r="E2189">
        <v>50</v>
      </c>
      <c r="F2189">
        <v>49.988613129000001</v>
      </c>
      <c r="G2189">
        <v>1248.6072998</v>
      </c>
      <c r="H2189">
        <v>1216.7987060999999</v>
      </c>
      <c r="I2189">
        <v>1506.4298096</v>
      </c>
      <c r="J2189">
        <v>1458.3189697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1287.679165</v>
      </c>
      <c r="B2190" s="1">
        <f>DATE(2013,11,8) + TIME(16,17,59)</f>
        <v>41586.679155092592</v>
      </c>
      <c r="C2190">
        <v>80</v>
      </c>
      <c r="D2190">
        <v>79.028327942000004</v>
      </c>
      <c r="E2190">
        <v>50</v>
      </c>
      <c r="F2190">
        <v>49.988620758000003</v>
      </c>
      <c r="G2190">
        <v>1248.5560303</v>
      </c>
      <c r="H2190">
        <v>1216.7371826000001</v>
      </c>
      <c r="I2190">
        <v>1506.1721190999999</v>
      </c>
      <c r="J2190">
        <v>1458.0676269999999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1288.135585</v>
      </c>
      <c r="B2191" s="1">
        <f>DATE(2013,11,9) + TIME(3,15,14)</f>
        <v>41587.135578703703</v>
      </c>
      <c r="C2191">
        <v>80</v>
      </c>
      <c r="D2191">
        <v>78.976943969999994</v>
      </c>
      <c r="E2191">
        <v>50</v>
      </c>
      <c r="F2191">
        <v>49.988632201999998</v>
      </c>
      <c r="G2191">
        <v>1248.503418</v>
      </c>
      <c r="H2191">
        <v>1216.6740723</v>
      </c>
      <c r="I2191">
        <v>1505.921875</v>
      </c>
      <c r="J2191">
        <v>1457.8234863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1288.6165390000001</v>
      </c>
      <c r="B2192" s="1">
        <f>DATE(2013,11,9) + TIME(14,47,48)</f>
        <v>41587.616527777776</v>
      </c>
      <c r="C2192">
        <v>80</v>
      </c>
      <c r="D2192">
        <v>78.923675536999994</v>
      </c>
      <c r="E2192">
        <v>50</v>
      </c>
      <c r="F2192">
        <v>49.988636016999997</v>
      </c>
      <c r="G2192">
        <v>1248.4488524999999</v>
      </c>
      <c r="H2192">
        <v>1216.6085204999999</v>
      </c>
      <c r="I2192">
        <v>1505.6751709</v>
      </c>
      <c r="J2192">
        <v>1457.5826416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1289.1305010000001</v>
      </c>
      <c r="B2193" s="1">
        <f>DATE(2013,11,10) + TIME(3,7,55)</f>
        <v>41588.130497685182</v>
      </c>
      <c r="C2193">
        <v>80</v>
      </c>
      <c r="D2193">
        <v>78.867790221999996</v>
      </c>
      <c r="E2193">
        <v>50</v>
      </c>
      <c r="F2193">
        <v>49.988643646</v>
      </c>
      <c r="G2193">
        <v>1248.3912353999999</v>
      </c>
      <c r="H2193">
        <v>1216.5394286999999</v>
      </c>
      <c r="I2193">
        <v>1505.4282227000001</v>
      </c>
      <c r="J2193">
        <v>1457.3415527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1289.6853779999999</v>
      </c>
      <c r="B2194" s="1">
        <f>DATE(2013,11,10) + TIME(16,26,56)</f>
        <v>41588.685370370367</v>
      </c>
      <c r="C2194">
        <v>80</v>
      </c>
      <c r="D2194">
        <v>78.808456421000002</v>
      </c>
      <c r="E2194">
        <v>50</v>
      </c>
      <c r="F2194">
        <v>49.988651275999999</v>
      </c>
      <c r="G2194">
        <v>1248.3298339999999</v>
      </c>
      <c r="H2194">
        <v>1216.4655762</v>
      </c>
      <c r="I2194">
        <v>1505.1777344</v>
      </c>
      <c r="J2194">
        <v>1457.0969238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1290.251951</v>
      </c>
      <c r="B2195" s="1">
        <f>DATE(2013,11,11) + TIME(6,2,48)</f>
        <v>41589.251944444448</v>
      </c>
      <c r="C2195">
        <v>80</v>
      </c>
      <c r="D2195">
        <v>78.746284485000004</v>
      </c>
      <c r="E2195">
        <v>50</v>
      </c>
      <c r="F2195">
        <v>49.988655090000002</v>
      </c>
      <c r="G2195">
        <v>1248.2633057</v>
      </c>
      <c r="H2195">
        <v>1216.3862305</v>
      </c>
      <c r="I2195">
        <v>1504.9211425999999</v>
      </c>
      <c r="J2195">
        <v>1456.8463135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1290.8262910000001</v>
      </c>
      <c r="B2196" s="1">
        <f>DATE(2013,11,11) + TIME(19,49,51)</f>
        <v>41589.826284722221</v>
      </c>
      <c r="C2196">
        <v>80</v>
      </c>
      <c r="D2196">
        <v>78.682586670000006</v>
      </c>
      <c r="E2196">
        <v>50</v>
      </c>
      <c r="F2196">
        <v>49.988662720000001</v>
      </c>
      <c r="G2196">
        <v>1248.1953125</v>
      </c>
      <c r="H2196">
        <v>1216.3049315999999</v>
      </c>
      <c r="I2196">
        <v>1504.6726074000001</v>
      </c>
      <c r="J2196">
        <v>1456.6036377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1291.4156929999999</v>
      </c>
      <c r="B2197" s="1">
        <f>DATE(2013,11,12) + TIME(9,58,35)</f>
        <v>41590.415682870371</v>
      </c>
      <c r="C2197">
        <v>80</v>
      </c>
      <c r="D2197">
        <v>78.617691039999997</v>
      </c>
      <c r="E2197">
        <v>50</v>
      </c>
      <c r="F2197">
        <v>49.988670349000003</v>
      </c>
      <c r="G2197">
        <v>1248.1264647999999</v>
      </c>
      <c r="H2197">
        <v>1216.2224120999999</v>
      </c>
      <c r="I2197">
        <v>1504.4333495999999</v>
      </c>
      <c r="J2197">
        <v>1456.369751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1292.029002</v>
      </c>
      <c r="B2198" s="1">
        <f>DATE(2013,11,13) + TIME(0,41,45)</f>
        <v>41591.028993055559</v>
      </c>
      <c r="C2198">
        <v>80</v>
      </c>
      <c r="D2198">
        <v>78.551155089999995</v>
      </c>
      <c r="E2198">
        <v>50</v>
      </c>
      <c r="F2198">
        <v>49.988674164000003</v>
      </c>
      <c r="G2198">
        <v>1248.0556641000001</v>
      </c>
      <c r="H2198">
        <v>1216.1376952999999</v>
      </c>
      <c r="I2198">
        <v>1504.199707</v>
      </c>
      <c r="J2198">
        <v>1456.1413574000001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1292.6762570000001</v>
      </c>
      <c r="B2199" s="1">
        <f>DATE(2013,11,13) + TIME(16,13,48)</f>
        <v>41591.676249999997</v>
      </c>
      <c r="C2199">
        <v>80</v>
      </c>
      <c r="D2199">
        <v>78.482177734000004</v>
      </c>
      <c r="E2199">
        <v>50</v>
      </c>
      <c r="F2199">
        <v>49.988681792999998</v>
      </c>
      <c r="G2199">
        <v>1247.9821777</v>
      </c>
      <c r="H2199">
        <v>1216.0494385</v>
      </c>
      <c r="I2199">
        <v>1503.9681396000001</v>
      </c>
      <c r="J2199">
        <v>1455.9149170000001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1293.368428</v>
      </c>
      <c r="B2200" s="1">
        <f>DATE(2013,11,14) + TIME(8,50,32)</f>
        <v>41592.368425925924</v>
      </c>
      <c r="C2200">
        <v>80</v>
      </c>
      <c r="D2200">
        <v>78.409774780000006</v>
      </c>
      <c r="E2200">
        <v>50</v>
      </c>
      <c r="F2200">
        <v>49.988689422999997</v>
      </c>
      <c r="G2200">
        <v>1247.9044189000001</v>
      </c>
      <c r="H2200">
        <v>1215.9562988</v>
      </c>
      <c r="I2200">
        <v>1503.7353516000001</v>
      </c>
      <c r="J2200">
        <v>1455.6871338000001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1294.0753</v>
      </c>
      <c r="B2201" s="1">
        <f>DATE(2013,11,15) + TIME(1,48,25)</f>
        <v>41593.075289351851</v>
      </c>
      <c r="C2201">
        <v>80</v>
      </c>
      <c r="D2201">
        <v>78.334205627000003</v>
      </c>
      <c r="E2201">
        <v>50</v>
      </c>
      <c r="F2201">
        <v>49.988697051999999</v>
      </c>
      <c r="G2201">
        <v>1247.8211670000001</v>
      </c>
      <c r="H2201">
        <v>1215.8569336</v>
      </c>
      <c r="I2201">
        <v>1503.4981689000001</v>
      </c>
      <c r="J2201">
        <v>1455.4550781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1294.7884799999999</v>
      </c>
      <c r="B2202" s="1">
        <f>DATE(2013,11,15) + TIME(18,55,24)</f>
        <v>41593.788472222222</v>
      </c>
      <c r="C2202">
        <v>80</v>
      </c>
      <c r="D2202">
        <v>78.257072449000006</v>
      </c>
      <c r="E2202">
        <v>50</v>
      </c>
      <c r="F2202">
        <v>49.988704681000002</v>
      </c>
      <c r="G2202">
        <v>1247.7360839999999</v>
      </c>
      <c r="H2202">
        <v>1215.755249</v>
      </c>
      <c r="I2202">
        <v>1503.2674560999999</v>
      </c>
      <c r="J2202">
        <v>1455.229126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1295.518648</v>
      </c>
      <c r="B2203" s="1">
        <f>DATE(2013,11,16) + TIME(12,26,51)</f>
        <v>41594.518645833334</v>
      </c>
      <c r="C2203">
        <v>80</v>
      </c>
      <c r="D2203">
        <v>78.178894043</v>
      </c>
      <c r="E2203">
        <v>50</v>
      </c>
      <c r="F2203">
        <v>49.988712311</v>
      </c>
      <c r="G2203">
        <v>1247.6501464999999</v>
      </c>
      <c r="H2203">
        <v>1215.6523437999999</v>
      </c>
      <c r="I2203">
        <v>1503.0455322</v>
      </c>
      <c r="J2203">
        <v>1455.0118408000001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1296.276515</v>
      </c>
      <c r="B2204" s="1">
        <f>DATE(2013,11,17) + TIME(6,38,10)</f>
        <v>41595.276504629626</v>
      </c>
      <c r="C2204">
        <v>80</v>
      </c>
      <c r="D2204">
        <v>78.099067688000005</v>
      </c>
      <c r="E2204">
        <v>50</v>
      </c>
      <c r="F2204">
        <v>49.988719940000003</v>
      </c>
      <c r="G2204">
        <v>1247.5621338000001</v>
      </c>
      <c r="H2204">
        <v>1215.546875</v>
      </c>
      <c r="I2204">
        <v>1502.8284911999999</v>
      </c>
      <c r="J2204">
        <v>1454.7990723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1297.0741250000001</v>
      </c>
      <c r="B2205" s="1">
        <f>DATE(2013,11,18) + TIME(1,46,44)</f>
        <v>41596.074120370373</v>
      </c>
      <c r="C2205">
        <v>80</v>
      </c>
      <c r="D2205">
        <v>78.016593932999996</v>
      </c>
      <c r="E2205">
        <v>50</v>
      </c>
      <c r="F2205">
        <v>49.988727570000002</v>
      </c>
      <c r="G2205">
        <v>1247.4705810999999</v>
      </c>
      <c r="H2205">
        <v>1215.4372559000001</v>
      </c>
      <c r="I2205">
        <v>1502.6130370999999</v>
      </c>
      <c r="J2205">
        <v>1454.5880127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1297.9206489999999</v>
      </c>
      <c r="B2206" s="1">
        <f>DATE(2013,11,18) + TIME(22,5,44)</f>
        <v>41596.920648148145</v>
      </c>
      <c r="C2206">
        <v>80</v>
      </c>
      <c r="D2206">
        <v>77.930412292</v>
      </c>
      <c r="E2206">
        <v>50</v>
      </c>
      <c r="F2206">
        <v>49.988735198999997</v>
      </c>
      <c r="G2206">
        <v>1247.3742675999999</v>
      </c>
      <c r="H2206">
        <v>1215.3217772999999</v>
      </c>
      <c r="I2206">
        <v>1502.3962402</v>
      </c>
      <c r="J2206">
        <v>1454.3753661999999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1298.791232</v>
      </c>
      <c r="B2207" s="1">
        <f>DATE(2013,11,19) + TIME(18,59,22)</f>
        <v>41597.791226851848</v>
      </c>
      <c r="C2207">
        <v>80</v>
      </c>
      <c r="D2207">
        <v>77.840499878000003</v>
      </c>
      <c r="E2207">
        <v>50</v>
      </c>
      <c r="F2207">
        <v>49.988746642999999</v>
      </c>
      <c r="G2207">
        <v>1247.2717285000001</v>
      </c>
      <c r="H2207">
        <v>1215.1993408000001</v>
      </c>
      <c r="I2207">
        <v>1502.1762695</v>
      </c>
      <c r="J2207">
        <v>1454.1595459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1299.6700659999999</v>
      </c>
      <c r="B2208" s="1">
        <f>DATE(2013,11,20) + TIME(16,4,53)</f>
        <v>41598.670057870368</v>
      </c>
      <c r="C2208">
        <v>80</v>
      </c>
      <c r="D2208">
        <v>77.748519896999994</v>
      </c>
      <c r="E2208">
        <v>50</v>
      </c>
      <c r="F2208">
        <v>49.988754272000001</v>
      </c>
      <c r="G2208">
        <v>1247.1660156</v>
      </c>
      <c r="H2208">
        <v>1215.0731201000001</v>
      </c>
      <c r="I2208">
        <v>1501.9598389</v>
      </c>
      <c r="J2208">
        <v>1453.9471435999999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1300.5703920000001</v>
      </c>
      <c r="B2209" s="1">
        <f>DATE(2013,11,21) + TIME(13,41,21)</f>
        <v>41599.570381944446</v>
      </c>
      <c r="C2209">
        <v>80</v>
      </c>
      <c r="D2209">
        <v>77.655342102000006</v>
      </c>
      <c r="E2209">
        <v>50</v>
      </c>
      <c r="F2209">
        <v>49.988761902</v>
      </c>
      <c r="G2209">
        <v>1247.0592041</v>
      </c>
      <c r="H2209">
        <v>1214.9451904</v>
      </c>
      <c r="I2209">
        <v>1501.7507324000001</v>
      </c>
      <c r="J2209">
        <v>1453.7418213000001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1301.505713</v>
      </c>
      <c r="B2210" s="1">
        <f>DATE(2013,11,22) + TIME(12,8,13)</f>
        <v>41600.505706018521</v>
      </c>
      <c r="C2210">
        <v>80</v>
      </c>
      <c r="D2210">
        <v>77.560234070000007</v>
      </c>
      <c r="E2210">
        <v>50</v>
      </c>
      <c r="F2210">
        <v>49.988773346000002</v>
      </c>
      <c r="G2210">
        <v>1246.9494629000001</v>
      </c>
      <c r="H2210">
        <v>1214.8139647999999</v>
      </c>
      <c r="I2210">
        <v>1501.5454102000001</v>
      </c>
      <c r="J2210">
        <v>1453.5400391000001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1302.488826</v>
      </c>
      <c r="B2211" s="1">
        <f>DATE(2013,11,23) + TIME(11,43,54)</f>
        <v>41601.488819444443</v>
      </c>
      <c r="C2211">
        <v>80</v>
      </c>
      <c r="D2211">
        <v>77.462028502999999</v>
      </c>
      <c r="E2211">
        <v>50</v>
      </c>
      <c r="F2211">
        <v>49.988780974999997</v>
      </c>
      <c r="G2211">
        <v>1246.8352050999999</v>
      </c>
      <c r="H2211">
        <v>1214.6772461</v>
      </c>
      <c r="I2211">
        <v>1501.3408202999999</v>
      </c>
      <c r="J2211">
        <v>1453.3388672000001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1303.517771</v>
      </c>
      <c r="B2212" s="1">
        <f>DATE(2013,11,24) + TIME(12,25,35)</f>
        <v>41602.517766203702</v>
      </c>
      <c r="C2212">
        <v>80</v>
      </c>
      <c r="D2212">
        <v>77.359840392999999</v>
      </c>
      <c r="E2212">
        <v>50</v>
      </c>
      <c r="F2212">
        <v>49.988792418999999</v>
      </c>
      <c r="G2212">
        <v>1246.7149658000001</v>
      </c>
      <c r="H2212">
        <v>1214.5333252</v>
      </c>
      <c r="I2212">
        <v>1501.1342772999999</v>
      </c>
      <c r="J2212">
        <v>1453.1359863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1304.549381</v>
      </c>
      <c r="B2213" s="1">
        <f>DATE(2013,11,25) + TIME(13,11,6)</f>
        <v>41603.549375000002</v>
      </c>
      <c r="C2213">
        <v>80</v>
      </c>
      <c r="D2213">
        <v>77.254638671999999</v>
      </c>
      <c r="E2213">
        <v>50</v>
      </c>
      <c r="F2213">
        <v>49.988803863999998</v>
      </c>
      <c r="G2213">
        <v>1246.588501</v>
      </c>
      <c r="H2213">
        <v>1214.3824463000001</v>
      </c>
      <c r="I2213">
        <v>1500.9270019999999</v>
      </c>
      <c r="J2213">
        <v>1452.9318848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1305.5986109999999</v>
      </c>
      <c r="B2214" s="1">
        <f>DATE(2013,11,26) + TIME(14,22,0)</f>
        <v>41604.598611111112</v>
      </c>
      <c r="C2214">
        <v>80</v>
      </c>
      <c r="D2214">
        <v>77.148612975999995</v>
      </c>
      <c r="E2214">
        <v>50</v>
      </c>
      <c r="F2214">
        <v>49.988815308</v>
      </c>
      <c r="G2214">
        <v>1246.4613036999999</v>
      </c>
      <c r="H2214">
        <v>1214.2303466999999</v>
      </c>
      <c r="I2214">
        <v>1500.7272949000001</v>
      </c>
      <c r="J2214">
        <v>1452.7353516000001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1306.6808980000001</v>
      </c>
      <c r="B2215" s="1">
        <f>DATE(2013,11,27) + TIME(16,20,29)</f>
        <v>41605.680891203701</v>
      </c>
      <c r="C2215">
        <v>80</v>
      </c>
      <c r="D2215">
        <v>77.041168213000006</v>
      </c>
      <c r="E2215">
        <v>50</v>
      </c>
      <c r="F2215">
        <v>49.988826752000001</v>
      </c>
      <c r="G2215">
        <v>1246.331543</v>
      </c>
      <c r="H2215">
        <v>1214.0750731999999</v>
      </c>
      <c r="I2215">
        <v>1500.5318603999999</v>
      </c>
      <c r="J2215">
        <v>1452.5429687999999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1307.8127790000001</v>
      </c>
      <c r="B2216" s="1">
        <f>DATE(2013,11,28) + TIME(19,30,24)</f>
        <v>41606.812777777777</v>
      </c>
      <c r="C2216">
        <v>80</v>
      </c>
      <c r="D2216">
        <v>76.930992126000007</v>
      </c>
      <c r="E2216">
        <v>50</v>
      </c>
      <c r="F2216">
        <v>49.988838196000003</v>
      </c>
      <c r="G2216">
        <v>1246.1973877</v>
      </c>
      <c r="H2216">
        <v>1213.9144286999999</v>
      </c>
      <c r="I2216">
        <v>1500.3378906</v>
      </c>
      <c r="J2216">
        <v>1452.3519286999999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1309.0013610000001</v>
      </c>
      <c r="B2217" s="1">
        <f>DATE(2013,11,30) + TIME(0,1,57)</f>
        <v>41608.001354166663</v>
      </c>
      <c r="C2217">
        <v>80</v>
      </c>
      <c r="D2217">
        <v>76.816749572999996</v>
      </c>
      <c r="E2217">
        <v>50</v>
      </c>
      <c r="F2217">
        <v>49.988849639999998</v>
      </c>
      <c r="G2217">
        <v>1246.0563964999999</v>
      </c>
      <c r="H2217">
        <v>1213.7458495999999</v>
      </c>
      <c r="I2217">
        <v>1500.1424560999999</v>
      </c>
      <c r="J2217">
        <v>1452.1593018000001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1310</v>
      </c>
      <c r="B2218" s="1">
        <f>DATE(2013,12,1) + TIME(0,0,0)</f>
        <v>41609</v>
      </c>
      <c r="C2218">
        <v>80</v>
      </c>
      <c r="D2218">
        <v>76.703689574999999</v>
      </c>
      <c r="E2218">
        <v>50</v>
      </c>
      <c r="F2218">
        <v>49.988857269</v>
      </c>
      <c r="G2218">
        <v>1245.9073486</v>
      </c>
      <c r="H2218">
        <v>1213.5694579999999</v>
      </c>
      <c r="I2218">
        <v>1499.9448242000001</v>
      </c>
      <c r="J2218">
        <v>1451.9643555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1311.2194710000001</v>
      </c>
      <c r="B2219" s="1">
        <f>DATE(2013,12,2) + TIME(5,16,2)</f>
        <v>41610.219467592593</v>
      </c>
      <c r="C2219">
        <v>80</v>
      </c>
      <c r="D2219">
        <v>76.596160889000004</v>
      </c>
      <c r="E2219">
        <v>50</v>
      </c>
      <c r="F2219">
        <v>49.988872528000002</v>
      </c>
      <c r="G2219">
        <v>1245.7819824000001</v>
      </c>
      <c r="H2219">
        <v>1213.4169922000001</v>
      </c>
      <c r="I2219">
        <v>1499.7841797000001</v>
      </c>
      <c r="J2219">
        <v>1451.8059082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1312.4744310000001</v>
      </c>
      <c r="B2220" s="1">
        <f>DATE(2013,12,3) + TIME(11,23,10)</f>
        <v>41611.474421296298</v>
      </c>
      <c r="C2220">
        <v>80</v>
      </c>
      <c r="D2220">
        <v>76.477828978999995</v>
      </c>
      <c r="E2220">
        <v>50</v>
      </c>
      <c r="F2220">
        <v>49.988883971999996</v>
      </c>
      <c r="G2220">
        <v>1245.6281738</v>
      </c>
      <c r="H2220">
        <v>1213.2338867000001</v>
      </c>
      <c r="I2220">
        <v>1499.5946045000001</v>
      </c>
      <c r="J2220">
        <v>1451.6188964999999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1313.77341</v>
      </c>
      <c r="B2221" s="1">
        <f>DATE(2013,12,4) + TIME(18,33,42)</f>
        <v>41612.773402777777</v>
      </c>
      <c r="C2221">
        <v>80</v>
      </c>
      <c r="D2221">
        <v>76.354896545000003</v>
      </c>
      <c r="E2221">
        <v>50</v>
      </c>
      <c r="F2221">
        <v>49.988895415999998</v>
      </c>
      <c r="G2221">
        <v>1245.4689940999999</v>
      </c>
      <c r="H2221">
        <v>1213.0437012</v>
      </c>
      <c r="I2221">
        <v>1499.4061279</v>
      </c>
      <c r="J2221">
        <v>1451.4327393000001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1315.1368540000001</v>
      </c>
      <c r="B2222" s="1">
        <f>DATE(2013,12,6) + TIME(3,17,4)</f>
        <v>41614.13685185185</v>
      </c>
      <c r="C2222">
        <v>80</v>
      </c>
      <c r="D2222">
        <v>76.227890015</v>
      </c>
      <c r="E2222">
        <v>50</v>
      </c>
      <c r="F2222">
        <v>49.988910675</v>
      </c>
      <c r="G2222">
        <v>1245.3033447</v>
      </c>
      <c r="H2222">
        <v>1212.8454589999999</v>
      </c>
      <c r="I2222">
        <v>1499.2176514</v>
      </c>
      <c r="J2222">
        <v>1451.2464600000001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1316.5564710000001</v>
      </c>
      <c r="B2223" s="1">
        <f>DATE(2013,12,7) + TIME(13,21,19)</f>
        <v>41615.556469907409</v>
      </c>
      <c r="C2223">
        <v>80</v>
      </c>
      <c r="D2223">
        <v>76.095954895000006</v>
      </c>
      <c r="E2223">
        <v>50</v>
      </c>
      <c r="F2223">
        <v>49.988925934000001</v>
      </c>
      <c r="G2223">
        <v>1245.128418</v>
      </c>
      <c r="H2223">
        <v>1212.6363524999999</v>
      </c>
      <c r="I2223">
        <v>1499.0264893000001</v>
      </c>
      <c r="J2223">
        <v>1451.0576172000001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1318.003868</v>
      </c>
      <c r="B2224" s="1">
        <f>DATE(2013,12,9) + TIME(0,5,34)</f>
        <v>41617.003865740742</v>
      </c>
      <c r="C2224">
        <v>80</v>
      </c>
      <c r="D2224">
        <v>75.959960937999995</v>
      </c>
      <c r="E2224">
        <v>50</v>
      </c>
      <c r="F2224">
        <v>49.988941193000002</v>
      </c>
      <c r="G2224">
        <v>1244.9449463000001</v>
      </c>
      <c r="H2224">
        <v>1212.4172363</v>
      </c>
      <c r="I2224">
        <v>1498.8341064000001</v>
      </c>
      <c r="J2224">
        <v>1450.8675536999999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1319.4726149999999</v>
      </c>
      <c r="B2225" s="1">
        <f>DATE(2013,12,10) + TIME(11,20,33)</f>
        <v>41618.472604166665</v>
      </c>
      <c r="C2225">
        <v>80</v>
      </c>
      <c r="D2225">
        <v>75.821937560999999</v>
      </c>
      <c r="E2225">
        <v>50</v>
      </c>
      <c r="F2225">
        <v>49.988952636999997</v>
      </c>
      <c r="G2225">
        <v>1244.7565918</v>
      </c>
      <c r="H2225">
        <v>1212.1918945</v>
      </c>
      <c r="I2225">
        <v>1498.6446533000001</v>
      </c>
      <c r="J2225">
        <v>1450.6800536999999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1320.983328</v>
      </c>
      <c r="B2226" s="1">
        <f>DATE(2013,12,11) + TIME(23,35,59)</f>
        <v>41619.98332175926</v>
      </c>
      <c r="C2226">
        <v>80</v>
      </c>
      <c r="D2226">
        <v>75.682319641000007</v>
      </c>
      <c r="E2226">
        <v>50</v>
      </c>
      <c r="F2226">
        <v>49.988967895999998</v>
      </c>
      <c r="G2226">
        <v>1244.5639647999999</v>
      </c>
      <c r="H2226">
        <v>1211.9613036999999</v>
      </c>
      <c r="I2226">
        <v>1498.4586182</v>
      </c>
      <c r="J2226">
        <v>1450.4960937999999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1322.5573380000001</v>
      </c>
      <c r="B2227" s="1">
        <f>DATE(2013,12,13) + TIME(13,22,33)</f>
        <v>41621.557326388887</v>
      </c>
      <c r="C2227">
        <v>80</v>
      </c>
      <c r="D2227">
        <v>75.539634704999997</v>
      </c>
      <c r="E2227">
        <v>50</v>
      </c>
      <c r="F2227">
        <v>49.988983154000003</v>
      </c>
      <c r="G2227">
        <v>1244.3642577999999</v>
      </c>
      <c r="H2227">
        <v>1211.7220459</v>
      </c>
      <c r="I2227">
        <v>1498.2734375</v>
      </c>
      <c r="J2227">
        <v>1450.3127440999999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1324.19949</v>
      </c>
      <c r="B2228" s="1">
        <f>DATE(2013,12,15) + TIME(4,47,15)</f>
        <v>41623.199479166666</v>
      </c>
      <c r="C2228">
        <v>80</v>
      </c>
      <c r="D2228">
        <v>75.392280579000001</v>
      </c>
      <c r="E2228">
        <v>50</v>
      </c>
      <c r="F2228">
        <v>49.989002227999997</v>
      </c>
      <c r="G2228">
        <v>1244.1544189000001</v>
      </c>
      <c r="H2228">
        <v>1211.4707031</v>
      </c>
      <c r="I2228">
        <v>1498.0866699000001</v>
      </c>
      <c r="J2228">
        <v>1450.1278076000001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1325.85276</v>
      </c>
      <c r="B2229" s="1">
        <f>DATE(2013,12,16) + TIME(20,27,58)</f>
        <v>41624.852754629632</v>
      </c>
      <c r="C2229">
        <v>80</v>
      </c>
      <c r="D2229">
        <v>75.240592957000004</v>
      </c>
      <c r="E2229">
        <v>50</v>
      </c>
      <c r="F2229">
        <v>49.989017486999998</v>
      </c>
      <c r="G2229">
        <v>1243.9332274999999</v>
      </c>
      <c r="H2229">
        <v>1211.2060547000001</v>
      </c>
      <c r="I2229">
        <v>1497.8979492000001</v>
      </c>
      <c r="J2229">
        <v>1449.9407959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1327.5432069999999</v>
      </c>
      <c r="B2230" s="1">
        <f>DATE(2013,12,18) + TIME(13,2,13)</f>
        <v>41626.543206018519</v>
      </c>
      <c r="C2230">
        <v>80</v>
      </c>
      <c r="D2230">
        <v>75.087730407999999</v>
      </c>
      <c r="E2230">
        <v>50</v>
      </c>
      <c r="F2230">
        <v>49.989032745000003</v>
      </c>
      <c r="G2230">
        <v>1243.7082519999999</v>
      </c>
      <c r="H2230">
        <v>1210.9360352000001</v>
      </c>
      <c r="I2230">
        <v>1497.7138672000001</v>
      </c>
      <c r="J2230">
        <v>1449.7584228999999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1329.2931980000001</v>
      </c>
      <c r="B2231" s="1">
        <f>DATE(2013,12,20) + TIME(7,2,12)</f>
        <v>41628.293194444443</v>
      </c>
      <c r="C2231">
        <v>80</v>
      </c>
      <c r="D2231">
        <v>74.932312011999997</v>
      </c>
      <c r="E2231">
        <v>50</v>
      </c>
      <c r="F2231">
        <v>49.989051818999997</v>
      </c>
      <c r="G2231">
        <v>1243.4755858999999</v>
      </c>
      <c r="H2231">
        <v>1210.6567382999999</v>
      </c>
      <c r="I2231">
        <v>1497.5313721</v>
      </c>
      <c r="J2231">
        <v>1449.5775146000001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1331.103267</v>
      </c>
      <c r="B2232" s="1">
        <f>DATE(2013,12,22) + TIME(2,28,42)</f>
        <v>41630.103263888886</v>
      </c>
      <c r="C2232">
        <v>80</v>
      </c>
      <c r="D2232">
        <v>74.772857665999993</v>
      </c>
      <c r="E2232">
        <v>50</v>
      </c>
      <c r="F2232">
        <v>49.989067077999998</v>
      </c>
      <c r="G2232">
        <v>1243.2320557</v>
      </c>
      <c r="H2232">
        <v>1210.3640137</v>
      </c>
      <c r="I2232">
        <v>1497.3482666</v>
      </c>
      <c r="J2232">
        <v>1449.395874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1332.9433429999999</v>
      </c>
      <c r="B2233" s="1">
        <f>DATE(2013,12,23) + TIME(22,38,24)</f>
        <v>41631.943333333336</v>
      </c>
      <c r="C2233">
        <v>80</v>
      </c>
      <c r="D2233">
        <v>74.609085082999997</v>
      </c>
      <c r="E2233">
        <v>50</v>
      </c>
      <c r="F2233">
        <v>49.989086151000002</v>
      </c>
      <c r="G2233">
        <v>1242.9766846</v>
      </c>
      <c r="H2233">
        <v>1210.0568848</v>
      </c>
      <c r="I2233">
        <v>1497.1644286999999</v>
      </c>
      <c r="J2233">
        <v>1449.2136230000001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1334.8186989999999</v>
      </c>
      <c r="B2234" s="1">
        <f>DATE(2013,12,25) + TIME(19,38,55)</f>
        <v>41633.818692129629</v>
      </c>
      <c r="C2234">
        <v>80</v>
      </c>
      <c r="D2234">
        <v>74.443038939999994</v>
      </c>
      <c r="E2234">
        <v>50</v>
      </c>
      <c r="F2234">
        <v>49.989105225000003</v>
      </c>
      <c r="G2234">
        <v>1242.713501</v>
      </c>
      <c r="H2234">
        <v>1209.739624</v>
      </c>
      <c r="I2234">
        <v>1496.9830322</v>
      </c>
      <c r="J2234">
        <v>1449.0335693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1336.743692</v>
      </c>
      <c r="B2235" s="1">
        <f>DATE(2013,12,27) + TIME(17,50,55)</f>
        <v>41635.743692129632</v>
      </c>
      <c r="C2235">
        <v>80</v>
      </c>
      <c r="D2235">
        <v>74.274154663000004</v>
      </c>
      <c r="E2235">
        <v>50</v>
      </c>
      <c r="F2235">
        <v>49.989120483000001</v>
      </c>
      <c r="G2235">
        <v>1242.4414062000001</v>
      </c>
      <c r="H2235">
        <v>1209.4108887</v>
      </c>
      <c r="I2235">
        <v>1496.8035889</v>
      </c>
      <c r="J2235">
        <v>1448.8554687999999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1338.7136190000001</v>
      </c>
      <c r="B2236" s="1">
        <f>DATE(2013,12,29) + TIME(17,7,36)</f>
        <v>41637.71361111111</v>
      </c>
      <c r="C2236">
        <v>80</v>
      </c>
      <c r="D2236">
        <v>74.101638793999996</v>
      </c>
      <c r="E2236">
        <v>50</v>
      </c>
      <c r="F2236">
        <v>49.989139557000001</v>
      </c>
      <c r="G2236">
        <v>1242.1574707</v>
      </c>
      <c r="H2236">
        <v>1209.0673827999999</v>
      </c>
      <c r="I2236">
        <v>1496.6246338000001</v>
      </c>
      <c r="J2236">
        <v>1448.6777344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1340.7229500000001</v>
      </c>
      <c r="B2237" s="1">
        <f>DATE(2013,12,31) + TIME(17,21,2)</f>
        <v>41639.722939814812</v>
      </c>
      <c r="C2237">
        <v>80</v>
      </c>
      <c r="D2237">
        <v>73.925376892000003</v>
      </c>
      <c r="E2237">
        <v>50</v>
      </c>
      <c r="F2237">
        <v>49.989158629999999</v>
      </c>
      <c r="G2237">
        <v>1241.8620605000001</v>
      </c>
      <c r="H2237">
        <v>1208.7089844</v>
      </c>
      <c r="I2237">
        <v>1496.4466553</v>
      </c>
      <c r="J2237">
        <v>1448.5009766000001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1341</v>
      </c>
      <c r="B2238" s="1">
        <f>DATE(2014,1,1) + TIME(0,0,0)</f>
        <v>41640</v>
      </c>
      <c r="C2238">
        <v>80</v>
      </c>
      <c r="D2238">
        <v>73.830940247000001</v>
      </c>
      <c r="E2238">
        <v>50</v>
      </c>
      <c r="F2238">
        <v>49.989151001000003</v>
      </c>
      <c r="G2238">
        <v>1241.5596923999999</v>
      </c>
      <c r="H2238">
        <v>1208.3720702999999</v>
      </c>
      <c r="I2238">
        <v>1496.2761230000001</v>
      </c>
      <c r="J2238">
        <v>1448.331543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1343.0457240000001</v>
      </c>
      <c r="B2239" s="1">
        <f>DATE(2014,1,3) + TIME(1,5,50)</f>
        <v>41642.045717592591</v>
      </c>
      <c r="C2239">
        <v>80</v>
      </c>
      <c r="D2239">
        <v>73.711036682</v>
      </c>
      <c r="E2239">
        <v>50</v>
      </c>
      <c r="F2239">
        <v>49.989181518999999</v>
      </c>
      <c r="G2239">
        <v>1241.5100098</v>
      </c>
      <c r="H2239">
        <v>1208.2761230000001</v>
      </c>
      <c r="I2239">
        <v>1496.2453613</v>
      </c>
      <c r="J2239">
        <v>1448.3007812000001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1345.1678939999999</v>
      </c>
      <c r="B2240" s="1">
        <f>DATE(2014,1,5) + TIME(4,1,46)</f>
        <v>41644.167893518519</v>
      </c>
      <c r="C2240">
        <v>80</v>
      </c>
      <c r="D2240">
        <v>73.535820006999998</v>
      </c>
      <c r="E2240">
        <v>50</v>
      </c>
      <c r="F2240">
        <v>49.989200592000003</v>
      </c>
      <c r="G2240">
        <v>1241.1928711</v>
      </c>
      <c r="H2240">
        <v>1207.8923339999999</v>
      </c>
      <c r="I2240">
        <v>1496.0720214999999</v>
      </c>
      <c r="J2240">
        <v>1448.1286620999999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1347.300072</v>
      </c>
      <c r="B2241" s="1">
        <f>DATE(2014,1,7) + TIME(7,12,6)</f>
        <v>41646.300069444442</v>
      </c>
      <c r="C2241">
        <v>80</v>
      </c>
      <c r="D2241">
        <v>73.347351074000002</v>
      </c>
      <c r="E2241">
        <v>50</v>
      </c>
      <c r="F2241">
        <v>49.989219665999997</v>
      </c>
      <c r="G2241">
        <v>1240.8551024999999</v>
      </c>
      <c r="H2241">
        <v>1207.4792480000001</v>
      </c>
      <c r="I2241">
        <v>1495.8962402</v>
      </c>
      <c r="J2241">
        <v>1447.9538574000001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1349.4643189999999</v>
      </c>
      <c r="B2242" s="1">
        <f>DATE(2014,1,9) + TIME(11,8,37)</f>
        <v>41648.464317129627</v>
      </c>
      <c r="C2242">
        <v>80</v>
      </c>
      <c r="D2242">
        <v>73.155059813999998</v>
      </c>
      <c r="E2242">
        <v>50</v>
      </c>
      <c r="F2242">
        <v>49.989242554</v>
      </c>
      <c r="G2242">
        <v>1240.5080565999999</v>
      </c>
      <c r="H2242">
        <v>1207.0524902</v>
      </c>
      <c r="I2242">
        <v>1495.7242432</v>
      </c>
      <c r="J2242">
        <v>1447.7828368999999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1351.6906759999999</v>
      </c>
      <c r="B2243" s="1">
        <f>DATE(2014,1,11) + TIME(16,34,34)</f>
        <v>41650.690671296295</v>
      </c>
      <c r="C2243">
        <v>80</v>
      </c>
      <c r="D2243">
        <v>72.958534240999995</v>
      </c>
      <c r="E2243">
        <v>50</v>
      </c>
      <c r="F2243">
        <v>49.989261626999998</v>
      </c>
      <c r="G2243">
        <v>1240.1479492000001</v>
      </c>
      <c r="H2243">
        <v>1206.6075439000001</v>
      </c>
      <c r="I2243">
        <v>1495.5541992000001</v>
      </c>
      <c r="J2243">
        <v>1447.6136475000001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1353.9568839999999</v>
      </c>
      <c r="B2244" s="1">
        <f>DATE(2014,1,13) + TIME(22,57,54)</f>
        <v>41652.956875000003</v>
      </c>
      <c r="C2244">
        <v>80</v>
      </c>
      <c r="D2244">
        <v>72.755043029999996</v>
      </c>
      <c r="E2244">
        <v>50</v>
      </c>
      <c r="F2244">
        <v>49.989280700999998</v>
      </c>
      <c r="G2244">
        <v>1239.7687988</v>
      </c>
      <c r="H2244">
        <v>1206.137207</v>
      </c>
      <c r="I2244">
        <v>1495.3836670000001</v>
      </c>
      <c r="J2244">
        <v>1447.4439697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1356.245177</v>
      </c>
      <c r="B2245" s="1">
        <f>DATE(2014,1,16) + TIME(5,53,3)</f>
        <v>41655.245173611111</v>
      </c>
      <c r="C2245">
        <v>80</v>
      </c>
      <c r="D2245">
        <v>72.546089171999995</v>
      </c>
      <c r="E2245">
        <v>50</v>
      </c>
      <c r="F2245">
        <v>49.989303589000002</v>
      </c>
      <c r="G2245">
        <v>1239.3732910000001</v>
      </c>
      <c r="H2245">
        <v>1205.6442870999999</v>
      </c>
      <c r="I2245">
        <v>1495.2144774999999</v>
      </c>
      <c r="J2245">
        <v>1447.2756348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1358.5840049999999</v>
      </c>
      <c r="B2246" s="1">
        <f>DATE(2014,1,18) + TIME(14,0,58)</f>
        <v>41657.584004629629</v>
      </c>
      <c r="C2246">
        <v>80</v>
      </c>
      <c r="D2246">
        <v>72.331390381000006</v>
      </c>
      <c r="E2246">
        <v>50</v>
      </c>
      <c r="F2246">
        <v>49.989322661999999</v>
      </c>
      <c r="G2246">
        <v>1238.9637451000001</v>
      </c>
      <c r="H2246">
        <v>1205.1308594</v>
      </c>
      <c r="I2246">
        <v>1495.0478516000001</v>
      </c>
      <c r="J2246">
        <v>1447.1097411999999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1360.968914</v>
      </c>
      <c r="B2247" s="1">
        <f>DATE(2014,1,20) + TIME(23,15,14)</f>
        <v>41659.968912037039</v>
      </c>
      <c r="C2247">
        <v>80</v>
      </c>
      <c r="D2247">
        <v>72.109634399000001</v>
      </c>
      <c r="E2247">
        <v>50</v>
      </c>
      <c r="F2247">
        <v>49.989345551</v>
      </c>
      <c r="G2247">
        <v>1238.5341797000001</v>
      </c>
      <c r="H2247">
        <v>1204.5899658000001</v>
      </c>
      <c r="I2247">
        <v>1494.8817139</v>
      </c>
      <c r="J2247">
        <v>1446.9443358999999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1363.397029</v>
      </c>
      <c r="B2248" s="1">
        <f>DATE(2014,1,23) + TIME(9,31,43)</f>
        <v>41662.39702546296</v>
      </c>
      <c r="C2248">
        <v>80</v>
      </c>
      <c r="D2248">
        <v>71.878601074000002</v>
      </c>
      <c r="E2248">
        <v>50</v>
      </c>
      <c r="F2248">
        <v>49.989364623999997</v>
      </c>
      <c r="G2248">
        <v>1238.0842285000001</v>
      </c>
      <c r="H2248">
        <v>1204.0198975000001</v>
      </c>
      <c r="I2248">
        <v>1494.7164307</v>
      </c>
      <c r="J2248">
        <v>1446.7796631000001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1365.8511679999999</v>
      </c>
      <c r="B2249" s="1">
        <f>DATE(2014,1,25) + TIME(20,25,40)</f>
        <v>41664.851157407407</v>
      </c>
      <c r="C2249">
        <v>80</v>
      </c>
      <c r="D2249">
        <v>71.640609741000006</v>
      </c>
      <c r="E2249">
        <v>50</v>
      </c>
      <c r="F2249">
        <v>49.989387512</v>
      </c>
      <c r="G2249">
        <v>1237.6134033000001</v>
      </c>
      <c r="H2249">
        <v>1203.4204102000001</v>
      </c>
      <c r="I2249">
        <v>1494.552124</v>
      </c>
      <c r="J2249">
        <v>1446.6159668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1368.34592</v>
      </c>
      <c r="B2250" s="1">
        <f>DATE(2014,1,28) + TIME(8,18,7)</f>
        <v>41667.345914351848</v>
      </c>
      <c r="C2250">
        <v>80</v>
      </c>
      <c r="D2250">
        <v>71.391700744999994</v>
      </c>
      <c r="E2250">
        <v>50</v>
      </c>
      <c r="F2250">
        <v>49.989410399999997</v>
      </c>
      <c r="G2250">
        <v>1237.1237793</v>
      </c>
      <c r="H2250">
        <v>1202.7926024999999</v>
      </c>
      <c r="I2250">
        <v>1494.3897704999999</v>
      </c>
      <c r="J2250">
        <v>1446.4543457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1370.9133179999999</v>
      </c>
      <c r="B2251" s="1">
        <f>DATE(2014,1,30) + TIME(21,55,10)</f>
        <v>41669.913310185184</v>
      </c>
      <c r="C2251">
        <v>80</v>
      </c>
      <c r="D2251">
        <v>71.136344910000005</v>
      </c>
      <c r="E2251">
        <v>50</v>
      </c>
      <c r="F2251">
        <v>49.989433288999997</v>
      </c>
      <c r="G2251">
        <v>1236.6121826000001</v>
      </c>
      <c r="H2251">
        <v>1202.1331786999999</v>
      </c>
      <c r="I2251">
        <v>1494.2288818</v>
      </c>
      <c r="J2251">
        <v>1446.2939452999999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1372</v>
      </c>
      <c r="B2252" s="1">
        <f>DATE(2014,2,1) + TIME(0,0,0)</f>
        <v>41671</v>
      </c>
      <c r="C2252">
        <v>80</v>
      </c>
      <c r="D2252">
        <v>70.898544311999999</v>
      </c>
      <c r="E2252">
        <v>50</v>
      </c>
      <c r="F2252">
        <v>49.989437103</v>
      </c>
      <c r="G2252">
        <v>1236.0716553</v>
      </c>
      <c r="H2252">
        <v>1201.4503173999999</v>
      </c>
      <c r="I2252">
        <v>1494.0671387</v>
      </c>
      <c r="J2252">
        <v>1446.1326904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1374.584028</v>
      </c>
      <c r="B2253" s="1">
        <f>DATE(2014,2,3) + TIME(14,1,0)</f>
        <v>41673.584027777775</v>
      </c>
      <c r="C2253">
        <v>80</v>
      </c>
      <c r="D2253">
        <v>70.731269835999996</v>
      </c>
      <c r="E2253">
        <v>50</v>
      </c>
      <c r="F2253">
        <v>49.989463806000003</v>
      </c>
      <c r="G2253">
        <v>1235.8295897999999</v>
      </c>
      <c r="H2253">
        <v>1201.1074219</v>
      </c>
      <c r="I2253">
        <v>1493.9986572</v>
      </c>
      <c r="J2253">
        <v>1446.0645752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1377.2271989999999</v>
      </c>
      <c r="B2254" s="1">
        <f>DATE(2014,2,6) + TIME(5,27,9)</f>
        <v>41676.227187500001</v>
      </c>
      <c r="C2254">
        <v>80</v>
      </c>
      <c r="D2254">
        <v>70.457283020000006</v>
      </c>
      <c r="E2254">
        <v>50</v>
      </c>
      <c r="F2254">
        <v>49.989486694</v>
      </c>
      <c r="G2254">
        <v>1235.2651367000001</v>
      </c>
      <c r="H2254">
        <v>1200.3760986</v>
      </c>
      <c r="I2254">
        <v>1493.8413086</v>
      </c>
      <c r="J2254">
        <v>1445.9077147999999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1379.926518</v>
      </c>
      <c r="B2255" s="1">
        <f>DATE(2014,2,8) + TIME(22,14,11)</f>
        <v>41678.926516203705</v>
      </c>
      <c r="C2255">
        <v>80</v>
      </c>
      <c r="D2255">
        <v>70.159851074000002</v>
      </c>
      <c r="E2255">
        <v>50</v>
      </c>
      <c r="F2255">
        <v>49.989509583</v>
      </c>
      <c r="G2255">
        <v>1234.666626</v>
      </c>
      <c r="H2255">
        <v>1199.5891113</v>
      </c>
      <c r="I2255">
        <v>1493.6834716999999</v>
      </c>
      <c r="J2255">
        <v>1445.7503661999999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1382.6604050000001</v>
      </c>
      <c r="B2256" s="1">
        <f>DATE(2014,2,11) + TIME(15,50,58)</f>
        <v>41681.660393518519</v>
      </c>
      <c r="C2256">
        <v>80</v>
      </c>
      <c r="D2256">
        <v>69.840522766000007</v>
      </c>
      <c r="E2256">
        <v>50</v>
      </c>
      <c r="F2256">
        <v>49.989528655999997</v>
      </c>
      <c r="G2256">
        <v>1234.0374756000001</v>
      </c>
      <c r="H2256">
        <v>1198.7557373</v>
      </c>
      <c r="I2256">
        <v>1493.5253906</v>
      </c>
      <c r="J2256">
        <v>1445.5926514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1385.4108570000001</v>
      </c>
      <c r="B2257" s="1">
        <f>DATE(2014,2,14) + TIME(9,51,38)</f>
        <v>41684.410856481481</v>
      </c>
      <c r="C2257">
        <v>80</v>
      </c>
      <c r="D2257">
        <v>69.514190674000005</v>
      </c>
      <c r="E2257">
        <v>50</v>
      </c>
      <c r="F2257">
        <v>49.989562988000003</v>
      </c>
      <c r="G2257">
        <v>1233.3806152</v>
      </c>
      <c r="H2257">
        <v>1197.880249</v>
      </c>
      <c r="I2257">
        <v>1493.3695068</v>
      </c>
      <c r="J2257">
        <v>1445.4372559000001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1388.1763759999999</v>
      </c>
      <c r="B2258" s="1">
        <f>DATE(2014,2,17) + TIME(4,13,58)</f>
        <v>41687.176365740743</v>
      </c>
      <c r="C2258">
        <v>80</v>
      </c>
      <c r="D2258">
        <v>69.156448363999999</v>
      </c>
      <c r="E2258">
        <v>50</v>
      </c>
      <c r="F2258">
        <v>49.989562988000003</v>
      </c>
      <c r="G2258">
        <v>1232.7022704999999</v>
      </c>
      <c r="H2258">
        <v>1196.9699707</v>
      </c>
      <c r="I2258">
        <v>1493.2144774999999</v>
      </c>
      <c r="J2258">
        <v>1445.2824707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1390.9623979999999</v>
      </c>
      <c r="B2259" s="1">
        <f>DATE(2014,2,19) + TIME(23,5,51)</f>
        <v>41689.962395833332</v>
      </c>
      <c r="C2259">
        <v>80</v>
      </c>
      <c r="D2259">
        <v>68.816268921000002</v>
      </c>
      <c r="E2259">
        <v>50</v>
      </c>
      <c r="F2259">
        <v>49.989631653000004</v>
      </c>
      <c r="G2259">
        <v>1231.9968262</v>
      </c>
      <c r="H2259">
        <v>1196.0184326000001</v>
      </c>
      <c r="I2259">
        <v>1493.0648193</v>
      </c>
      <c r="J2259">
        <v>1445.1334228999999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1392.3642649999999</v>
      </c>
      <c r="B2260" s="1">
        <f>DATE(2014,2,21) + TIME(8,44,32)</f>
        <v>41691.364259259259</v>
      </c>
      <c r="C2260">
        <v>80</v>
      </c>
      <c r="D2260">
        <v>68.434402465999995</v>
      </c>
      <c r="E2260">
        <v>50</v>
      </c>
      <c r="F2260">
        <v>49.989601135000001</v>
      </c>
      <c r="G2260">
        <v>1231.2705077999999</v>
      </c>
      <c r="H2260">
        <v>1195.0494385</v>
      </c>
      <c r="I2260">
        <v>1492.9112548999999</v>
      </c>
      <c r="J2260">
        <v>1444.9799805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1393.52223</v>
      </c>
      <c r="B2261" s="1">
        <f>DATE(2014,2,22) + TIME(12,32,0)</f>
        <v>41692.522222222222</v>
      </c>
      <c r="C2261">
        <v>80</v>
      </c>
      <c r="D2261">
        <v>68.250144958000007</v>
      </c>
      <c r="E2261">
        <v>50</v>
      </c>
      <c r="F2261">
        <v>49.989624022999998</v>
      </c>
      <c r="G2261">
        <v>1230.8907471</v>
      </c>
      <c r="H2261">
        <v>1194.5191649999999</v>
      </c>
      <c r="I2261">
        <v>1492.8402100000001</v>
      </c>
      <c r="J2261">
        <v>1444.9093018000001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1394.6801949999999</v>
      </c>
      <c r="B2262" s="1">
        <f>DATE(2014,2,23) + TIME(16,19,28)</f>
        <v>41693.680185185185</v>
      </c>
      <c r="C2262">
        <v>80</v>
      </c>
      <c r="D2262">
        <v>68.060302734000004</v>
      </c>
      <c r="E2262">
        <v>50</v>
      </c>
      <c r="F2262">
        <v>49.989631653000004</v>
      </c>
      <c r="G2262">
        <v>1230.5739745999999</v>
      </c>
      <c r="H2262">
        <v>1194.0793457</v>
      </c>
      <c r="I2262">
        <v>1492.7774658000001</v>
      </c>
      <c r="J2262">
        <v>1444.8465576000001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1395.8381589999999</v>
      </c>
      <c r="B2263" s="1">
        <f>DATE(2014,2,24) + TIME(20,6,56)</f>
        <v>41694.838148148148</v>
      </c>
      <c r="C2263">
        <v>80</v>
      </c>
      <c r="D2263">
        <v>67.890556334999999</v>
      </c>
      <c r="E2263">
        <v>50</v>
      </c>
      <c r="F2263">
        <v>49.989639281999999</v>
      </c>
      <c r="G2263">
        <v>1230.2568358999999</v>
      </c>
      <c r="H2263">
        <v>1193.6418457</v>
      </c>
      <c r="I2263">
        <v>1492.7176514</v>
      </c>
      <c r="J2263">
        <v>1444.7868652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1396.996124</v>
      </c>
      <c r="B2264" s="1">
        <f>DATE(2014,2,25) + TIME(23,54,25)</f>
        <v>41695.996122685188</v>
      </c>
      <c r="C2264">
        <v>80</v>
      </c>
      <c r="D2264">
        <v>67.716629028</v>
      </c>
      <c r="E2264">
        <v>50</v>
      </c>
      <c r="F2264">
        <v>49.989650726000001</v>
      </c>
      <c r="G2264">
        <v>1229.9364014</v>
      </c>
      <c r="H2264">
        <v>1193.2009277</v>
      </c>
      <c r="I2264">
        <v>1492.6577147999999</v>
      </c>
      <c r="J2264">
        <v>1444.7271728999999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1398.1540890000001</v>
      </c>
      <c r="B2265" s="1">
        <f>DATE(2014,2,27) + TIME(3,41,53)</f>
        <v>41697.154085648152</v>
      </c>
      <c r="C2265">
        <v>80</v>
      </c>
      <c r="D2265">
        <v>67.541404724000003</v>
      </c>
      <c r="E2265">
        <v>50</v>
      </c>
      <c r="F2265">
        <v>49.989658356</v>
      </c>
      <c r="G2265">
        <v>1229.6129149999999</v>
      </c>
      <c r="H2265">
        <v>1192.7545166</v>
      </c>
      <c r="I2265">
        <v>1492.5983887</v>
      </c>
      <c r="J2265">
        <v>1444.6679687999999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1399.0770439999999</v>
      </c>
      <c r="B2266" s="1">
        <f>DATE(2014,2,28) + TIME(1,50,56)</f>
        <v>41698.077037037037</v>
      </c>
      <c r="C2266">
        <v>80</v>
      </c>
      <c r="D2266">
        <v>67.372779846</v>
      </c>
      <c r="E2266">
        <v>50</v>
      </c>
      <c r="F2266">
        <v>49.989665985000002</v>
      </c>
      <c r="G2266">
        <v>1229.2878418</v>
      </c>
      <c r="H2266">
        <v>1192.3111572</v>
      </c>
      <c r="I2266">
        <v>1492.5396728999999</v>
      </c>
      <c r="J2266">
        <v>1444.6092529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1400</v>
      </c>
      <c r="B2267" s="1">
        <f>DATE(2014,3,1) + TIME(0,0,0)</f>
        <v>41699</v>
      </c>
      <c r="C2267">
        <v>80</v>
      </c>
      <c r="D2267">
        <v>67.221694946</v>
      </c>
      <c r="E2267">
        <v>50</v>
      </c>
      <c r="F2267">
        <v>49.989673615000001</v>
      </c>
      <c r="G2267">
        <v>1229.0308838000001</v>
      </c>
      <c r="H2267">
        <v>1191.9553223</v>
      </c>
      <c r="I2267">
        <v>1492.4926757999999</v>
      </c>
      <c r="J2267">
        <v>1444.5623779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1401.8459109999999</v>
      </c>
      <c r="B2268" s="1">
        <f>DATE(2014,3,2) + TIME(20,18,6)</f>
        <v>41700.845902777779</v>
      </c>
      <c r="C2268">
        <v>80</v>
      </c>
      <c r="D2268">
        <v>67.051445006999998</v>
      </c>
      <c r="E2268">
        <v>50</v>
      </c>
      <c r="F2268">
        <v>49.989688872999999</v>
      </c>
      <c r="G2268">
        <v>1228.7569579999999</v>
      </c>
      <c r="H2268">
        <v>1191.5563964999999</v>
      </c>
      <c r="I2268">
        <v>1492.4464111</v>
      </c>
      <c r="J2268">
        <v>1444.5162353999999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1404.729073</v>
      </c>
      <c r="B2269" s="1">
        <f>DATE(2014,3,5) + TIME(17,29,51)</f>
        <v>41703.729062500002</v>
      </c>
      <c r="C2269">
        <v>80</v>
      </c>
      <c r="D2269">
        <v>66.758186339999995</v>
      </c>
      <c r="E2269">
        <v>50</v>
      </c>
      <c r="F2269">
        <v>49.989711761000002</v>
      </c>
      <c r="G2269">
        <v>1228.2274170000001</v>
      </c>
      <c r="H2269">
        <v>1190.8227539</v>
      </c>
      <c r="I2269">
        <v>1492.3552245999999</v>
      </c>
      <c r="J2269">
        <v>1444.4251709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1407.6269520000001</v>
      </c>
      <c r="B2270" s="1">
        <f>DATE(2014,3,8) + TIME(15,2,48)</f>
        <v>41706.626944444448</v>
      </c>
      <c r="C2270">
        <v>80</v>
      </c>
      <c r="D2270">
        <v>66.302734375</v>
      </c>
      <c r="E2270">
        <v>50</v>
      </c>
      <c r="F2270">
        <v>49.989734650000003</v>
      </c>
      <c r="G2270">
        <v>1227.3834228999999</v>
      </c>
      <c r="H2270">
        <v>1189.6572266000001</v>
      </c>
      <c r="I2270">
        <v>1492.2141113</v>
      </c>
      <c r="J2270">
        <v>1444.2843018000001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1409.084566</v>
      </c>
      <c r="B2271" s="1">
        <f>DATE(2014,3,10) + TIME(2,1,46)</f>
        <v>41708.084560185183</v>
      </c>
      <c r="C2271">
        <v>80</v>
      </c>
      <c r="D2271">
        <v>65.857414246000005</v>
      </c>
      <c r="E2271">
        <v>50</v>
      </c>
      <c r="F2271">
        <v>49.989742278999998</v>
      </c>
      <c r="G2271">
        <v>1226.5106201000001</v>
      </c>
      <c r="H2271">
        <v>1188.4597168</v>
      </c>
      <c r="I2271">
        <v>1492.074707</v>
      </c>
      <c r="J2271">
        <v>1444.1451416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1410.0418420000001</v>
      </c>
      <c r="B2272" s="1">
        <f>DATE(2014,3,11) + TIME(1,0,15)</f>
        <v>41709.04184027778</v>
      </c>
      <c r="C2272">
        <v>80</v>
      </c>
      <c r="D2272">
        <v>65.590705872000001</v>
      </c>
      <c r="E2272">
        <v>50</v>
      </c>
      <c r="F2272">
        <v>49.989749908</v>
      </c>
      <c r="G2272">
        <v>1226.0601807</v>
      </c>
      <c r="H2272">
        <v>1187.8184814000001</v>
      </c>
      <c r="I2272">
        <v>1492.0046387</v>
      </c>
      <c r="J2272">
        <v>1444.0751952999999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1410.9991170000001</v>
      </c>
      <c r="B2273" s="1">
        <f>DATE(2014,3,11) + TIME(23,58,43)</f>
        <v>41709.999108796299</v>
      </c>
      <c r="C2273">
        <v>80</v>
      </c>
      <c r="D2273">
        <v>65.394363403</v>
      </c>
      <c r="E2273">
        <v>50</v>
      </c>
      <c r="F2273">
        <v>49.989757537999999</v>
      </c>
      <c r="G2273">
        <v>1225.7593993999999</v>
      </c>
      <c r="H2273">
        <v>1187.3780518000001</v>
      </c>
      <c r="I2273">
        <v>1491.9588623</v>
      </c>
      <c r="J2273">
        <v>1444.0295410000001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1411.9563929999999</v>
      </c>
      <c r="B2274" s="1">
        <f>DATE(2014,3,12) + TIME(22,57,12)</f>
        <v>41710.956388888888</v>
      </c>
      <c r="C2274">
        <v>80</v>
      </c>
      <c r="D2274">
        <v>65.214538574000002</v>
      </c>
      <c r="E2274">
        <v>50</v>
      </c>
      <c r="F2274">
        <v>49.989765167000002</v>
      </c>
      <c r="G2274">
        <v>1225.4600829999999</v>
      </c>
      <c r="H2274">
        <v>1186.9505615</v>
      </c>
      <c r="I2274">
        <v>1491.9139404</v>
      </c>
      <c r="J2274">
        <v>1443.9846190999999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1412.9136679999999</v>
      </c>
      <c r="B2275" s="1">
        <f>DATE(2014,3,13) + TIME(21,55,40)</f>
        <v>41711.913657407407</v>
      </c>
      <c r="C2275">
        <v>80</v>
      </c>
      <c r="D2275">
        <v>65.037483214999995</v>
      </c>
      <c r="E2275">
        <v>50</v>
      </c>
      <c r="F2275">
        <v>49.989772797000001</v>
      </c>
      <c r="G2275">
        <v>1225.1597899999999</v>
      </c>
      <c r="H2275">
        <v>1186.5238036999999</v>
      </c>
      <c r="I2275">
        <v>1491.8691406</v>
      </c>
      <c r="J2275">
        <v>1443.9399414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1413.870944</v>
      </c>
      <c r="B2276" s="1">
        <f>DATE(2014,3,14) + TIME(20,54,9)</f>
        <v>41712.870937500003</v>
      </c>
      <c r="C2276">
        <v>80</v>
      </c>
      <c r="D2276">
        <v>64.859786987000007</v>
      </c>
      <c r="E2276">
        <v>50</v>
      </c>
      <c r="F2276">
        <v>49.989780426000003</v>
      </c>
      <c r="G2276">
        <v>1224.8577881000001</v>
      </c>
      <c r="H2276">
        <v>1186.0948486</v>
      </c>
      <c r="I2276">
        <v>1491.824707</v>
      </c>
      <c r="J2276">
        <v>1443.8955077999999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1414.828219</v>
      </c>
      <c r="B2277" s="1">
        <f>DATE(2014,3,15) + TIME(19,52,38)</f>
        <v>41713.828217592592</v>
      </c>
      <c r="C2277">
        <v>80</v>
      </c>
      <c r="D2277">
        <v>64.680541992000002</v>
      </c>
      <c r="E2277">
        <v>50</v>
      </c>
      <c r="F2277">
        <v>49.989788054999998</v>
      </c>
      <c r="G2277">
        <v>1224.5539550999999</v>
      </c>
      <c r="H2277">
        <v>1185.6628418</v>
      </c>
      <c r="I2277">
        <v>1491.7803954999999</v>
      </c>
      <c r="J2277">
        <v>1443.8513184000001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1415.7854950000001</v>
      </c>
      <c r="B2278" s="1">
        <f>DATE(2014,3,16) + TIME(18,51,6)</f>
        <v>41714.785486111112</v>
      </c>
      <c r="C2278">
        <v>80</v>
      </c>
      <c r="D2278">
        <v>64.499542235999996</v>
      </c>
      <c r="E2278">
        <v>50</v>
      </c>
      <c r="F2278">
        <v>49.989795684999997</v>
      </c>
      <c r="G2278">
        <v>1224.2484131000001</v>
      </c>
      <c r="H2278">
        <v>1185.2277832</v>
      </c>
      <c r="I2278">
        <v>1491.7363281</v>
      </c>
      <c r="J2278">
        <v>1443.8073730000001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1416.7427700000001</v>
      </c>
      <c r="B2279" s="1">
        <f>DATE(2014,3,17) + TIME(17,49,35)</f>
        <v>41715.742766203701</v>
      </c>
      <c r="C2279">
        <v>80</v>
      </c>
      <c r="D2279">
        <v>64.316757202000005</v>
      </c>
      <c r="E2279">
        <v>50</v>
      </c>
      <c r="F2279">
        <v>49.989803314</v>
      </c>
      <c r="G2279">
        <v>1223.9410399999999</v>
      </c>
      <c r="H2279">
        <v>1184.7895507999999</v>
      </c>
      <c r="I2279">
        <v>1491.6925048999999</v>
      </c>
      <c r="J2279">
        <v>1443.7635498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1417.7000459999999</v>
      </c>
      <c r="B2280" s="1">
        <f>DATE(2014,3,18) + TIME(16,48,3)</f>
        <v>41716.70003472222</v>
      </c>
      <c r="C2280">
        <v>80</v>
      </c>
      <c r="D2280">
        <v>64.132179260000001</v>
      </c>
      <c r="E2280">
        <v>50</v>
      </c>
      <c r="F2280">
        <v>49.989810943999998</v>
      </c>
      <c r="G2280">
        <v>1223.6320800999999</v>
      </c>
      <c r="H2280">
        <v>1184.3482666</v>
      </c>
      <c r="I2280">
        <v>1491.6489257999999</v>
      </c>
      <c r="J2280">
        <v>1443.7200928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1418.6573209999999</v>
      </c>
      <c r="B2281" s="1">
        <f>DATE(2014,3,19) + TIME(15,46,32)</f>
        <v>41717.657314814816</v>
      </c>
      <c r="C2281">
        <v>80</v>
      </c>
      <c r="D2281">
        <v>63.945838928000001</v>
      </c>
      <c r="E2281">
        <v>50</v>
      </c>
      <c r="F2281">
        <v>49.989818573000001</v>
      </c>
      <c r="G2281">
        <v>1223.3212891000001</v>
      </c>
      <c r="H2281">
        <v>1183.9038086</v>
      </c>
      <c r="I2281">
        <v>1491.6055908000001</v>
      </c>
      <c r="J2281">
        <v>1443.6767577999999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1419.614597</v>
      </c>
      <c r="B2282" s="1">
        <f>DATE(2014,3,20) + TIME(14,45,1)</f>
        <v>41718.614594907405</v>
      </c>
      <c r="C2282">
        <v>80</v>
      </c>
      <c r="D2282">
        <v>63.757766724</v>
      </c>
      <c r="E2282">
        <v>50</v>
      </c>
      <c r="F2282">
        <v>49.989826202000003</v>
      </c>
      <c r="G2282">
        <v>1223.0089111</v>
      </c>
      <c r="H2282">
        <v>1183.4562988</v>
      </c>
      <c r="I2282">
        <v>1491.5623779</v>
      </c>
      <c r="J2282">
        <v>1443.6336670000001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1420.571872</v>
      </c>
      <c r="B2283" s="1">
        <f>DATE(2014,3,21) + TIME(13,43,29)</f>
        <v>41719.571863425925</v>
      </c>
      <c r="C2283">
        <v>80</v>
      </c>
      <c r="D2283">
        <v>63.567985534999998</v>
      </c>
      <c r="E2283">
        <v>50</v>
      </c>
      <c r="F2283">
        <v>49.989833832000002</v>
      </c>
      <c r="G2283">
        <v>1222.6948242000001</v>
      </c>
      <c r="H2283">
        <v>1183.0058594</v>
      </c>
      <c r="I2283">
        <v>1491.5194091999999</v>
      </c>
      <c r="J2283">
        <v>1443.5906981999999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1421.5291480000001</v>
      </c>
      <c r="B2284" s="1">
        <f>DATE(2014,3,22) + TIME(12,41,58)</f>
        <v>41720.529143518521</v>
      </c>
      <c r="C2284">
        <v>80</v>
      </c>
      <c r="D2284">
        <v>63.376522064</v>
      </c>
      <c r="E2284">
        <v>50</v>
      </c>
      <c r="F2284">
        <v>49.989841460999997</v>
      </c>
      <c r="G2284">
        <v>1222.3791504000001</v>
      </c>
      <c r="H2284">
        <v>1182.5523682</v>
      </c>
      <c r="I2284">
        <v>1491.4766846</v>
      </c>
      <c r="J2284">
        <v>1443.5480957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1422.4864230000001</v>
      </c>
      <c r="B2285" s="1">
        <f>DATE(2014,3,23) + TIME(11,40,26)</f>
        <v>41721.48641203704</v>
      </c>
      <c r="C2285">
        <v>80</v>
      </c>
      <c r="D2285">
        <v>63.183414458999998</v>
      </c>
      <c r="E2285">
        <v>50</v>
      </c>
      <c r="F2285">
        <v>49.989845275999997</v>
      </c>
      <c r="G2285">
        <v>1222.0620117000001</v>
      </c>
      <c r="H2285">
        <v>1182.0960693</v>
      </c>
      <c r="I2285">
        <v>1491.434082</v>
      </c>
      <c r="J2285">
        <v>1443.5056152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1423.4436989999999</v>
      </c>
      <c r="B2286" s="1">
        <f>DATE(2014,3,24) + TIME(10,38,55)</f>
        <v>41722.443692129629</v>
      </c>
      <c r="C2286">
        <v>80</v>
      </c>
      <c r="D2286">
        <v>62.988689422999997</v>
      </c>
      <c r="E2286">
        <v>50</v>
      </c>
      <c r="F2286">
        <v>49.989852904999999</v>
      </c>
      <c r="G2286">
        <v>1221.7431641000001</v>
      </c>
      <c r="H2286">
        <v>1181.6368408000001</v>
      </c>
      <c r="I2286">
        <v>1491.3918457</v>
      </c>
      <c r="J2286">
        <v>1443.4632568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1424.4009739999999</v>
      </c>
      <c r="B2287" s="1">
        <f>DATE(2014,3,25) + TIME(9,37,24)</f>
        <v>41723.400972222225</v>
      </c>
      <c r="C2287">
        <v>80</v>
      </c>
      <c r="D2287">
        <v>62.792385101000001</v>
      </c>
      <c r="E2287">
        <v>50</v>
      </c>
      <c r="F2287">
        <v>49.989860534999998</v>
      </c>
      <c r="G2287">
        <v>1221.4229736</v>
      </c>
      <c r="H2287">
        <v>1181.1748047000001</v>
      </c>
      <c r="I2287">
        <v>1491.3496094</v>
      </c>
      <c r="J2287">
        <v>1443.4211425999999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1425.35825</v>
      </c>
      <c r="B2288" s="1">
        <f>DATE(2014,3,26) + TIME(8,35,52)</f>
        <v>41724.358240740738</v>
      </c>
      <c r="C2288">
        <v>80</v>
      </c>
      <c r="D2288">
        <v>62.594539642000001</v>
      </c>
      <c r="E2288">
        <v>50</v>
      </c>
      <c r="F2288">
        <v>49.989868164000001</v>
      </c>
      <c r="G2288">
        <v>1221.1011963000001</v>
      </c>
      <c r="H2288">
        <v>1180.7100829999999</v>
      </c>
      <c r="I2288">
        <v>1491.3077393000001</v>
      </c>
      <c r="J2288">
        <v>1443.3792725000001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1426.315525</v>
      </c>
      <c r="B2289" s="1">
        <f>DATE(2014,3,27) + TIME(7,34,21)</f>
        <v>41725.315520833334</v>
      </c>
      <c r="C2289">
        <v>80</v>
      </c>
      <c r="D2289">
        <v>62.395187378000003</v>
      </c>
      <c r="E2289">
        <v>50</v>
      </c>
      <c r="F2289">
        <v>49.989875793000003</v>
      </c>
      <c r="G2289">
        <v>1220.7780762</v>
      </c>
      <c r="H2289">
        <v>1180.2425536999999</v>
      </c>
      <c r="I2289">
        <v>1491.2659911999999</v>
      </c>
      <c r="J2289">
        <v>1443.3375243999999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1427.2728010000001</v>
      </c>
      <c r="B2290" s="1">
        <f>DATE(2014,3,28) + TIME(6,32,49)</f>
        <v>41726.272789351853</v>
      </c>
      <c r="C2290">
        <v>80</v>
      </c>
      <c r="D2290">
        <v>62.194374084000003</v>
      </c>
      <c r="E2290">
        <v>50</v>
      </c>
      <c r="F2290">
        <v>49.989883423000002</v>
      </c>
      <c r="G2290">
        <v>1220.4534911999999</v>
      </c>
      <c r="H2290">
        <v>1179.7724608999999</v>
      </c>
      <c r="I2290">
        <v>1491.2243652</v>
      </c>
      <c r="J2290">
        <v>1443.2960204999999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1428.2300760000001</v>
      </c>
      <c r="B2291" s="1">
        <f>DATE(2014,3,29) + TIME(5,31,18)</f>
        <v>41727.230069444442</v>
      </c>
      <c r="C2291">
        <v>80</v>
      </c>
      <c r="D2291">
        <v>61.992134094000001</v>
      </c>
      <c r="E2291">
        <v>50</v>
      </c>
      <c r="F2291">
        <v>49.989891051999997</v>
      </c>
      <c r="G2291">
        <v>1220.1275635</v>
      </c>
      <c r="H2291">
        <v>1179.2996826000001</v>
      </c>
      <c r="I2291">
        <v>1491.1829834</v>
      </c>
      <c r="J2291">
        <v>1443.2547606999999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1429.1873519999999</v>
      </c>
      <c r="B2292" s="1">
        <f>DATE(2014,3,30) + TIME(4,29,47)</f>
        <v>41728.187349537038</v>
      </c>
      <c r="C2292">
        <v>80</v>
      </c>
      <c r="D2292">
        <v>61.788513184000003</v>
      </c>
      <c r="E2292">
        <v>50</v>
      </c>
      <c r="F2292">
        <v>49.989894866999997</v>
      </c>
      <c r="G2292">
        <v>1219.800293</v>
      </c>
      <c r="H2292">
        <v>1178.8243408000001</v>
      </c>
      <c r="I2292">
        <v>1491.1417236</v>
      </c>
      <c r="J2292">
        <v>1443.2136230000001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1430.093676</v>
      </c>
      <c r="B2293" s="1">
        <f>DATE(2014,3,31) + TIME(2,14,53)</f>
        <v>41729.093668981484</v>
      </c>
      <c r="C2293">
        <v>80</v>
      </c>
      <c r="D2293">
        <v>61.586418152</v>
      </c>
      <c r="E2293">
        <v>50</v>
      </c>
      <c r="F2293">
        <v>49.989902495999999</v>
      </c>
      <c r="G2293">
        <v>1219.4720459</v>
      </c>
      <c r="H2293">
        <v>1178.3491211</v>
      </c>
      <c r="I2293">
        <v>1491.1008300999999</v>
      </c>
      <c r="J2293">
        <v>1443.1726074000001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1431</v>
      </c>
      <c r="B2294" s="1">
        <f>DATE(2014,4,1) + TIME(0,0,0)</f>
        <v>41730</v>
      </c>
      <c r="C2294">
        <v>80</v>
      </c>
      <c r="D2294">
        <v>61.389057158999996</v>
      </c>
      <c r="E2294">
        <v>50</v>
      </c>
      <c r="F2294">
        <v>49.989910125999998</v>
      </c>
      <c r="G2294">
        <v>1219.1694336</v>
      </c>
      <c r="H2294">
        <v>1177.9118652</v>
      </c>
      <c r="I2294">
        <v>1491.0620117000001</v>
      </c>
      <c r="J2294">
        <v>1443.1339111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1432.8126480000001</v>
      </c>
      <c r="B2295" s="1">
        <f>DATE(2014,4,2) + TIME(19,30,12)</f>
        <v>41731.812638888892</v>
      </c>
      <c r="C2295">
        <v>80</v>
      </c>
      <c r="D2295">
        <v>61.162292479999998</v>
      </c>
      <c r="E2295">
        <v>50</v>
      </c>
      <c r="F2295">
        <v>49.989925384999999</v>
      </c>
      <c r="G2295">
        <v>1218.8459473</v>
      </c>
      <c r="H2295">
        <v>1177.4157714999999</v>
      </c>
      <c r="I2295">
        <v>1491.0234375</v>
      </c>
      <c r="J2295">
        <v>1443.0953368999999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1435.9199160000001</v>
      </c>
      <c r="B2296" s="1">
        <f>DATE(2014,4,5) + TIME(22,4,40)</f>
        <v>41734.919907407406</v>
      </c>
      <c r="C2296">
        <v>80</v>
      </c>
      <c r="D2296">
        <v>60.767765044999997</v>
      </c>
      <c r="E2296">
        <v>50</v>
      </c>
      <c r="F2296">
        <v>49.989944457999997</v>
      </c>
      <c r="G2296">
        <v>1218.2199707</v>
      </c>
      <c r="H2296">
        <v>1176.5028076000001</v>
      </c>
      <c r="I2296">
        <v>1490.9473877</v>
      </c>
      <c r="J2296">
        <v>1443.0194091999999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1439.0433619999999</v>
      </c>
      <c r="B2297" s="1">
        <f>DATE(2014,4,9) + TIME(1,2,26)</f>
        <v>41738.043356481481</v>
      </c>
      <c r="C2297">
        <v>80</v>
      </c>
      <c r="D2297">
        <v>60.111324310000001</v>
      </c>
      <c r="E2297">
        <v>50</v>
      </c>
      <c r="F2297">
        <v>49.989967346</v>
      </c>
      <c r="G2297">
        <v>1217.1376952999999</v>
      </c>
      <c r="H2297">
        <v>1174.9393310999999</v>
      </c>
      <c r="I2297">
        <v>1490.8178711</v>
      </c>
      <c r="J2297">
        <v>1442.8901367000001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1442.1869819999999</v>
      </c>
      <c r="B2298" s="1">
        <f>DATE(2014,4,12) + TIME(4,29,15)</f>
        <v>41741.186979166669</v>
      </c>
      <c r="C2298">
        <v>80</v>
      </c>
      <c r="D2298">
        <v>59.415149689000003</v>
      </c>
      <c r="E2298">
        <v>50</v>
      </c>
      <c r="F2298">
        <v>49.989990233999997</v>
      </c>
      <c r="G2298">
        <v>1216.0302733999999</v>
      </c>
      <c r="H2298">
        <v>1173.3138428</v>
      </c>
      <c r="I2298">
        <v>1490.6892089999999</v>
      </c>
      <c r="J2298">
        <v>1442.7614745999999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1445.354828</v>
      </c>
      <c r="B2299" s="1">
        <f>DATE(2014,4,15) + TIME(8,30,57)</f>
        <v>41744.354826388888</v>
      </c>
      <c r="C2299">
        <v>80</v>
      </c>
      <c r="D2299">
        <v>58.705303192000002</v>
      </c>
      <c r="E2299">
        <v>50</v>
      </c>
      <c r="F2299">
        <v>49.990013122999997</v>
      </c>
      <c r="G2299">
        <v>1214.9052733999999</v>
      </c>
      <c r="H2299">
        <v>1171.6551514</v>
      </c>
      <c r="I2299">
        <v>1490.5611572</v>
      </c>
      <c r="J2299">
        <v>1442.6336670000001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1448.5481910000001</v>
      </c>
      <c r="B2300" s="1">
        <f>DATE(2014,4,18) + TIME(13,9,23)</f>
        <v>41747.548182870371</v>
      </c>
      <c r="C2300">
        <v>80</v>
      </c>
      <c r="D2300">
        <v>57.971439361999998</v>
      </c>
      <c r="E2300">
        <v>50</v>
      </c>
      <c r="F2300">
        <v>49.990036011000001</v>
      </c>
      <c r="G2300">
        <v>1213.7602539</v>
      </c>
      <c r="H2300">
        <v>1169.9571533000001</v>
      </c>
      <c r="I2300">
        <v>1490.4338379000001</v>
      </c>
      <c r="J2300">
        <v>1442.5063477000001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1450.1569589999999</v>
      </c>
      <c r="B2301" s="1">
        <f>DATE(2014,4,20) + TIME(3,46,1)</f>
        <v>41749.156956018516</v>
      </c>
      <c r="C2301">
        <v>80</v>
      </c>
      <c r="D2301">
        <v>57.307964325</v>
      </c>
      <c r="E2301">
        <v>50</v>
      </c>
      <c r="F2301">
        <v>49.990043640000003</v>
      </c>
      <c r="G2301">
        <v>1212.5981445</v>
      </c>
      <c r="H2301">
        <v>1168.2719727000001</v>
      </c>
      <c r="I2301">
        <v>1490.3073730000001</v>
      </c>
      <c r="J2301">
        <v>1442.3800048999999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1451.042661</v>
      </c>
      <c r="B2302" s="1">
        <f>DATE(2014,4,21) + TIME(1,1,25)</f>
        <v>41750.042650462965</v>
      </c>
      <c r="C2302">
        <v>80</v>
      </c>
      <c r="D2302">
        <v>56.917819977000001</v>
      </c>
      <c r="E2302">
        <v>50</v>
      </c>
      <c r="F2302">
        <v>49.990051270000002</v>
      </c>
      <c r="G2302">
        <v>1212.0069579999999</v>
      </c>
      <c r="H2302">
        <v>1167.3903809000001</v>
      </c>
      <c r="I2302">
        <v>1490.2435303</v>
      </c>
      <c r="J2302">
        <v>1442.3162841999999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1451.928363</v>
      </c>
      <c r="B2303" s="1">
        <f>DATE(2014,4,21) + TIME(22,16,50)</f>
        <v>41750.928356481483</v>
      </c>
      <c r="C2303">
        <v>80</v>
      </c>
      <c r="D2303">
        <v>56.66796875</v>
      </c>
      <c r="E2303">
        <v>50</v>
      </c>
      <c r="F2303">
        <v>49.990058898999997</v>
      </c>
      <c r="G2303">
        <v>1211.6799315999999</v>
      </c>
      <c r="H2303">
        <v>1166.8679199000001</v>
      </c>
      <c r="I2303">
        <v>1490.2080077999999</v>
      </c>
      <c r="J2303">
        <v>1442.2807617000001</v>
      </c>
      <c r="K2303">
        <v>0</v>
      </c>
      <c r="L2303">
        <v>2400</v>
      </c>
      <c r="M2303">
        <v>2400</v>
      </c>
      <c r="N2303">
        <v>0</v>
      </c>
    </row>
    <row r="2304" spans="1:14" x14ac:dyDescent="0.25">
      <c r="A2304">
        <v>1452.8140659999999</v>
      </c>
      <c r="B2304" s="1">
        <f>DATE(2014,4,22) + TIME(19,32,15)</f>
        <v>41751.814062500001</v>
      </c>
      <c r="C2304">
        <v>80</v>
      </c>
      <c r="D2304">
        <v>56.448825835999997</v>
      </c>
      <c r="E2304">
        <v>50</v>
      </c>
      <c r="F2304">
        <v>49.990062713999997</v>
      </c>
      <c r="G2304">
        <v>1211.3552245999999</v>
      </c>
      <c r="H2304">
        <v>1166.3734131000001</v>
      </c>
      <c r="I2304">
        <v>1490.1733397999999</v>
      </c>
      <c r="J2304">
        <v>1442.2460937999999</v>
      </c>
      <c r="K2304">
        <v>0</v>
      </c>
      <c r="L2304">
        <v>2400</v>
      </c>
      <c r="M2304">
        <v>2400</v>
      </c>
      <c r="N2304">
        <v>0</v>
      </c>
    </row>
    <row r="2305" spans="1:14" x14ac:dyDescent="0.25">
      <c r="A2305">
        <v>1453.6997679999999</v>
      </c>
      <c r="B2305" s="1">
        <f>DATE(2014,4,23) + TIME(16,47,39)</f>
        <v>41752.699756944443</v>
      </c>
      <c r="C2305">
        <v>80</v>
      </c>
      <c r="D2305">
        <v>56.237552643000001</v>
      </c>
      <c r="E2305">
        <v>50</v>
      </c>
      <c r="F2305">
        <v>49.990070342999999</v>
      </c>
      <c r="G2305">
        <v>1211.03125</v>
      </c>
      <c r="H2305">
        <v>1165.8857422000001</v>
      </c>
      <c r="I2305">
        <v>1490.1387939000001</v>
      </c>
      <c r="J2305">
        <v>1442.2115478999999</v>
      </c>
      <c r="K2305">
        <v>0</v>
      </c>
      <c r="L2305">
        <v>2400</v>
      </c>
      <c r="M2305">
        <v>2400</v>
      </c>
      <c r="N2305">
        <v>0</v>
      </c>
    </row>
    <row r="2306" spans="1:14" x14ac:dyDescent="0.25">
      <c r="A2306">
        <v>1454.58547</v>
      </c>
      <c r="B2306" s="1">
        <f>DATE(2014,4,24) + TIME(14,3,4)</f>
        <v>41753.585462962961</v>
      </c>
      <c r="C2306">
        <v>80</v>
      </c>
      <c r="D2306">
        <v>56.028263092000003</v>
      </c>
      <c r="E2306">
        <v>50</v>
      </c>
      <c r="F2306">
        <v>49.990077972000002</v>
      </c>
      <c r="G2306">
        <v>1210.7072754000001</v>
      </c>
      <c r="H2306">
        <v>1165.3994141000001</v>
      </c>
      <c r="I2306">
        <v>1490.1042480000001</v>
      </c>
      <c r="J2306">
        <v>1442.177124</v>
      </c>
      <c r="K2306">
        <v>0</v>
      </c>
      <c r="L2306">
        <v>2400</v>
      </c>
      <c r="M2306">
        <v>2400</v>
      </c>
      <c r="N2306">
        <v>0</v>
      </c>
    </row>
    <row r="2307" spans="1:14" x14ac:dyDescent="0.25">
      <c r="A2307">
        <v>1455.4711729999999</v>
      </c>
      <c r="B2307" s="1">
        <f>DATE(2014,4,25) + TIME(11,18,29)</f>
        <v>41754.471168981479</v>
      </c>
      <c r="C2307">
        <v>80</v>
      </c>
      <c r="D2307">
        <v>55.819446564000003</v>
      </c>
      <c r="E2307">
        <v>50</v>
      </c>
      <c r="F2307">
        <v>49.990081787000001</v>
      </c>
      <c r="G2307">
        <v>1210.3833007999999</v>
      </c>
      <c r="H2307">
        <v>1164.9128418</v>
      </c>
      <c r="I2307">
        <v>1490.0699463000001</v>
      </c>
      <c r="J2307">
        <v>1442.1428223</v>
      </c>
      <c r="K2307">
        <v>0</v>
      </c>
      <c r="L2307">
        <v>2400</v>
      </c>
      <c r="M2307">
        <v>2400</v>
      </c>
      <c r="N2307">
        <v>0</v>
      </c>
    </row>
    <row r="2308" spans="1:14" x14ac:dyDescent="0.25">
      <c r="A2308">
        <v>1456.3568749999999</v>
      </c>
      <c r="B2308" s="1">
        <f>DATE(2014,4,26) + TIME(8,33,53)</f>
        <v>41755.356863425928</v>
      </c>
      <c r="C2308">
        <v>80</v>
      </c>
      <c r="D2308">
        <v>55.610733031999999</v>
      </c>
      <c r="E2308">
        <v>50</v>
      </c>
      <c r="F2308">
        <v>49.990089417</v>
      </c>
      <c r="G2308">
        <v>1210.0592041</v>
      </c>
      <c r="H2308">
        <v>1164.4259033000001</v>
      </c>
      <c r="I2308">
        <v>1490.0356445</v>
      </c>
      <c r="J2308">
        <v>1442.1085204999999</v>
      </c>
      <c r="K2308">
        <v>0</v>
      </c>
      <c r="L2308">
        <v>2400</v>
      </c>
      <c r="M2308">
        <v>2400</v>
      </c>
      <c r="N2308">
        <v>0</v>
      </c>
    </row>
    <row r="2309" spans="1:14" x14ac:dyDescent="0.25">
      <c r="A2309">
        <v>1457.242577</v>
      </c>
      <c r="B2309" s="1">
        <f>DATE(2014,4,27) + TIME(5,49,18)</f>
        <v>41756.242569444446</v>
      </c>
      <c r="C2309">
        <v>80</v>
      </c>
      <c r="D2309">
        <v>55.402061461999999</v>
      </c>
      <c r="E2309">
        <v>50</v>
      </c>
      <c r="F2309">
        <v>49.990093231000003</v>
      </c>
      <c r="G2309">
        <v>1209.7349853999999</v>
      </c>
      <c r="H2309">
        <v>1163.9383545000001</v>
      </c>
      <c r="I2309">
        <v>1490.0014647999999</v>
      </c>
      <c r="J2309">
        <v>1442.0744629000001</v>
      </c>
      <c r="K2309">
        <v>0</v>
      </c>
      <c r="L2309">
        <v>2400</v>
      </c>
      <c r="M2309">
        <v>2400</v>
      </c>
      <c r="N2309">
        <v>0</v>
      </c>
    </row>
    <row r="2310" spans="1:14" x14ac:dyDescent="0.25">
      <c r="A2310">
        <v>1458.128279</v>
      </c>
      <c r="B2310" s="1">
        <f>DATE(2014,4,28) + TIME(3,4,43)</f>
        <v>41757.128275462965</v>
      </c>
      <c r="C2310">
        <v>80</v>
      </c>
      <c r="D2310">
        <v>55.193431854000004</v>
      </c>
      <c r="E2310">
        <v>50</v>
      </c>
      <c r="F2310">
        <v>49.990100861000002</v>
      </c>
      <c r="G2310">
        <v>1209.4107666</v>
      </c>
      <c r="H2310">
        <v>1163.4501952999999</v>
      </c>
      <c r="I2310">
        <v>1489.9674072</v>
      </c>
      <c r="J2310">
        <v>1442.0404053</v>
      </c>
      <c r="K2310">
        <v>0</v>
      </c>
      <c r="L2310">
        <v>2400</v>
      </c>
      <c r="M2310">
        <v>2400</v>
      </c>
      <c r="N2310">
        <v>0</v>
      </c>
    </row>
    <row r="2311" spans="1:14" x14ac:dyDescent="0.25">
      <c r="A2311">
        <v>1459.899684</v>
      </c>
      <c r="B2311" s="1">
        <f>DATE(2014,4,29) + TIME(21,35,32)</f>
        <v>41758.899675925924</v>
      </c>
      <c r="C2311">
        <v>80</v>
      </c>
      <c r="D2311">
        <v>54.952899932999998</v>
      </c>
      <c r="E2311">
        <v>50</v>
      </c>
      <c r="F2311">
        <v>49.990112304999997</v>
      </c>
      <c r="G2311">
        <v>1209.0938721</v>
      </c>
      <c r="H2311">
        <v>1162.9575195</v>
      </c>
      <c r="I2311">
        <v>1489.9329834</v>
      </c>
      <c r="J2311">
        <v>1442.0059814000001</v>
      </c>
      <c r="K2311">
        <v>0</v>
      </c>
      <c r="L2311">
        <v>2400</v>
      </c>
      <c r="M2311">
        <v>2400</v>
      </c>
      <c r="N2311">
        <v>0</v>
      </c>
    </row>
    <row r="2312" spans="1:14" x14ac:dyDescent="0.25">
      <c r="A2312">
        <v>1461</v>
      </c>
      <c r="B2312" s="1">
        <f>DATE(2014,5,1) + TIME(0,0,0)</f>
        <v>41760</v>
      </c>
      <c r="C2312">
        <v>80</v>
      </c>
      <c r="D2312">
        <v>54.596408844000003</v>
      </c>
      <c r="E2312">
        <v>50</v>
      </c>
      <c r="F2312">
        <v>49.990119933999999</v>
      </c>
      <c r="G2312">
        <v>1208.4355469</v>
      </c>
      <c r="H2312">
        <v>1161.9974365</v>
      </c>
      <c r="I2312">
        <v>1489.8665771000001</v>
      </c>
      <c r="J2312">
        <v>1441.9395752</v>
      </c>
      <c r="K2312">
        <v>0</v>
      </c>
      <c r="L2312">
        <v>2400</v>
      </c>
      <c r="M2312">
        <v>2400</v>
      </c>
      <c r="N2312">
        <v>0</v>
      </c>
    </row>
    <row r="2313" spans="1:14" x14ac:dyDescent="0.25">
      <c r="A2313">
        <v>1461.0000010000001</v>
      </c>
      <c r="B2313" s="1">
        <f>DATE(2014,5,1) + TIME(0,0,0)</f>
        <v>41760</v>
      </c>
      <c r="C2313">
        <v>80</v>
      </c>
      <c r="D2313">
        <v>54.596782683999997</v>
      </c>
      <c r="E2313">
        <v>50</v>
      </c>
      <c r="F2313">
        <v>49.989845275999997</v>
      </c>
      <c r="G2313">
        <v>1257.0726318</v>
      </c>
      <c r="H2313">
        <v>1210.7142334</v>
      </c>
      <c r="I2313">
        <v>1439.7528076000001</v>
      </c>
      <c r="J2313">
        <v>1391.8239745999999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1461.000004</v>
      </c>
      <c r="B2314" s="1">
        <f>DATE(2014,5,1) + TIME(0,0,0)</f>
        <v>41760</v>
      </c>
      <c r="C2314">
        <v>80</v>
      </c>
      <c r="D2314">
        <v>54.597789763999998</v>
      </c>
      <c r="E2314">
        <v>50</v>
      </c>
      <c r="F2314">
        <v>49.989109038999999</v>
      </c>
      <c r="G2314">
        <v>1262.9068603999999</v>
      </c>
      <c r="H2314">
        <v>1216.7341309000001</v>
      </c>
      <c r="I2314">
        <v>1433.9202881000001</v>
      </c>
      <c r="J2314">
        <v>1385.9904785000001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1461.0000130000001</v>
      </c>
      <c r="B2315" s="1">
        <f>DATE(2014,5,1) + TIME(0,0,1)</f>
        <v>41760.000011574077</v>
      </c>
      <c r="C2315">
        <v>80</v>
      </c>
      <c r="D2315">
        <v>54.600200653000002</v>
      </c>
      <c r="E2315">
        <v>50</v>
      </c>
      <c r="F2315">
        <v>49.987457274999997</v>
      </c>
      <c r="G2315">
        <v>1275.9038086</v>
      </c>
      <c r="H2315">
        <v>1229.987793</v>
      </c>
      <c r="I2315">
        <v>1420.8377685999999</v>
      </c>
      <c r="J2315">
        <v>1372.9061279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1461.0000399999999</v>
      </c>
      <c r="B2316" s="1">
        <f>DATE(2014,5,1) + TIME(0,0,3)</f>
        <v>41760.000034722223</v>
      </c>
      <c r="C2316">
        <v>80</v>
      </c>
      <c r="D2316">
        <v>54.605098724000001</v>
      </c>
      <c r="E2316">
        <v>50</v>
      </c>
      <c r="F2316">
        <v>49.984703064000001</v>
      </c>
      <c r="G2316">
        <v>1297.4030762</v>
      </c>
      <c r="H2316">
        <v>1251.6003418</v>
      </c>
      <c r="I2316">
        <v>1398.9794922000001</v>
      </c>
      <c r="J2316">
        <v>1351.0461425999999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1461.000121</v>
      </c>
      <c r="B2317" s="1">
        <f>DATE(2014,5,1) + TIME(0,0,10)</f>
        <v>41760.000115740739</v>
      </c>
      <c r="C2317">
        <v>80</v>
      </c>
      <c r="D2317">
        <v>54.614810943999998</v>
      </c>
      <c r="E2317">
        <v>50</v>
      </c>
      <c r="F2317">
        <v>49.981334685999997</v>
      </c>
      <c r="G2317">
        <v>1323.4620361</v>
      </c>
      <c r="H2317">
        <v>1277.5808105000001</v>
      </c>
      <c r="I2317">
        <v>1372.3032227000001</v>
      </c>
      <c r="J2317">
        <v>1324.3702393000001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1461.000364</v>
      </c>
      <c r="B2318" s="1">
        <f>DATE(2014,5,1) + TIME(0,0,31)</f>
        <v>41760.000358796293</v>
      </c>
      <c r="C2318">
        <v>80</v>
      </c>
      <c r="D2318">
        <v>54.637420654000003</v>
      </c>
      <c r="E2318">
        <v>50</v>
      </c>
      <c r="F2318">
        <v>49.977851868000002</v>
      </c>
      <c r="G2318">
        <v>1350.3626709</v>
      </c>
      <c r="H2318">
        <v>1304.3527832</v>
      </c>
      <c r="I2318">
        <v>1344.8358154</v>
      </c>
      <c r="J2318">
        <v>1296.9049072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1461.0010930000001</v>
      </c>
      <c r="B2319" s="1">
        <f>DATE(2014,5,1) + TIME(0,1,34)</f>
        <v>41760.001087962963</v>
      </c>
      <c r="C2319">
        <v>80</v>
      </c>
      <c r="D2319">
        <v>54.698493958</v>
      </c>
      <c r="E2319">
        <v>50</v>
      </c>
      <c r="F2319">
        <v>49.974334716999998</v>
      </c>
      <c r="G2319">
        <v>1377.6303711</v>
      </c>
      <c r="H2319">
        <v>1331.4871826000001</v>
      </c>
      <c r="I2319">
        <v>1317.3945312000001</v>
      </c>
      <c r="J2319">
        <v>1269.4656981999999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1461.0032799999999</v>
      </c>
      <c r="B2320" s="1">
        <f>DATE(2014,5,1) + TIME(0,4,43)</f>
        <v>41760.003275462965</v>
      </c>
      <c r="C2320">
        <v>80</v>
      </c>
      <c r="D2320">
        <v>54.874290465999998</v>
      </c>
      <c r="E2320">
        <v>50</v>
      </c>
      <c r="F2320">
        <v>49.970672606999997</v>
      </c>
      <c r="G2320">
        <v>1406.0692139</v>
      </c>
      <c r="H2320">
        <v>1359.8953856999999</v>
      </c>
      <c r="I2320">
        <v>1289.8546143000001</v>
      </c>
      <c r="J2320">
        <v>1241.9259033000001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1461.0098410000001</v>
      </c>
      <c r="B2321" s="1">
        <f>DATE(2014,5,1) + TIME(0,14,10)</f>
        <v>41760.009837962964</v>
      </c>
      <c r="C2321">
        <v>80</v>
      </c>
      <c r="D2321">
        <v>55.385124206999997</v>
      </c>
      <c r="E2321">
        <v>50</v>
      </c>
      <c r="F2321">
        <v>49.966587066999999</v>
      </c>
      <c r="G2321">
        <v>1436.6110839999999</v>
      </c>
      <c r="H2321">
        <v>1390.7227783000001</v>
      </c>
      <c r="I2321">
        <v>1261.8735352000001</v>
      </c>
      <c r="J2321">
        <v>1213.942749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1461.0210139999999</v>
      </c>
      <c r="B2322" s="1">
        <f>DATE(2014,5,1) + TIME(0,30,15)</f>
        <v>41760.021006944444</v>
      </c>
      <c r="C2322">
        <v>80</v>
      </c>
      <c r="D2322">
        <v>56.222579955999997</v>
      </c>
      <c r="E2322">
        <v>50</v>
      </c>
      <c r="F2322">
        <v>49.963096618999998</v>
      </c>
      <c r="G2322">
        <v>1459.0998535000001</v>
      </c>
      <c r="H2322">
        <v>1413.7821045000001</v>
      </c>
      <c r="I2322">
        <v>1241.8917236</v>
      </c>
      <c r="J2322">
        <v>1193.9586182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1461.0325580000001</v>
      </c>
      <c r="B2323" s="1">
        <f>DATE(2014,5,1) + TIME(0,46,53)</f>
        <v>41760.032557870371</v>
      </c>
      <c r="C2323">
        <v>80</v>
      </c>
      <c r="D2323">
        <v>57.056674956999998</v>
      </c>
      <c r="E2323">
        <v>50</v>
      </c>
      <c r="F2323">
        <v>49.960693358999997</v>
      </c>
      <c r="G2323">
        <v>1471.4830322</v>
      </c>
      <c r="H2323">
        <v>1426.7364502</v>
      </c>
      <c r="I2323">
        <v>1231.0942382999999</v>
      </c>
      <c r="J2323">
        <v>1183.159668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1461.0444600000001</v>
      </c>
      <c r="B2324" s="1">
        <f>DATE(2014,5,1) + TIME(1,4,1)</f>
        <v>41760.044456018521</v>
      </c>
      <c r="C2324">
        <v>80</v>
      </c>
      <c r="D2324">
        <v>57.885372162000003</v>
      </c>
      <c r="E2324">
        <v>50</v>
      </c>
      <c r="F2324">
        <v>49.958820342999999</v>
      </c>
      <c r="G2324">
        <v>1478.8109131000001</v>
      </c>
      <c r="H2324">
        <v>1434.6252440999999</v>
      </c>
      <c r="I2324">
        <v>1224.8575439000001</v>
      </c>
      <c r="J2324">
        <v>1176.921875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1461.056736</v>
      </c>
      <c r="B2325" s="1">
        <f>DATE(2014,5,1) + TIME(1,21,41)</f>
        <v>41760.05672453704</v>
      </c>
      <c r="C2325">
        <v>80</v>
      </c>
      <c r="D2325">
        <v>58.708328246999997</v>
      </c>
      <c r="E2325">
        <v>50</v>
      </c>
      <c r="F2325">
        <v>49.957233428999999</v>
      </c>
      <c r="G2325">
        <v>1483.2183838000001</v>
      </c>
      <c r="H2325">
        <v>1439.5802002</v>
      </c>
      <c r="I2325">
        <v>1221.2141113</v>
      </c>
      <c r="J2325">
        <v>1173.2775879000001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1461.069407</v>
      </c>
      <c r="B2326" s="1">
        <f>DATE(2014,5,1) + TIME(1,39,56)</f>
        <v>41760.069398148145</v>
      </c>
      <c r="C2326">
        <v>80</v>
      </c>
      <c r="D2326">
        <v>59.525306702000002</v>
      </c>
      <c r="E2326">
        <v>50</v>
      </c>
      <c r="F2326">
        <v>49.955806731999999</v>
      </c>
      <c r="G2326">
        <v>1485.8178711</v>
      </c>
      <c r="H2326">
        <v>1442.7126464999999</v>
      </c>
      <c r="I2326">
        <v>1219.1158447</v>
      </c>
      <c r="J2326">
        <v>1171.1787108999999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1461.0824950000001</v>
      </c>
      <c r="B2327" s="1">
        <f>DATE(2014,5,1) + TIME(1,58,47)</f>
        <v>41760.082488425927</v>
      </c>
      <c r="C2327">
        <v>80</v>
      </c>
      <c r="D2327">
        <v>60.335742949999997</v>
      </c>
      <c r="E2327">
        <v>50</v>
      </c>
      <c r="F2327">
        <v>49.954463959000002</v>
      </c>
      <c r="G2327">
        <v>1487.2623291</v>
      </c>
      <c r="H2327">
        <v>1444.675293</v>
      </c>
      <c r="I2327">
        <v>1217.9458007999999</v>
      </c>
      <c r="J2327">
        <v>1170.0080565999999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1461.0960299999999</v>
      </c>
      <c r="B2328" s="1">
        <f>DATE(2014,5,1) + TIME(2,18,17)</f>
        <v>41760.096030092594</v>
      </c>
      <c r="C2328">
        <v>80</v>
      </c>
      <c r="D2328">
        <v>61.139415741000001</v>
      </c>
      <c r="E2328">
        <v>50</v>
      </c>
      <c r="F2328">
        <v>49.953159331999998</v>
      </c>
      <c r="G2328">
        <v>1487.9594727000001</v>
      </c>
      <c r="H2328">
        <v>1445.8763428</v>
      </c>
      <c r="I2328">
        <v>1217.3266602000001</v>
      </c>
      <c r="J2328">
        <v>1169.3884277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1461.110044</v>
      </c>
      <c r="B2329" s="1">
        <f>DATE(2014,5,1) + TIME(2,38,27)</f>
        <v>41760.110034722224</v>
      </c>
      <c r="C2329">
        <v>80</v>
      </c>
      <c r="D2329">
        <v>61.936550140000001</v>
      </c>
      <c r="E2329">
        <v>50</v>
      </c>
      <c r="F2329">
        <v>49.951858520999998</v>
      </c>
      <c r="G2329">
        <v>1488.1715088000001</v>
      </c>
      <c r="H2329">
        <v>1446.5782471</v>
      </c>
      <c r="I2329">
        <v>1217.0269774999999</v>
      </c>
      <c r="J2329">
        <v>1169.0882568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1461.1245730000001</v>
      </c>
      <c r="B2330" s="1">
        <f>DATE(2014,5,1) + TIME(2,59,23)</f>
        <v>41760.124571759261</v>
      </c>
      <c r="C2330">
        <v>80</v>
      </c>
      <c r="D2330">
        <v>62.727031707999998</v>
      </c>
      <c r="E2330">
        <v>50</v>
      </c>
      <c r="F2330">
        <v>49.95054245</v>
      </c>
      <c r="G2330">
        <v>1488.0690918</v>
      </c>
      <c r="H2330">
        <v>1446.9520264</v>
      </c>
      <c r="I2330">
        <v>1216.9056396000001</v>
      </c>
      <c r="J2330">
        <v>1168.9663086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1461.1396580000001</v>
      </c>
      <c r="B2331" s="1">
        <f>DATE(2014,5,1) + TIME(3,21,6)</f>
        <v>41760.139652777776</v>
      </c>
      <c r="C2331">
        <v>80</v>
      </c>
      <c r="D2331">
        <v>63.510753631999997</v>
      </c>
      <c r="E2331">
        <v>50</v>
      </c>
      <c r="F2331">
        <v>49.949199677000003</v>
      </c>
      <c r="G2331">
        <v>1487.7636719</v>
      </c>
      <c r="H2331">
        <v>1447.1096190999999</v>
      </c>
      <c r="I2331">
        <v>1216.8782959</v>
      </c>
      <c r="J2331">
        <v>1168.9384766000001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1461.155346</v>
      </c>
      <c r="B2332" s="1">
        <f>DATE(2014,5,1) + TIME(3,43,41)</f>
        <v>41760.155335648145</v>
      </c>
      <c r="C2332">
        <v>80</v>
      </c>
      <c r="D2332">
        <v>64.287590026999993</v>
      </c>
      <c r="E2332">
        <v>50</v>
      </c>
      <c r="F2332">
        <v>49.947818755999997</v>
      </c>
      <c r="G2332">
        <v>1487.3286132999999</v>
      </c>
      <c r="H2332">
        <v>1447.1245117000001</v>
      </c>
      <c r="I2332">
        <v>1216.895874</v>
      </c>
      <c r="J2332">
        <v>1168.9554443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1461.171689</v>
      </c>
      <c r="B2333" s="1">
        <f>DATE(2014,5,1) + TIME(4,7,13)</f>
        <v>41760.171678240738</v>
      </c>
      <c r="C2333">
        <v>80</v>
      </c>
      <c r="D2333">
        <v>65.057403563999998</v>
      </c>
      <c r="E2333">
        <v>50</v>
      </c>
      <c r="F2333">
        <v>49.946395873999997</v>
      </c>
      <c r="G2333">
        <v>1486.8116454999999</v>
      </c>
      <c r="H2333">
        <v>1447.0452881000001</v>
      </c>
      <c r="I2333">
        <v>1216.9310303</v>
      </c>
      <c r="J2333">
        <v>1168.9901123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1461.188746</v>
      </c>
      <c r="B2334" s="1">
        <f>DATE(2014,5,1) + TIME(4,31,47)</f>
        <v>41760.188738425924</v>
      </c>
      <c r="C2334">
        <v>80</v>
      </c>
      <c r="D2334">
        <v>65.820205688000001</v>
      </c>
      <c r="E2334">
        <v>50</v>
      </c>
      <c r="F2334">
        <v>49.944927216000004</v>
      </c>
      <c r="G2334">
        <v>1486.2443848</v>
      </c>
      <c r="H2334">
        <v>1446.9035644999999</v>
      </c>
      <c r="I2334">
        <v>1216.9693603999999</v>
      </c>
      <c r="J2334">
        <v>1169.0279541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1461.206586</v>
      </c>
      <c r="B2335" s="1">
        <f>DATE(2014,5,1) + TIME(4,57,28)</f>
        <v>41760.206574074073</v>
      </c>
      <c r="C2335">
        <v>80</v>
      </c>
      <c r="D2335">
        <v>66.575721740999995</v>
      </c>
      <c r="E2335">
        <v>50</v>
      </c>
      <c r="F2335">
        <v>49.943401336999997</v>
      </c>
      <c r="G2335">
        <v>1485.6473389</v>
      </c>
      <c r="H2335">
        <v>1446.7204589999999</v>
      </c>
      <c r="I2335">
        <v>1217.0041504000001</v>
      </c>
      <c r="J2335">
        <v>1169.0621338000001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1461.225297</v>
      </c>
      <c r="B2336" s="1">
        <f>DATE(2014,5,1) + TIME(5,24,25)</f>
        <v>41760.225289351853</v>
      </c>
      <c r="C2336">
        <v>80</v>
      </c>
      <c r="D2336">
        <v>67.324127196999996</v>
      </c>
      <c r="E2336">
        <v>50</v>
      </c>
      <c r="F2336">
        <v>49.941814422999997</v>
      </c>
      <c r="G2336">
        <v>1485.0338135</v>
      </c>
      <c r="H2336">
        <v>1446.5097656</v>
      </c>
      <c r="I2336">
        <v>1217.0325928</v>
      </c>
      <c r="J2336">
        <v>1169.0899658000001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1461.244958</v>
      </c>
      <c r="B2337" s="1">
        <f>DATE(2014,5,1) + TIME(5,52,44)</f>
        <v>41760.244953703703</v>
      </c>
      <c r="C2337">
        <v>80</v>
      </c>
      <c r="D2337">
        <v>68.064750670999999</v>
      </c>
      <c r="E2337">
        <v>50</v>
      </c>
      <c r="F2337">
        <v>49.940158844000003</v>
      </c>
      <c r="G2337">
        <v>1484.4130858999999</v>
      </c>
      <c r="H2337">
        <v>1446.2806396000001</v>
      </c>
      <c r="I2337">
        <v>1217.0544434000001</v>
      </c>
      <c r="J2337">
        <v>1169.1110839999999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1461.2656730000001</v>
      </c>
      <c r="B2338" s="1">
        <f>DATE(2014,5,1) + TIME(6,22,34)</f>
        <v>41760.2656712963</v>
      </c>
      <c r="C2338">
        <v>80</v>
      </c>
      <c r="D2338">
        <v>68.797340392999999</v>
      </c>
      <c r="E2338">
        <v>50</v>
      </c>
      <c r="F2338">
        <v>49.938434600999997</v>
      </c>
      <c r="G2338">
        <v>1483.7907714999999</v>
      </c>
      <c r="H2338">
        <v>1446.0391846</v>
      </c>
      <c r="I2338">
        <v>1217.0701904</v>
      </c>
      <c r="J2338">
        <v>1169.1262207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1461.2875630000001</v>
      </c>
      <c r="B2339" s="1">
        <f>DATE(2014,5,1) + TIME(6,54,5)</f>
        <v>41760.287557870368</v>
      </c>
      <c r="C2339">
        <v>80</v>
      </c>
      <c r="D2339">
        <v>69.521575928000004</v>
      </c>
      <c r="E2339">
        <v>50</v>
      </c>
      <c r="F2339">
        <v>49.936626433999997</v>
      </c>
      <c r="G2339">
        <v>1483.1707764</v>
      </c>
      <c r="H2339">
        <v>1445.7895507999999</v>
      </c>
      <c r="I2339">
        <v>1217.0809326000001</v>
      </c>
      <c r="J2339">
        <v>1169.1362305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1461.3107709999999</v>
      </c>
      <c r="B2340" s="1">
        <f>DATE(2014,5,1) + TIME(7,27,30)</f>
        <v>41760.310763888891</v>
      </c>
      <c r="C2340">
        <v>80</v>
      </c>
      <c r="D2340">
        <v>70.236930846999996</v>
      </c>
      <c r="E2340">
        <v>50</v>
      </c>
      <c r="F2340">
        <v>49.934730530000003</v>
      </c>
      <c r="G2340">
        <v>1482.5554199000001</v>
      </c>
      <c r="H2340">
        <v>1445.5340576000001</v>
      </c>
      <c r="I2340">
        <v>1217.0877685999999</v>
      </c>
      <c r="J2340">
        <v>1169.1423339999999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1461.335462</v>
      </c>
      <c r="B2341" s="1">
        <f>DATE(2014,5,1) + TIME(8,3,3)</f>
        <v>41760.335451388892</v>
      </c>
      <c r="C2341">
        <v>80</v>
      </c>
      <c r="D2341">
        <v>70.942657471000004</v>
      </c>
      <c r="E2341">
        <v>50</v>
      </c>
      <c r="F2341">
        <v>49.932731627999999</v>
      </c>
      <c r="G2341">
        <v>1481.9460449000001</v>
      </c>
      <c r="H2341">
        <v>1445.2744141000001</v>
      </c>
      <c r="I2341">
        <v>1217.0916748</v>
      </c>
      <c r="J2341">
        <v>1169.1453856999999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1461.3618429999999</v>
      </c>
      <c r="B2342" s="1">
        <f>DATE(2014,5,1) + TIME(8,41,3)</f>
        <v>41760.361840277779</v>
      </c>
      <c r="C2342">
        <v>80</v>
      </c>
      <c r="D2342">
        <v>71.638725281000006</v>
      </c>
      <c r="E2342">
        <v>50</v>
      </c>
      <c r="F2342">
        <v>49.930618285999998</v>
      </c>
      <c r="G2342">
        <v>1481.3433838000001</v>
      </c>
      <c r="H2342">
        <v>1445.0115966999999</v>
      </c>
      <c r="I2342">
        <v>1217.0933838000001</v>
      </c>
      <c r="J2342">
        <v>1169.1462402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1461.390163</v>
      </c>
      <c r="B2343" s="1">
        <f>DATE(2014,5,1) + TIME(9,21,50)</f>
        <v>41760.390162037038</v>
      </c>
      <c r="C2343">
        <v>80</v>
      </c>
      <c r="D2343">
        <v>72.324584960999999</v>
      </c>
      <c r="E2343">
        <v>50</v>
      </c>
      <c r="F2343">
        <v>49.928375244000001</v>
      </c>
      <c r="G2343">
        <v>1480.7475586</v>
      </c>
      <c r="H2343">
        <v>1444.7457274999999</v>
      </c>
      <c r="I2343">
        <v>1217.0933838000001</v>
      </c>
      <c r="J2343">
        <v>1169.1455077999999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1461.4207249999999</v>
      </c>
      <c r="B2344" s="1">
        <f>DATE(2014,5,1) + TIME(10,5,50)</f>
        <v>41760.420717592591</v>
      </c>
      <c r="C2344">
        <v>80</v>
      </c>
      <c r="D2344">
        <v>72.999580382999994</v>
      </c>
      <c r="E2344">
        <v>50</v>
      </c>
      <c r="F2344">
        <v>49.925983428999999</v>
      </c>
      <c r="G2344">
        <v>1480.1582031</v>
      </c>
      <c r="H2344">
        <v>1444.4768065999999</v>
      </c>
      <c r="I2344">
        <v>1217.0924072</v>
      </c>
      <c r="J2344">
        <v>1169.1434326000001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1461.45391</v>
      </c>
      <c r="B2345" s="1">
        <f>DATE(2014,5,1) + TIME(10,53,37)</f>
        <v>41760.453900462962</v>
      </c>
      <c r="C2345">
        <v>80</v>
      </c>
      <c r="D2345">
        <v>73.662910460999996</v>
      </c>
      <c r="E2345">
        <v>50</v>
      </c>
      <c r="F2345">
        <v>49.923416138</v>
      </c>
      <c r="G2345">
        <v>1479.5750731999999</v>
      </c>
      <c r="H2345">
        <v>1444.2043457</v>
      </c>
      <c r="I2345">
        <v>1217.0904541</v>
      </c>
      <c r="J2345">
        <v>1169.1405029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1461.490213</v>
      </c>
      <c r="B2346" s="1">
        <f>DATE(2014,5,1) + TIME(11,45,54)</f>
        <v>41760.490208333336</v>
      </c>
      <c r="C2346">
        <v>80</v>
      </c>
      <c r="D2346">
        <v>74.313819885000001</v>
      </c>
      <c r="E2346">
        <v>50</v>
      </c>
      <c r="F2346">
        <v>49.920646667</v>
      </c>
      <c r="G2346">
        <v>1478.9970702999999</v>
      </c>
      <c r="H2346">
        <v>1443.9276123</v>
      </c>
      <c r="I2346">
        <v>1217.0878906</v>
      </c>
      <c r="J2346">
        <v>1169.1368408000001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1461.530264</v>
      </c>
      <c r="B2347" s="1">
        <f>DATE(2014,5,1) + TIME(12,43,34)</f>
        <v>41760.53025462963</v>
      </c>
      <c r="C2347">
        <v>80</v>
      </c>
      <c r="D2347">
        <v>74.951164246000005</v>
      </c>
      <c r="E2347">
        <v>50</v>
      </c>
      <c r="F2347">
        <v>49.917633057000003</v>
      </c>
      <c r="G2347">
        <v>1478.4233397999999</v>
      </c>
      <c r="H2347">
        <v>1443.6456298999999</v>
      </c>
      <c r="I2347">
        <v>1217.0847168</v>
      </c>
      <c r="J2347">
        <v>1169.1325684000001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1461.574877</v>
      </c>
      <c r="B2348" s="1">
        <f>DATE(2014,5,1) + TIME(13,47,49)</f>
        <v>41760.574872685182</v>
      </c>
      <c r="C2348">
        <v>80</v>
      </c>
      <c r="D2348">
        <v>75.572799683</v>
      </c>
      <c r="E2348">
        <v>50</v>
      </c>
      <c r="F2348">
        <v>49.914325714</v>
      </c>
      <c r="G2348">
        <v>1477.8527832</v>
      </c>
      <c r="H2348">
        <v>1443.3569336</v>
      </c>
      <c r="I2348">
        <v>1217.0811768000001</v>
      </c>
      <c r="J2348">
        <v>1169.1275635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1461.623576</v>
      </c>
      <c r="B2349" s="1">
        <f>DATE(2014,5,1) + TIME(14,57,57)</f>
        <v>41760.623576388891</v>
      </c>
      <c r="C2349">
        <v>80</v>
      </c>
      <c r="D2349">
        <v>76.160659789999997</v>
      </c>
      <c r="E2349">
        <v>50</v>
      </c>
      <c r="F2349">
        <v>49.910758971999996</v>
      </c>
      <c r="G2349">
        <v>1477.2961425999999</v>
      </c>
      <c r="H2349">
        <v>1443.0645752</v>
      </c>
      <c r="I2349">
        <v>1217.0770264</v>
      </c>
      <c r="J2349">
        <v>1169.1220702999999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1461.6723300000001</v>
      </c>
      <c r="B2350" s="1">
        <f>DATE(2014,5,1) + TIME(16,8,9)</f>
        <v>41760.672326388885</v>
      </c>
      <c r="C2350">
        <v>80</v>
      </c>
      <c r="D2350">
        <v>76.670440674000005</v>
      </c>
      <c r="E2350">
        <v>50</v>
      </c>
      <c r="F2350">
        <v>49.907196044999999</v>
      </c>
      <c r="G2350">
        <v>1476.7867432</v>
      </c>
      <c r="H2350">
        <v>1442.7824707</v>
      </c>
      <c r="I2350">
        <v>1217.0725098</v>
      </c>
      <c r="J2350">
        <v>1169.1162108999999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1461.7216209999999</v>
      </c>
      <c r="B2351" s="1">
        <f>DATE(2014,5,1) + TIME(17,19,8)</f>
        <v>41760.721620370372</v>
      </c>
      <c r="C2351">
        <v>80</v>
      </c>
      <c r="D2351">
        <v>77.116241454999994</v>
      </c>
      <c r="E2351">
        <v>50</v>
      </c>
      <c r="F2351">
        <v>49.903602599999999</v>
      </c>
      <c r="G2351">
        <v>1476.3245850000001</v>
      </c>
      <c r="H2351">
        <v>1442.5186768000001</v>
      </c>
      <c r="I2351">
        <v>1217.0679932</v>
      </c>
      <c r="J2351">
        <v>1169.1102295000001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1461.7716740000001</v>
      </c>
      <c r="B2352" s="1">
        <f>DATE(2014,5,1) + TIME(18,31,12)</f>
        <v>41760.771666666667</v>
      </c>
      <c r="C2352">
        <v>80</v>
      </c>
      <c r="D2352">
        <v>77.506965636999993</v>
      </c>
      <c r="E2352">
        <v>50</v>
      </c>
      <c r="F2352">
        <v>49.899963378999999</v>
      </c>
      <c r="G2352">
        <v>1475.9017334</v>
      </c>
      <c r="H2352">
        <v>1442.2695312000001</v>
      </c>
      <c r="I2352">
        <v>1217.0632324000001</v>
      </c>
      <c r="J2352">
        <v>1169.104126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1461.8227159999999</v>
      </c>
      <c r="B2353" s="1">
        <f>DATE(2014,5,1) + TIME(19,44,42)</f>
        <v>41760.822708333333</v>
      </c>
      <c r="C2353">
        <v>80</v>
      </c>
      <c r="D2353">
        <v>77.849967957000004</v>
      </c>
      <c r="E2353">
        <v>50</v>
      </c>
      <c r="F2353">
        <v>49.896266937</v>
      </c>
      <c r="G2353">
        <v>1475.5120850000001</v>
      </c>
      <c r="H2353">
        <v>1442.0325928</v>
      </c>
      <c r="I2353">
        <v>1217.0585937999999</v>
      </c>
      <c r="J2353">
        <v>1169.0980225000001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1461.8749780000001</v>
      </c>
      <c r="B2354" s="1">
        <f>DATE(2014,5,1) + TIME(20,59,58)</f>
        <v>41760.874976851854</v>
      </c>
      <c r="C2354">
        <v>80</v>
      </c>
      <c r="D2354">
        <v>78.151290893999999</v>
      </c>
      <c r="E2354">
        <v>50</v>
      </c>
      <c r="F2354">
        <v>49.892498015999998</v>
      </c>
      <c r="G2354">
        <v>1475.1506348</v>
      </c>
      <c r="H2354">
        <v>1441.8060303</v>
      </c>
      <c r="I2354">
        <v>1217.0537108999999</v>
      </c>
      <c r="J2354">
        <v>1169.0916748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1461.928711</v>
      </c>
      <c r="B2355" s="1">
        <f>DATE(2014,5,1) + TIME(22,17,20)</f>
        <v>41760.928703703707</v>
      </c>
      <c r="C2355">
        <v>80</v>
      </c>
      <c r="D2355">
        <v>78.416061400999993</v>
      </c>
      <c r="E2355">
        <v>50</v>
      </c>
      <c r="F2355">
        <v>49.888641356999997</v>
      </c>
      <c r="G2355">
        <v>1474.8133545000001</v>
      </c>
      <c r="H2355">
        <v>1441.5880127</v>
      </c>
      <c r="I2355">
        <v>1217.0487060999999</v>
      </c>
      <c r="J2355">
        <v>1169.0852050999999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1461.9841719999999</v>
      </c>
      <c r="B2356" s="1">
        <f>DATE(2014,5,1) + TIME(23,37,12)</f>
        <v>41760.984166666669</v>
      </c>
      <c r="C2356">
        <v>80</v>
      </c>
      <c r="D2356">
        <v>78.648529053000004</v>
      </c>
      <c r="E2356">
        <v>50</v>
      </c>
      <c r="F2356">
        <v>49.884681702000002</v>
      </c>
      <c r="G2356">
        <v>1474.4967041</v>
      </c>
      <c r="H2356">
        <v>1441.3769531</v>
      </c>
      <c r="I2356">
        <v>1217.0437012</v>
      </c>
      <c r="J2356">
        <v>1169.0786132999999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1462.041616</v>
      </c>
      <c r="B2357" s="1">
        <f>DATE(2014,5,2) + TIME(0,59,55)</f>
        <v>41761.041608796295</v>
      </c>
      <c r="C2357">
        <v>80</v>
      </c>
      <c r="D2357">
        <v>78.852287292</v>
      </c>
      <c r="E2357">
        <v>50</v>
      </c>
      <c r="F2357">
        <v>49.880599975999999</v>
      </c>
      <c r="G2357">
        <v>1474.1977539</v>
      </c>
      <c r="H2357">
        <v>1441.1716309000001</v>
      </c>
      <c r="I2357">
        <v>1217.0384521000001</v>
      </c>
      <c r="J2357">
        <v>1169.0717772999999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1462.101345</v>
      </c>
      <c r="B2358" s="1">
        <f>DATE(2014,5,2) + TIME(2,25,56)</f>
        <v>41761.101342592592</v>
      </c>
      <c r="C2358">
        <v>80</v>
      </c>
      <c r="D2358">
        <v>79.030502318999993</v>
      </c>
      <c r="E2358">
        <v>50</v>
      </c>
      <c r="F2358">
        <v>49.876384735000002</v>
      </c>
      <c r="G2358">
        <v>1473.9138184000001</v>
      </c>
      <c r="H2358">
        <v>1440.9709473</v>
      </c>
      <c r="I2358">
        <v>1217.0329589999999</v>
      </c>
      <c r="J2358">
        <v>1169.0645752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1462.1637009999999</v>
      </c>
      <c r="B2359" s="1">
        <f>DATE(2014,5,2) + TIME(3,55,43)</f>
        <v>41761.16369212963</v>
      </c>
      <c r="C2359">
        <v>80</v>
      </c>
      <c r="D2359">
        <v>79.185935974000003</v>
      </c>
      <c r="E2359">
        <v>50</v>
      </c>
      <c r="F2359">
        <v>49.872005463000001</v>
      </c>
      <c r="G2359">
        <v>1473.6425781</v>
      </c>
      <c r="H2359">
        <v>1440.7736815999999</v>
      </c>
      <c r="I2359">
        <v>1217.0273437999999</v>
      </c>
      <c r="J2359">
        <v>1169.057251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1462.2290700000001</v>
      </c>
      <c r="B2360" s="1">
        <f>DATE(2014,5,2) + TIME(5,29,51)</f>
        <v>41761.229062500002</v>
      </c>
      <c r="C2360">
        <v>80</v>
      </c>
      <c r="D2360">
        <v>79.321006775000001</v>
      </c>
      <c r="E2360">
        <v>50</v>
      </c>
      <c r="F2360">
        <v>49.867446899000001</v>
      </c>
      <c r="G2360">
        <v>1473.3818358999999</v>
      </c>
      <c r="H2360">
        <v>1440.5787353999999</v>
      </c>
      <c r="I2360">
        <v>1217.0213623</v>
      </c>
      <c r="J2360">
        <v>1169.0494385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1462.2979</v>
      </c>
      <c r="B2361" s="1">
        <f>DATE(2014,5,2) + TIME(7,8,58)</f>
        <v>41761.297893518517</v>
      </c>
      <c r="C2361">
        <v>80</v>
      </c>
      <c r="D2361">
        <v>79.437850952000005</v>
      </c>
      <c r="E2361">
        <v>50</v>
      </c>
      <c r="F2361">
        <v>49.862678528000004</v>
      </c>
      <c r="G2361">
        <v>1473.1297606999999</v>
      </c>
      <c r="H2361">
        <v>1440.3852539</v>
      </c>
      <c r="I2361">
        <v>1217.0151367000001</v>
      </c>
      <c r="J2361">
        <v>1169.0413818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1462.370737</v>
      </c>
      <c r="B2362" s="1">
        <f>DATE(2014,5,2) + TIME(8,53,51)</f>
        <v>41761.370729166665</v>
      </c>
      <c r="C2362">
        <v>80</v>
      </c>
      <c r="D2362">
        <v>79.538429260000001</v>
      </c>
      <c r="E2362">
        <v>50</v>
      </c>
      <c r="F2362">
        <v>49.857673644999998</v>
      </c>
      <c r="G2362">
        <v>1472.8845214999999</v>
      </c>
      <c r="H2362">
        <v>1440.1921387</v>
      </c>
      <c r="I2362">
        <v>1217.0085449000001</v>
      </c>
      <c r="J2362">
        <v>1169.0328368999999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1462.4479470000001</v>
      </c>
      <c r="B2363" s="1">
        <f>DATE(2014,5,2) + TIME(10,45,2)</f>
        <v>41761.447939814818</v>
      </c>
      <c r="C2363">
        <v>80</v>
      </c>
      <c r="D2363">
        <v>79.624198914000004</v>
      </c>
      <c r="E2363">
        <v>50</v>
      </c>
      <c r="F2363">
        <v>49.852401733000001</v>
      </c>
      <c r="G2363">
        <v>1472.6441649999999</v>
      </c>
      <c r="H2363">
        <v>1439.9984131000001</v>
      </c>
      <c r="I2363">
        <v>1217.0015868999999</v>
      </c>
      <c r="J2363">
        <v>1169.0238036999999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1462.5294670000001</v>
      </c>
      <c r="B2364" s="1">
        <f>DATE(2014,5,2) + TIME(12,42,25)</f>
        <v>41761.529456018521</v>
      </c>
      <c r="C2364">
        <v>80</v>
      </c>
      <c r="D2364">
        <v>79.696289062000005</v>
      </c>
      <c r="E2364">
        <v>50</v>
      </c>
      <c r="F2364">
        <v>49.846870422000002</v>
      </c>
      <c r="G2364">
        <v>1472.4082031</v>
      </c>
      <c r="H2364">
        <v>1439.8035889</v>
      </c>
      <c r="I2364">
        <v>1216.9942627</v>
      </c>
      <c r="J2364">
        <v>1169.0142822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1462.616006</v>
      </c>
      <c r="B2365" s="1">
        <f>DATE(2014,5,2) + TIME(14,47,2)</f>
        <v>41761.615995370368</v>
      </c>
      <c r="C2365">
        <v>80</v>
      </c>
      <c r="D2365">
        <v>79.756477356000005</v>
      </c>
      <c r="E2365">
        <v>50</v>
      </c>
      <c r="F2365">
        <v>49.841033936000002</v>
      </c>
      <c r="G2365">
        <v>1472.1761475000001</v>
      </c>
      <c r="H2365">
        <v>1439.6081543</v>
      </c>
      <c r="I2365">
        <v>1216.9864502</v>
      </c>
      <c r="J2365">
        <v>1169.0041504000001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1462.7083540000001</v>
      </c>
      <c r="B2366" s="1">
        <f>DATE(2014,5,2) + TIME(17,0,1)</f>
        <v>41761.708344907405</v>
      </c>
      <c r="C2366">
        <v>80</v>
      </c>
      <c r="D2366">
        <v>79.806297302000004</v>
      </c>
      <c r="E2366">
        <v>50</v>
      </c>
      <c r="F2366">
        <v>49.834854126000003</v>
      </c>
      <c r="G2366">
        <v>1471.9460449000001</v>
      </c>
      <c r="H2366">
        <v>1439.4108887</v>
      </c>
      <c r="I2366">
        <v>1216.9781493999999</v>
      </c>
      <c r="J2366">
        <v>1168.9934082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1462.8074810000001</v>
      </c>
      <c r="B2367" s="1">
        <f>DATE(2014,5,2) + TIME(19,22,46)</f>
        <v>41761.807476851849</v>
      </c>
      <c r="C2367">
        <v>80</v>
      </c>
      <c r="D2367">
        <v>79.847129821999999</v>
      </c>
      <c r="E2367">
        <v>50</v>
      </c>
      <c r="F2367">
        <v>49.828273772999999</v>
      </c>
      <c r="G2367">
        <v>1471.7164307</v>
      </c>
      <c r="H2367">
        <v>1439.2108154</v>
      </c>
      <c r="I2367">
        <v>1216.9693603999999</v>
      </c>
      <c r="J2367">
        <v>1168.9819336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1462.9108739999999</v>
      </c>
      <c r="B2368" s="1">
        <f>DATE(2014,5,2) + TIME(21,51,39)</f>
        <v>41761.910868055558</v>
      </c>
      <c r="C2368">
        <v>80</v>
      </c>
      <c r="D2368">
        <v>79.879341124999996</v>
      </c>
      <c r="E2368">
        <v>50</v>
      </c>
      <c r="F2368">
        <v>49.821411132999998</v>
      </c>
      <c r="G2368">
        <v>1471.4860839999999</v>
      </c>
      <c r="H2368">
        <v>1439.0067139</v>
      </c>
      <c r="I2368">
        <v>1216.9598389</v>
      </c>
      <c r="J2368">
        <v>1168.9697266000001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1463.0148670000001</v>
      </c>
      <c r="B2369" s="1">
        <f>DATE(2014,5,3) + TIME(0,21,24)</f>
        <v>41762.014861111114</v>
      </c>
      <c r="C2369">
        <v>80</v>
      </c>
      <c r="D2369">
        <v>79.903839110999996</v>
      </c>
      <c r="E2369">
        <v>50</v>
      </c>
      <c r="F2369">
        <v>49.814460754000002</v>
      </c>
      <c r="G2369">
        <v>1471.260376</v>
      </c>
      <c r="H2369">
        <v>1438.8041992000001</v>
      </c>
      <c r="I2369">
        <v>1216.9499512</v>
      </c>
      <c r="J2369">
        <v>1168.9571533000001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1463.1200490000001</v>
      </c>
      <c r="B2370" s="1">
        <f>DATE(2014,5,3) + TIME(2,52,52)</f>
        <v>41762.120046296295</v>
      </c>
      <c r="C2370">
        <v>80</v>
      </c>
      <c r="D2370">
        <v>79.922523498999993</v>
      </c>
      <c r="E2370">
        <v>50</v>
      </c>
      <c r="F2370">
        <v>49.807399750000002</v>
      </c>
      <c r="G2370">
        <v>1471.0456543</v>
      </c>
      <c r="H2370">
        <v>1438.6098632999999</v>
      </c>
      <c r="I2370">
        <v>1216.9399414</v>
      </c>
      <c r="J2370">
        <v>1168.9443358999999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1463.227009</v>
      </c>
      <c r="B2371" s="1">
        <f>DATE(2014,5,3) + TIME(5,26,53)</f>
        <v>41762.227002314816</v>
      </c>
      <c r="C2371">
        <v>80</v>
      </c>
      <c r="D2371">
        <v>79.936820983999993</v>
      </c>
      <c r="E2371">
        <v>50</v>
      </c>
      <c r="F2371">
        <v>49.800212860000002</v>
      </c>
      <c r="G2371">
        <v>1470.8393555</v>
      </c>
      <c r="H2371">
        <v>1438.421875</v>
      </c>
      <c r="I2371">
        <v>1216.9298096</v>
      </c>
      <c r="J2371">
        <v>1168.9313964999999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1463.336286</v>
      </c>
      <c r="B2372" s="1">
        <f>DATE(2014,5,3) + TIME(8,4,15)</f>
        <v>41762.336284722223</v>
      </c>
      <c r="C2372">
        <v>80</v>
      </c>
      <c r="D2372">
        <v>79.947761536000002</v>
      </c>
      <c r="E2372">
        <v>50</v>
      </c>
      <c r="F2372">
        <v>49.792881012000002</v>
      </c>
      <c r="G2372">
        <v>1470.6396483999999</v>
      </c>
      <c r="H2372">
        <v>1438.2387695</v>
      </c>
      <c r="I2372">
        <v>1216.9194336</v>
      </c>
      <c r="J2372">
        <v>1168.9180908000001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1463.4479940000001</v>
      </c>
      <c r="B2373" s="1">
        <f>DATE(2014,5,3) + TIME(10,45,6)</f>
        <v>41762.44798611111</v>
      </c>
      <c r="C2373">
        <v>80</v>
      </c>
      <c r="D2373">
        <v>79.956100464000002</v>
      </c>
      <c r="E2373">
        <v>50</v>
      </c>
      <c r="F2373">
        <v>49.785392760999997</v>
      </c>
      <c r="G2373">
        <v>1470.4448242000001</v>
      </c>
      <c r="H2373">
        <v>1438.0594481999999</v>
      </c>
      <c r="I2373">
        <v>1216.9089355000001</v>
      </c>
      <c r="J2373">
        <v>1168.9046631000001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1463.562473</v>
      </c>
      <c r="B2374" s="1">
        <f>DATE(2014,5,3) + TIME(13,29,57)</f>
        <v>41762.562465277777</v>
      </c>
      <c r="C2374">
        <v>80</v>
      </c>
      <c r="D2374">
        <v>79.962455750000004</v>
      </c>
      <c r="E2374">
        <v>50</v>
      </c>
      <c r="F2374">
        <v>49.777744292999998</v>
      </c>
      <c r="G2374">
        <v>1470.2542725000001</v>
      </c>
      <c r="H2374">
        <v>1437.8833007999999</v>
      </c>
      <c r="I2374">
        <v>1216.8981934000001</v>
      </c>
      <c r="J2374">
        <v>1168.8908690999999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1463.6802230000001</v>
      </c>
      <c r="B2375" s="1">
        <f>DATE(2014,5,3) + TIME(16,19,31)</f>
        <v>41762.680219907408</v>
      </c>
      <c r="C2375">
        <v>80</v>
      </c>
      <c r="D2375">
        <v>79.967285156000003</v>
      </c>
      <c r="E2375">
        <v>50</v>
      </c>
      <c r="F2375">
        <v>49.769901275999999</v>
      </c>
      <c r="G2375">
        <v>1470.0671387</v>
      </c>
      <c r="H2375">
        <v>1437.7097168</v>
      </c>
      <c r="I2375">
        <v>1216.887207</v>
      </c>
      <c r="J2375">
        <v>1168.8767089999999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1463.8018239999999</v>
      </c>
      <c r="B2376" s="1">
        <f>DATE(2014,5,3) + TIME(19,14,37)</f>
        <v>41762.801817129628</v>
      </c>
      <c r="C2376">
        <v>80</v>
      </c>
      <c r="D2376">
        <v>79.970947265999996</v>
      </c>
      <c r="E2376">
        <v>50</v>
      </c>
      <c r="F2376">
        <v>49.761833191000001</v>
      </c>
      <c r="G2376">
        <v>1469.8823242000001</v>
      </c>
      <c r="H2376">
        <v>1437.5379639</v>
      </c>
      <c r="I2376">
        <v>1216.8758545000001</v>
      </c>
      <c r="J2376">
        <v>1168.8621826000001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1463.927917</v>
      </c>
      <c r="B2377" s="1">
        <f>DATE(2014,5,3) + TIME(22,16,12)</f>
        <v>41762.927916666667</v>
      </c>
      <c r="C2377">
        <v>80</v>
      </c>
      <c r="D2377">
        <v>79.973724364999995</v>
      </c>
      <c r="E2377">
        <v>50</v>
      </c>
      <c r="F2377">
        <v>49.753513335999997</v>
      </c>
      <c r="G2377">
        <v>1469.6989745999999</v>
      </c>
      <c r="H2377">
        <v>1437.3671875</v>
      </c>
      <c r="I2377">
        <v>1216.8641356999999</v>
      </c>
      <c r="J2377">
        <v>1168.847168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1464.059219</v>
      </c>
      <c r="B2378" s="1">
        <f>DATE(2014,5,4) + TIME(1,25,16)</f>
        <v>41763.059212962966</v>
      </c>
      <c r="C2378">
        <v>80</v>
      </c>
      <c r="D2378">
        <v>79.975814818999993</v>
      </c>
      <c r="E2378">
        <v>50</v>
      </c>
      <c r="F2378">
        <v>49.744895935000002</v>
      </c>
      <c r="G2378">
        <v>1469.5159911999999</v>
      </c>
      <c r="H2378">
        <v>1437.1965332</v>
      </c>
      <c r="I2378">
        <v>1216.8520507999999</v>
      </c>
      <c r="J2378">
        <v>1168.831543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1464.196551</v>
      </c>
      <c r="B2379" s="1">
        <f>DATE(2014,5,4) + TIME(4,43,2)</f>
        <v>41763.196550925924</v>
      </c>
      <c r="C2379">
        <v>80</v>
      </c>
      <c r="D2379">
        <v>79.977394103999998</v>
      </c>
      <c r="E2379">
        <v>50</v>
      </c>
      <c r="F2379">
        <v>49.735935210999997</v>
      </c>
      <c r="G2379">
        <v>1469.3326416</v>
      </c>
      <c r="H2379">
        <v>1437.0252685999999</v>
      </c>
      <c r="I2379">
        <v>1216.8393555</v>
      </c>
      <c r="J2379">
        <v>1168.8153076000001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1464.3409119999999</v>
      </c>
      <c r="B2380" s="1">
        <f>DATE(2014,5,4) + TIME(8,10,54)</f>
        <v>41763.340902777774</v>
      </c>
      <c r="C2380">
        <v>80</v>
      </c>
      <c r="D2380">
        <v>79.978576660000002</v>
      </c>
      <c r="E2380">
        <v>50</v>
      </c>
      <c r="F2380">
        <v>49.726573944000002</v>
      </c>
      <c r="G2380">
        <v>1469.1480713000001</v>
      </c>
      <c r="H2380">
        <v>1436.8526611</v>
      </c>
      <c r="I2380">
        <v>1216.8261719</v>
      </c>
      <c r="J2380">
        <v>1168.7983397999999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1464.4934679999999</v>
      </c>
      <c r="B2381" s="1">
        <f>DATE(2014,5,4) + TIME(11,50,35)</f>
        <v>41763.493460648147</v>
      </c>
      <c r="C2381">
        <v>80</v>
      </c>
      <c r="D2381">
        <v>79.979461670000006</v>
      </c>
      <c r="E2381">
        <v>50</v>
      </c>
      <c r="F2381">
        <v>49.716754913000003</v>
      </c>
      <c r="G2381">
        <v>1468.9611815999999</v>
      </c>
      <c r="H2381">
        <v>1436.6778564000001</v>
      </c>
      <c r="I2381">
        <v>1216.8122559000001</v>
      </c>
      <c r="J2381">
        <v>1168.7805175999999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1464.6547680000001</v>
      </c>
      <c r="B2382" s="1">
        <f>DATE(2014,5,4) + TIME(15,42,51)</f>
        <v>41763.654756944445</v>
      </c>
      <c r="C2382">
        <v>80</v>
      </c>
      <c r="D2382">
        <v>79.980125427000004</v>
      </c>
      <c r="E2382">
        <v>50</v>
      </c>
      <c r="F2382">
        <v>49.706432343000003</v>
      </c>
      <c r="G2382">
        <v>1468.7709961</v>
      </c>
      <c r="H2382">
        <v>1436.4998779</v>
      </c>
      <c r="I2382">
        <v>1216.7976074000001</v>
      </c>
      <c r="J2382">
        <v>1168.7617187999999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1464.8216070000001</v>
      </c>
      <c r="B2383" s="1">
        <f>DATE(2014,5,4) + TIME(19,43,6)</f>
        <v>41763.821597222224</v>
      </c>
      <c r="C2383">
        <v>80</v>
      </c>
      <c r="D2383">
        <v>79.980606078999998</v>
      </c>
      <c r="E2383">
        <v>50</v>
      </c>
      <c r="F2383">
        <v>49.695724487</v>
      </c>
      <c r="G2383">
        <v>1468.5775146000001</v>
      </c>
      <c r="H2383">
        <v>1436.3186035000001</v>
      </c>
      <c r="I2383">
        <v>1216.7821045000001</v>
      </c>
      <c r="J2383">
        <v>1168.7418213000001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1464.9895289999999</v>
      </c>
      <c r="B2384" s="1">
        <f>DATE(2014,5,4) + TIME(23,44,55)</f>
        <v>41763.989525462966</v>
      </c>
      <c r="C2384">
        <v>80</v>
      </c>
      <c r="D2384">
        <v>79.980949401999993</v>
      </c>
      <c r="E2384">
        <v>50</v>
      </c>
      <c r="F2384">
        <v>49.684837340999998</v>
      </c>
      <c r="G2384">
        <v>1468.3847656</v>
      </c>
      <c r="H2384">
        <v>1436.1379394999999</v>
      </c>
      <c r="I2384">
        <v>1216.7659911999999</v>
      </c>
      <c r="J2384">
        <v>1168.7214355000001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1465.1594500000001</v>
      </c>
      <c r="B2385" s="1">
        <f>DATE(2014,5,5) + TIME(3,49,36)</f>
        <v>41764.159444444442</v>
      </c>
      <c r="C2385">
        <v>80</v>
      </c>
      <c r="D2385">
        <v>79.981201171999999</v>
      </c>
      <c r="E2385">
        <v>50</v>
      </c>
      <c r="F2385">
        <v>49.673774719000001</v>
      </c>
      <c r="G2385">
        <v>1468.1979980000001</v>
      </c>
      <c r="H2385">
        <v>1435.9627685999999</v>
      </c>
      <c r="I2385">
        <v>1216.7497559000001</v>
      </c>
      <c r="J2385">
        <v>1168.7006836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1465.33231</v>
      </c>
      <c r="B2386" s="1">
        <f>DATE(2014,5,5) + TIME(7,58,31)</f>
        <v>41764.332303240742</v>
      </c>
      <c r="C2386">
        <v>80</v>
      </c>
      <c r="D2386">
        <v>79.981384277000004</v>
      </c>
      <c r="E2386">
        <v>50</v>
      </c>
      <c r="F2386">
        <v>49.662513732999997</v>
      </c>
      <c r="G2386">
        <v>1468.015625</v>
      </c>
      <c r="H2386">
        <v>1435.791626</v>
      </c>
      <c r="I2386">
        <v>1216.7333983999999</v>
      </c>
      <c r="J2386">
        <v>1168.6798096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1465.5088880000001</v>
      </c>
      <c r="B2387" s="1">
        <f>DATE(2014,5,5) + TIME(12,12,47)</f>
        <v>41764.508877314816</v>
      </c>
      <c r="C2387">
        <v>80</v>
      </c>
      <c r="D2387">
        <v>79.981521606000001</v>
      </c>
      <c r="E2387">
        <v>50</v>
      </c>
      <c r="F2387">
        <v>49.651027679000002</v>
      </c>
      <c r="G2387">
        <v>1467.8365478999999</v>
      </c>
      <c r="H2387">
        <v>1435.6235352000001</v>
      </c>
      <c r="I2387">
        <v>1216.7166748</v>
      </c>
      <c r="J2387">
        <v>1168.6584473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1465.6886360000001</v>
      </c>
      <c r="B2388" s="1">
        <f>DATE(2014,5,5) + TIME(16,31,38)</f>
        <v>41764.688634259262</v>
      </c>
      <c r="C2388">
        <v>80</v>
      </c>
      <c r="D2388">
        <v>79.981628418</v>
      </c>
      <c r="E2388">
        <v>50</v>
      </c>
      <c r="F2388">
        <v>49.639343261999997</v>
      </c>
      <c r="G2388">
        <v>1467.659668</v>
      </c>
      <c r="H2388">
        <v>1435.4575195</v>
      </c>
      <c r="I2388">
        <v>1216.6995850000001</v>
      </c>
      <c r="J2388">
        <v>1168.6367187999999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1465.8722270000001</v>
      </c>
      <c r="B2389" s="1">
        <f>DATE(2014,5,5) + TIME(20,56,0)</f>
        <v>41764.87222222222</v>
      </c>
      <c r="C2389">
        <v>80</v>
      </c>
      <c r="D2389">
        <v>79.981712341000005</v>
      </c>
      <c r="E2389">
        <v>50</v>
      </c>
      <c r="F2389">
        <v>49.627433777</v>
      </c>
      <c r="G2389">
        <v>1467.4855957</v>
      </c>
      <c r="H2389">
        <v>1435.2939452999999</v>
      </c>
      <c r="I2389">
        <v>1216.682251</v>
      </c>
      <c r="J2389">
        <v>1168.6145019999999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1466.060471</v>
      </c>
      <c r="B2390" s="1">
        <f>DATE(2014,5,6) + TIME(1,27,4)</f>
        <v>41765.06046296296</v>
      </c>
      <c r="C2390">
        <v>80</v>
      </c>
      <c r="D2390">
        <v>79.981773376000007</v>
      </c>
      <c r="E2390">
        <v>50</v>
      </c>
      <c r="F2390">
        <v>49.615261078000003</v>
      </c>
      <c r="G2390">
        <v>1467.3134766000001</v>
      </c>
      <c r="H2390">
        <v>1435.1322021000001</v>
      </c>
      <c r="I2390">
        <v>1216.6645507999999</v>
      </c>
      <c r="J2390">
        <v>1168.5917969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1466.254293</v>
      </c>
      <c r="B2391" s="1">
        <f>DATE(2014,5,6) + TIME(6,6,10)</f>
        <v>41765.254282407404</v>
      </c>
      <c r="C2391">
        <v>80</v>
      </c>
      <c r="D2391">
        <v>79.981819153000004</v>
      </c>
      <c r="E2391">
        <v>50</v>
      </c>
      <c r="F2391">
        <v>49.602779388000002</v>
      </c>
      <c r="G2391">
        <v>1467.1424560999999</v>
      </c>
      <c r="H2391">
        <v>1434.9714355000001</v>
      </c>
      <c r="I2391">
        <v>1216.6463623</v>
      </c>
      <c r="J2391">
        <v>1168.5686035000001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1466.454708</v>
      </c>
      <c r="B2392" s="1">
        <f>DATE(2014,5,6) + TIME(10,54,46)</f>
        <v>41765.454699074071</v>
      </c>
      <c r="C2392">
        <v>80</v>
      </c>
      <c r="D2392">
        <v>79.981857300000001</v>
      </c>
      <c r="E2392">
        <v>50</v>
      </c>
      <c r="F2392">
        <v>49.589939117</v>
      </c>
      <c r="G2392">
        <v>1466.9719238</v>
      </c>
      <c r="H2392">
        <v>1434.8109131000001</v>
      </c>
      <c r="I2392">
        <v>1216.6276855000001</v>
      </c>
      <c r="J2392">
        <v>1168.5445557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1466.6628450000001</v>
      </c>
      <c r="B2393" s="1">
        <f>DATE(2014,5,6) + TIME(15,54,29)</f>
        <v>41765.662835648145</v>
      </c>
      <c r="C2393">
        <v>80</v>
      </c>
      <c r="D2393">
        <v>79.981887817</v>
      </c>
      <c r="E2393">
        <v>50</v>
      </c>
      <c r="F2393">
        <v>49.576675414999997</v>
      </c>
      <c r="G2393">
        <v>1466.8010254000001</v>
      </c>
      <c r="H2393">
        <v>1434.6501464999999</v>
      </c>
      <c r="I2393">
        <v>1216.6082764</v>
      </c>
      <c r="J2393">
        <v>1168.5197754000001</v>
      </c>
      <c r="K2393">
        <v>2400</v>
      </c>
      <c r="L2393">
        <v>0</v>
      </c>
      <c r="M2393">
        <v>0</v>
      </c>
      <c r="N2393">
        <v>2400</v>
      </c>
    </row>
    <row r="2394" spans="1:14" x14ac:dyDescent="0.25">
      <c r="A2394">
        <v>1466.880015</v>
      </c>
      <c r="B2394" s="1">
        <f>DATE(2014,5,6) + TIME(21,7,13)</f>
        <v>41765.880011574074</v>
      </c>
      <c r="C2394">
        <v>80</v>
      </c>
      <c r="D2394">
        <v>79.981910705999994</v>
      </c>
      <c r="E2394">
        <v>50</v>
      </c>
      <c r="F2394">
        <v>49.562915801999999</v>
      </c>
      <c r="G2394">
        <v>1466.6289062000001</v>
      </c>
      <c r="H2394">
        <v>1434.4880370999999</v>
      </c>
      <c r="I2394">
        <v>1216.5881348</v>
      </c>
      <c r="J2394">
        <v>1168.4941406</v>
      </c>
      <c r="K2394">
        <v>2400</v>
      </c>
      <c r="L2394">
        <v>0</v>
      </c>
      <c r="M2394">
        <v>0</v>
      </c>
      <c r="N2394">
        <v>2400</v>
      </c>
    </row>
    <row r="2395" spans="1:14" x14ac:dyDescent="0.25">
      <c r="A2395">
        <v>1467.10779</v>
      </c>
      <c r="B2395" s="1">
        <f>DATE(2014,5,7) + TIME(2,35,13)</f>
        <v>41766.107789351852</v>
      </c>
      <c r="C2395">
        <v>80</v>
      </c>
      <c r="D2395">
        <v>79.981925963999998</v>
      </c>
      <c r="E2395">
        <v>50</v>
      </c>
      <c r="F2395">
        <v>49.548572540000002</v>
      </c>
      <c r="G2395">
        <v>1466.4548339999999</v>
      </c>
      <c r="H2395">
        <v>1434.3239745999999</v>
      </c>
      <c r="I2395">
        <v>1216.5672606999999</v>
      </c>
      <c r="J2395">
        <v>1168.4672852000001</v>
      </c>
      <c r="K2395">
        <v>2400</v>
      </c>
      <c r="L2395">
        <v>0</v>
      </c>
      <c r="M2395">
        <v>0</v>
      </c>
      <c r="N2395">
        <v>2400</v>
      </c>
    </row>
    <row r="2396" spans="1:14" x14ac:dyDescent="0.25">
      <c r="A2396">
        <v>1467.3385929999999</v>
      </c>
      <c r="B2396" s="1">
        <f>DATE(2014,5,7) + TIME(8,7,34)</f>
        <v>41766.338587962964</v>
      </c>
      <c r="C2396">
        <v>80</v>
      </c>
      <c r="D2396">
        <v>79.981941223000007</v>
      </c>
      <c r="E2396">
        <v>50</v>
      </c>
      <c r="F2396">
        <v>49.533901215</v>
      </c>
      <c r="G2396">
        <v>1466.2779541</v>
      </c>
      <c r="H2396">
        <v>1434.1572266000001</v>
      </c>
      <c r="I2396">
        <v>1216.5451660000001</v>
      </c>
      <c r="J2396">
        <v>1168.4392089999999</v>
      </c>
      <c r="K2396">
        <v>2400</v>
      </c>
      <c r="L2396">
        <v>0</v>
      </c>
      <c r="M2396">
        <v>0</v>
      </c>
      <c r="N2396">
        <v>2400</v>
      </c>
    </row>
    <row r="2397" spans="1:14" x14ac:dyDescent="0.25">
      <c r="A2397">
        <v>1467.5720409999999</v>
      </c>
      <c r="B2397" s="1">
        <f>DATE(2014,5,7) + TIME(13,43,44)</f>
        <v>41766.57203703704</v>
      </c>
      <c r="C2397">
        <v>80</v>
      </c>
      <c r="D2397">
        <v>79.981948853000006</v>
      </c>
      <c r="E2397">
        <v>50</v>
      </c>
      <c r="F2397">
        <v>49.518978119000003</v>
      </c>
      <c r="G2397">
        <v>1466.1040039</v>
      </c>
      <c r="H2397">
        <v>1433.9931641000001</v>
      </c>
      <c r="I2397">
        <v>1216.5228271000001</v>
      </c>
      <c r="J2397">
        <v>1168.4107666</v>
      </c>
      <c r="K2397">
        <v>2400</v>
      </c>
      <c r="L2397">
        <v>0</v>
      </c>
      <c r="M2397">
        <v>0</v>
      </c>
      <c r="N2397">
        <v>2400</v>
      </c>
    </row>
    <row r="2398" spans="1:14" x14ac:dyDescent="0.25">
      <c r="A2398">
        <v>1467.8092059999999</v>
      </c>
      <c r="B2398" s="1">
        <f>DATE(2014,5,7) + TIME(19,25,15)</f>
        <v>41766.809201388889</v>
      </c>
      <c r="C2398">
        <v>80</v>
      </c>
      <c r="D2398">
        <v>79.981956482000001</v>
      </c>
      <c r="E2398">
        <v>50</v>
      </c>
      <c r="F2398">
        <v>49.503799438000001</v>
      </c>
      <c r="G2398">
        <v>1465.9333495999999</v>
      </c>
      <c r="H2398">
        <v>1433.8320312000001</v>
      </c>
      <c r="I2398">
        <v>1216.5002440999999</v>
      </c>
      <c r="J2398">
        <v>1168.3819579999999</v>
      </c>
      <c r="K2398">
        <v>2400</v>
      </c>
      <c r="L2398">
        <v>0</v>
      </c>
      <c r="M2398">
        <v>0</v>
      </c>
      <c r="N2398">
        <v>2400</v>
      </c>
    </row>
    <row r="2399" spans="1:14" x14ac:dyDescent="0.25">
      <c r="A2399">
        <v>1468.051295</v>
      </c>
      <c r="B2399" s="1">
        <f>DATE(2014,5,8) + TIME(1,13,51)</f>
        <v>41767.05128472222</v>
      </c>
      <c r="C2399">
        <v>80</v>
      </c>
      <c r="D2399">
        <v>79.981964110999996</v>
      </c>
      <c r="E2399">
        <v>50</v>
      </c>
      <c r="F2399">
        <v>49.488338470000002</v>
      </c>
      <c r="G2399">
        <v>1465.7650146000001</v>
      </c>
      <c r="H2399">
        <v>1433.6730957</v>
      </c>
      <c r="I2399">
        <v>1216.4771728999999</v>
      </c>
      <c r="J2399">
        <v>1168.3525391000001</v>
      </c>
      <c r="K2399">
        <v>2400</v>
      </c>
      <c r="L2399">
        <v>0</v>
      </c>
      <c r="M2399">
        <v>0</v>
      </c>
      <c r="N2399">
        <v>2400</v>
      </c>
    </row>
    <row r="2400" spans="1:14" x14ac:dyDescent="0.25">
      <c r="A2400">
        <v>1468.299583</v>
      </c>
      <c r="B2400" s="1">
        <f>DATE(2014,5,8) + TIME(7,11,23)</f>
        <v>41767.299571759257</v>
      </c>
      <c r="C2400">
        <v>80</v>
      </c>
      <c r="D2400">
        <v>79.981971740999995</v>
      </c>
      <c r="E2400">
        <v>50</v>
      </c>
      <c r="F2400">
        <v>49.472545623999999</v>
      </c>
      <c r="G2400">
        <v>1465.5981445</v>
      </c>
      <c r="H2400">
        <v>1433.5153809000001</v>
      </c>
      <c r="I2400">
        <v>1216.4537353999999</v>
      </c>
      <c r="J2400">
        <v>1168.3226318</v>
      </c>
      <c r="K2400">
        <v>2400</v>
      </c>
      <c r="L2400">
        <v>0</v>
      </c>
      <c r="M2400">
        <v>0</v>
      </c>
      <c r="N2400">
        <v>2400</v>
      </c>
    </row>
    <row r="2401" spans="1:14" x14ac:dyDescent="0.25">
      <c r="A2401">
        <v>1468.5524559999999</v>
      </c>
      <c r="B2401" s="1">
        <f>DATE(2014,5,8) + TIME(13,15,32)</f>
        <v>41767.552453703705</v>
      </c>
      <c r="C2401">
        <v>80</v>
      </c>
      <c r="D2401">
        <v>79.981971740999995</v>
      </c>
      <c r="E2401">
        <v>50</v>
      </c>
      <c r="F2401">
        <v>49.456459045000003</v>
      </c>
      <c r="G2401">
        <v>1465.4316406</v>
      </c>
      <c r="H2401">
        <v>1433.3580322</v>
      </c>
      <c r="I2401">
        <v>1216.4296875</v>
      </c>
      <c r="J2401">
        <v>1168.2918701000001</v>
      </c>
      <c r="K2401">
        <v>2400</v>
      </c>
      <c r="L2401">
        <v>0</v>
      </c>
      <c r="M2401">
        <v>0</v>
      </c>
      <c r="N2401">
        <v>2400</v>
      </c>
    </row>
    <row r="2402" spans="1:14" x14ac:dyDescent="0.25">
      <c r="A2402">
        <v>1468.8106399999999</v>
      </c>
      <c r="B2402" s="1">
        <f>DATE(2014,5,8) + TIME(19,27,19)</f>
        <v>41767.810636574075</v>
      </c>
      <c r="C2402">
        <v>80</v>
      </c>
      <c r="D2402">
        <v>79.981979370000005</v>
      </c>
      <c r="E2402">
        <v>50</v>
      </c>
      <c r="F2402">
        <v>49.440067290999998</v>
      </c>
      <c r="G2402">
        <v>1465.2668457</v>
      </c>
      <c r="H2402">
        <v>1433.2020264</v>
      </c>
      <c r="I2402">
        <v>1216.4052733999999</v>
      </c>
      <c r="J2402">
        <v>1168.2606201000001</v>
      </c>
      <c r="K2402">
        <v>2400</v>
      </c>
      <c r="L2402">
        <v>0</v>
      </c>
      <c r="M2402">
        <v>0</v>
      </c>
      <c r="N2402">
        <v>2400</v>
      </c>
    </row>
    <row r="2403" spans="1:14" x14ac:dyDescent="0.25">
      <c r="A2403">
        <v>1469.07538</v>
      </c>
      <c r="B2403" s="1">
        <f>DATE(2014,5,9) + TIME(1,48,32)</f>
        <v>41768.075370370374</v>
      </c>
      <c r="C2403">
        <v>80</v>
      </c>
      <c r="D2403">
        <v>79.981979370000005</v>
      </c>
      <c r="E2403">
        <v>50</v>
      </c>
      <c r="F2403">
        <v>49.423320769999997</v>
      </c>
      <c r="G2403">
        <v>1465.1031493999999</v>
      </c>
      <c r="H2403">
        <v>1433.0469971</v>
      </c>
      <c r="I2403">
        <v>1216.380249</v>
      </c>
      <c r="J2403">
        <v>1168.2286377</v>
      </c>
      <c r="K2403">
        <v>2400</v>
      </c>
      <c r="L2403">
        <v>0</v>
      </c>
      <c r="M2403">
        <v>0</v>
      </c>
      <c r="N2403">
        <v>2400</v>
      </c>
    </row>
    <row r="2404" spans="1:14" x14ac:dyDescent="0.25">
      <c r="A2404">
        <v>1469.348023</v>
      </c>
      <c r="B2404" s="1">
        <f>DATE(2014,5,9) + TIME(8,21,9)</f>
        <v>41768.348020833335</v>
      </c>
      <c r="C2404">
        <v>80</v>
      </c>
      <c r="D2404">
        <v>79.981979370000005</v>
      </c>
      <c r="E2404">
        <v>50</v>
      </c>
      <c r="F2404">
        <v>49.406154633</v>
      </c>
      <c r="G2404">
        <v>1464.9396973</v>
      </c>
      <c r="H2404">
        <v>1432.8922118999999</v>
      </c>
      <c r="I2404">
        <v>1216.3544922000001</v>
      </c>
      <c r="J2404">
        <v>1168.1958007999999</v>
      </c>
      <c r="K2404">
        <v>2400</v>
      </c>
      <c r="L2404">
        <v>0</v>
      </c>
      <c r="M2404">
        <v>0</v>
      </c>
      <c r="N2404">
        <v>2400</v>
      </c>
    </row>
    <row r="2405" spans="1:14" x14ac:dyDescent="0.25">
      <c r="A2405">
        <v>1469.6300699999999</v>
      </c>
      <c r="B2405" s="1">
        <f>DATE(2014,5,9) + TIME(15,7,18)</f>
        <v>41768.630069444444</v>
      </c>
      <c r="C2405">
        <v>80</v>
      </c>
      <c r="D2405">
        <v>79.981979370000005</v>
      </c>
      <c r="E2405">
        <v>50</v>
      </c>
      <c r="F2405">
        <v>49.388496398999997</v>
      </c>
      <c r="G2405">
        <v>1464.776001</v>
      </c>
      <c r="H2405">
        <v>1432.7369385</v>
      </c>
      <c r="I2405">
        <v>1216.328125</v>
      </c>
      <c r="J2405">
        <v>1168.1619873</v>
      </c>
      <c r="K2405">
        <v>2400</v>
      </c>
      <c r="L2405">
        <v>0</v>
      </c>
      <c r="M2405">
        <v>0</v>
      </c>
      <c r="N2405">
        <v>2400</v>
      </c>
    </row>
    <row r="2406" spans="1:14" x14ac:dyDescent="0.25">
      <c r="A2406">
        <v>1469.9231689999999</v>
      </c>
      <c r="B2406" s="1">
        <f>DATE(2014,5,9) + TIME(22,9,21)</f>
        <v>41768.923159722224</v>
      </c>
      <c r="C2406">
        <v>80</v>
      </c>
      <c r="D2406">
        <v>79.981979370000005</v>
      </c>
      <c r="E2406">
        <v>50</v>
      </c>
      <c r="F2406">
        <v>49.370258331000002</v>
      </c>
      <c r="G2406">
        <v>1464.6109618999999</v>
      </c>
      <c r="H2406">
        <v>1432.5804443</v>
      </c>
      <c r="I2406">
        <v>1216.3007812000001</v>
      </c>
      <c r="J2406">
        <v>1168.1270752</v>
      </c>
      <c r="K2406">
        <v>2400</v>
      </c>
      <c r="L2406">
        <v>0</v>
      </c>
      <c r="M2406">
        <v>0</v>
      </c>
      <c r="N2406">
        <v>2400</v>
      </c>
    </row>
    <row r="2407" spans="1:14" x14ac:dyDescent="0.25">
      <c r="A2407">
        <v>1470.2291749999999</v>
      </c>
      <c r="B2407" s="1">
        <f>DATE(2014,5,10) + TIME(5,30,0)</f>
        <v>41769.229166666664</v>
      </c>
      <c r="C2407">
        <v>80</v>
      </c>
      <c r="D2407">
        <v>79.981987000000004</v>
      </c>
      <c r="E2407">
        <v>50</v>
      </c>
      <c r="F2407">
        <v>49.351341247999997</v>
      </c>
      <c r="G2407">
        <v>1464.4440918</v>
      </c>
      <c r="H2407">
        <v>1432.4219971</v>
      </c>
      <c r="I2407">
        <v>1216.2723389</v>
      </c>
      <c r="J2407">
        <v>1168.0906981999999</v>
      </c>
      <c r="K2407">
        <v>2400</v>
      </c>
      <c r="L2407">
        <v>0</v>
      </c>
      <c r="M2407">
        <v>0</v>
      </c>
      <c r="N2407">
        <v>2400</v>
      </c>
    </row>
    <row r="2408" spans="1:14" x14ac:dyDescent="0.25">
      <c r="A2408">
        <v>1470.5381560000001</v>
      </c>
      <c r="B2408" s="1">
        <f>DATE(2014,5,10) + TIME(12,54,56)</f>
        <v>41769.538148148145</v>
      </c>
      <c r="C2408">
        <v>80</v>
      </c>
      <c r="D2408">
        <v>79.981987000000004</v>
      </c>
      <c r="E2408">
        <v>50</v>
      </c>
      <c r="F2408">
        <v>49.332015990999999</v>
      </c>
      <c r="G2408">
        <v>1464.2744141000001</v>
      </c>
      <c r="H2408">
        <v>1432.2608643000001</v>
      </c>
      <c r="I2408">
        <v>1216.2425536999999</v>
      </c>
      <c r="J2408">
        <v>1168.0528564000001</v>
      </c>
      <c r="K2408">
        <v>2400</v>
      </c>
      <c r="L2408">
        <v>0</v>
      </c>
      <c r="M2408">
        <v>0</v>
      </c>
      <c r="N2408">
        <v>2400</v>
      </c>
    </row>
    <row r="2409" spans="1:14" x14ac:dyDescent="0.25">
      <c r="A2409">
        <v>1470.851459</v>
      </c>
      <c r="B2409" s="1">
        <f>DATE(2014,5,10) + TIME(20,26,6)</f>
        <v>41769.851458333331</v>
      </c>
      <c r="C2409">
        <v>80</v>
      </c>
      <c r="D2409">
        <v>79.981987000000004</v>
      </c>
      <c r="E2409">
        <v>50</v>
      </c>
      <c r="F2409">
        <v>49.312362671000002</v>
      </c>
      <c r="G2409">
        <v>1464.1075439000001</v>
      </c>
      <c r="H2409">
        <v>1432.1022949000001</v>
      </c>
      <c r="I2409">
        <v>1216.2125243999999</v>
      </c>
      <c r="J2409">
        <v>1168.0146483999999</v>
      </c>
      <c r="K2409">
        <v>2400</v>
      </c>
      <c r="L2409">
        <v>0</v>
      </c>
      <c r="M2409">
        <v>0</v>
      </c>
      <c r="N2409">
        <v>2400</v>
      </c>
    </row>
    <row r="2410" spans="1:14" x14ac:dyDescent="0.25">
      <c r="A2410">
        <v>1471.1698349999999</v>
      </c>
      <c r="B2410" s="1">
        <f>DATE(2014,5,11) + TIME(4,4,33)</f>
        <v>41770.16982638889</v>
      </c>
      <c r="C2410">
        <v>80</v>
      </c>
      <c r="D2410">
        <v>79.981987000000004</v>
      </c>
      <c r="E2410">
        <v>50</v>
      </c>
      <c r="F2410">
        <v>49.292400360000002</v>
      </c>
      <c r="G2410">
        <v>1463.942749</v>
      </c>
      <c r="H2410">
        <v>1431.9455565999999</v>
      </c>
      <c r="I2410">
        <v>1216.1821289</v>
      </c>
      <c r="J2410">
        <v>1167.9757079999999</v>
      </c>
      <c r="K2410">
        <v>2400</v>
      </c>
      <c r="L2410">
        <v>0</v>
      </c>
      <c r="M2410">
        <v>0</v>
      </c>
      <c r="N2410">
        <v>2400</v>
      </c>
    </row>
    <row r="2411" spans="1:14" x14ac:dyDescent="0.25">
      <c r="A2411">
        <v>1471.4948750000001</v>
      </c>
      <c r="B2411" s="1">
        <f>DATE(2014,5,11) + TIME(11,52,37)</f>
        <v>41770.494872685187</v>
      </c>
      <c r="C2411">
        <v>80</v>
      </c>
      <c r="D2411">
        <v>79.981987000000004</v>
      </c>
      <c r="E2411">
        <v>50</v>
      </c>
      <c r="F2411">
        <v>49.272098540999998</v>
      </c>
      <c r="G2411">
        <v>1463.7795410000001</v>
      </c>
      <c r="H2411">
        <v>1431.7901611</v>
      </c>
      <c r="I2411">
        <v>1216.1511230000001</v>
      </c>
      <c r="J2411">
        <v>1167.9361572</v>
      </c>
      <c r="K2411">
        <v>2400</v>
      </c>
      <c r="L2411">
        <v>0</v>
      </c>
      <c r="M2411">
        <v>0</v>
      </c>
      <c r="N2411">
        <v>2400</v>
      </c>
    </row>
    <row r="2412" spans="1:14" x14ac:dyDescent="0.25">
      <c r="A2412">
        <v>1471.82646</v>
      </c>
      <c r="B2412" s="1">
        <f>DATE(2014,5,11) + TIME(19,50,6)</f>
        <v>41770.826458333337</v>
      </c>
      <c r="C2412">
        <v>80</v>
      </c>
      <c r="D2412">
        <v>79.981987000000004</v>
      </c>
      <c r="E2412">
        <v>50</v>
      </c>
      <c r="F2412">
        <v>49.251441956000001</v>
      </c>
      <c r="G2412">
        <v>1463.6170654</v>
      </c>
      <c r="H2412">
        <v>1431.635376</v>
      </c>
      <c r="I2412">
        <v>1216.1195068</v>
      </c>
      <c r="J2412">
        <v>1167.895874</v>
      </c>
      <c r="K2412">
        <v>2400</v>
      </c>
      <c r="L2412">
        <v>0</v>
      </c>
      <c r="M2412">
        <v>0</v>
      </c>
      <c r="N2412">
        <v>2400</v>
      </c>
    </row>
    <row r="2413" spans="1:14" x14ac:dyDescent="0.25">
      <c r="A2413">
        <v>1472.163192</v>
      </c>
      <c r="B2413" s="1">
        <f>DATE(2014,5,12) + TIME(3,54,59)</f>
        <v>41771.163182870368</v>
      </c>
      <c r="C2413">
        <v>80</v>
      </c>
      <c r="D2413">
        <v>79.981987000000004</v>
      </c>
      <c r="E2413">
        <v>50</v>
      </c>
      <c r="F2413">
        <v>49.23046875</v>
      </c>
      <c r="G2413">
        <v>1463.4553223</v>
      </c>
      <c r="H2413">
        <v>1431.4812012</v>
      </c>
      <c r="I2413">
        <v>1216.0871582</v>
      </c>
      <c r="J2413">
        <v>1167.8547363</v>
      </c>
      <c r="K2413">
        <v>2400</v>
      </c>
      <c r="L2413">
        <v>0</v>
      </c>
      <c r="M2413">
        <v>0</v>
      </c>
      <c r="N2413">
        <v>2400</v>
      </c>
    </row>
    <row r="2414" spans="1:14" x14ac:dyDescent="0.25">
      <c r="A2414">
        <v>1472.506449</v>
      </c>
      <c r="B2414" s="1">
        <f>DATE(2014,5,12) + TIME(12,9,17)</f>
        <v>41771.50644675926</v>
      </c>
      <c r="C2414">
        <v>80</v>
      </c>
      <c r="D2414">
        <v>79.981994628999999</v>
      </c>
      <c r="E2414">
        <v>50</v>
      </c>
      <c r="F2414">
        <v>49.209159851000003</v>
      </c>
      <c r="G2414">
        <v>1463.2951660000001</v>
      </c>
      <c r="H2414">
        <v>1431.3283690999999</v>
      </c>
      <c r="I2414">
        <v>1216.0544434000001</v>
      </c>
      <c r="J2414">
        <v>1167.8128661999999</v>
      </c>
      <c r="K2414">
        <v>2400</v>
      </c>
      <c r="L2414">
        <v>0</v>
      </c>
      <c r="M2414">
        <v>0</v>
      </c>
      <c r="N2414">
        <v>2400</v>
      </c>
    </row>
    <row r="2415" spans="1:14" x14ac:dyDescent="0.25">
      <c r="A2415">
        <v>1472.8578379999999</v>
      </c>
      <c r="B2415" s="1">
        <f>DATE(2014,5,12) + TIME(20,35,17)</f>
        <v>41771.857835648145</v>
      </c>
      <c r="C2415">
        <v>80</v>
      </c>
      <c r="D2415">
        <v>79.981994628999999</v>
      </c>
      <c r="E2415">
        <v>50</v>
      </c>
      <c r="F2415">
        <v>49.187458038000003</v>
      </c>
      <c r="G2415">
        <v>1463.1357422000001</v>
      </c>
      <c r="H2415">
        <v>1431.1761475000001</v>
      </c>
      <c r="I2415">
        <v>1216.0209961</v>
      </c>
      <c r="J2415">
        <v>1167.7701416</v>
      </c>
      <c r="K2415">
        <v>2400</v>
      </c>
      <c r="L2415">
        <v>0</v>
      </c>
      <c r="M2415">
        <v>0</v>
      </c>
      <c r="N2415">
        <v>2400</v>
      </c>
    </row>
    <row r="2416" spans="1:14" x14ac:dyDescent="0.25">
      <c r="A2416">
        <v>1473.219118</v>
      </c>
      <c r="B2416" s="1">
        <f>DATE(2014,5,13) + TIME(5,15,31)</f>
        <v>41772.219108796293</v>
      </c>
      <c r="C2416">
        <v>80</v>
      </c>
      <c r="D2416">
        <v>79.981994628999999</v>
      </c>
      <c r="E2416">
        <v>50</v>
      </c>
      <c r="F2416">
        <v>49.165279388000002</v>
      </c>
      <c r="G2416">
        <v>1462.9763184000001</v>
      </c>
      <c r="H2416">
        <v>1431.0239257999999</v>
      </c>
      <c r="I2416">
        <v>1215.9866943</v>
      </c>
      <c r="J2416">
        <v>1167.7264404</v>
      </c>
      <c r="K2416">
        <v>2400</v>
      </c>
      <c r="L2416">
        <v>0</v>
      </c>
      <c r="M2416">
        <v>0</v>
      </c>
      <c r="N2416">
        <v>2400</v>
      </c>
    </row>
    <row r="2417" spans="1:14" x14ac:dyDescent="0.25">
      <c r="A2417">
        <v>1473.5922390000001</v>
      </c>
      <c r="B2417" s="1">
        <f>DATE(2014,5,13) + TIME(14,12,49)</f>
        <v>41772.592233796298</v>
      </c>
      <c r="C2417">
        <v>80</v>
      </c>
      <c r="D2417">
        <v>79.981994628999999</v>
      </c>
      <c r="E2417">
        <v>50</v>
      </c>
      <c r="F2417">
        <v>49.142524719000001</v>
      </c>
      <c r="G2417">
        <v>1462.8162841999999</v>
      </c>
      <c r="H2417">
        <v>1430.8709716999999</v>
      </c>
      <c r="I2417">
        <v>1215.9515381000001</v>
      </c>
      <c r="J2417">
        <v>1167.6815185999999</v>
      </c>
      <c r="K2417">
        <v>2400</v>
      </c>
      <c r="L2417">
        <v>0</v>
      </c>
      <c r="M2417">
        <v>0</v>
      </c>
      <c r="N2417">
        <v>2400</v>
      </c>
    </row>
    <row r="2418" spans="1:14" x14ac:dyDescent="0.25">
      <c r="A2418">
        <v>1473.9734860000001</v>
      </c>
      <c r="B2418" s="1">
        <f>DATE(2014,5,13) + TIME(23,21,49)</f>
        <v>41772.973483796297</v>
      </c>
      <c r="C2418">
        <v>80</v>
      </c>
      <c r="D2418">
        <v>79.982002257999994</v>
      </c>
      <c r="E2418">
        <v>50</v>
      </c>
      <c r="F2418">
        <v>49.119247436999999</v>
      </c>
      <c r="G2418">
        <v>1462.6547852000001</v>
      </c>
      <c r="H2418">
        <v>1430.7165527</v>
      </c>
      <c r="I2418">
        <v>1215.9151611</v>
      </c>
      <c r="J2418">
        <v>1167.6351318</v>
      </c>
      <c r="K2418">
        <v>2400</v>
      </c>
      <c r="L2418">
        <v>0</v>
      </c>
      <c r="M2418">
        <v>0</v>
      </c>
      <c r="N2418">
        <v>2400</v>
      </c>
    </row>
    <row r="2419" spans="1:14" x14ac:dyDescent="0.25">
      <c r="A2419">
        <v>1474.35943</v>
      </c>
      <c r="B2419" s="1">
        <f>DATE(2014,5,14) + TIME(8,37,34)</f>
        <v>41773.3594212963</v>
      </c>
      <c r="C2419">
        <v>80</v>
      </c>
      <c r="D2419">
        <v>79.982002257999994</v>
      </c>
      <c r="E2419">
        <v>50</v>
      </c>
      <c r="F2419">
        <v>49.095592498999999</v>
      </c>
      <c r="G2419">
        <v>1462.4936522999999</v>
      </c>
      <c r="H2419">
        <v>1430.5622559000001</v>
      </c>
      <c r="I2419">
        <v>1215.8779297000001</v>
      </c>
      <c r="J2419">
        <v>1167.5876464999999</v>
      </c>
      <c r="K2419">
        <v>2400</v>
      </c>
      <c r="L2419">
        <v>0</v>
      </c>
      <c r="M2419">
        <v>0</v>
      </c>
      <c r="N2419">
        <v>2400</v>
      </c>
    </row>
    <row r="2420" spans="1:14" x14ac:dyDescent="0.25">
      <c r="A2420">
        <v>1474.7519199999999</v>
      </c>
      <c r="B2420" s="1">
        <f>DATE(2014,5,14) + TIME(18,2,45)</f>
        <v>41773.751909722225</v>
      </c>
      <c r="C2420">
        <v>80</v>
      </c>
      <c r="D2420">
        <v>79.982002257999994</v>
      </c>
      <c r="E2420">
        <v>50</v>
      </c>
      <c r="F2420">
        <v>49.071586609000001</v>
      </c>
      <c r="G2420">
        <v>1462.3343506000001</v>
      </c>
      <c r="H2420">
        <v>1430.4095459</v>
      </c>
      <c r="I2420">
        <v>1215.8402100000001</v>
      </c>
      <c r="J2420">
        <v>1167.5396728999999</v>
      </c>
      <c r="K2420">
        <v>2400</v>
      </c>
      <c r="L2420">
        <v>0</v>
      </c>
      <c r="M2420">
        <v>0</v>
      </c>
      <c r="N2420">
        <v>2400</v>
      </c>
    </row>
    <row r="2421" spans="1:14" x14ac:dyDescent="0.25">
      <c r="A2421">
        <v>1475.152965</v>
      </c>
      <c r="B2421" s="1">
        <f>DATE(2014,5,15) + TIME(3,40,16)</f>
        <v>41774.152962962966</v>
      </c>
      <c r="C2421">
        <v>80</v>
      </c>
      <c r="D2421">
        <v>79.982009887999993</v>
      </c>
      <c r="E2421">
        <v>50</v>
      </c>
      <c r="F2421">
        <v>49.047183990000001</v>
      </c>
      <c r="G2421">
        <v>1462.1759033000001</v>
      </c>
      <c r="H2421">
        <v>1430.2576904</v>
      </c>
      <c r="I2421">
        <v>1215.8017577999999</v>
      </c>
      <c r="J2421">
        <v>1167.4907227000001</v>
      </c>
      <c r="K2421">
        <v>2400</v>
      </c>
      <c r="L2421">
        <v>0</v>
      </c>
      <c r="M2421">
        <v>0</v>
      </c>
      <c r="N2421">
        <v>2400</v>
      </c>
    </row>
    <row r="2422" spans="1:14" x14ac:dyDescent="0.25">
      <c r="A2422">
        <v>1475.564738</v>
      </c>
      <c r="B2422" s="1">
        <f>DATE(2014,5,15) + TIME(13,33,13)</f>
        <v>41774.564733796295</v>
      </c>
      <c r="C2422">
        <v>80</v>
      </c>
      <c r="D2422">
        <v>79.982009887999993</v>
      </c>
      <c r="E2422">
        <v>50</v>
      </c>
      <c r="F2422">
        <v>49.022285461000003</v>
      </c>
      <c r="G2422">
        <v>1462.0175781</v>
      </c>
      <c r="H2422">
        <v>1430.1058350000001</v>
      </c>
      <c r="I2422">
        <v>1215.7625731999999</v>
      </c>
      <c r="J2422">
        <v>1167.4406738</v>
      </c>
      <c r="K2422">
        <v>2400</v>
      </c>
      <c r="L2422">
        <v>0</v>
      </c>
      <c r="M2422">
        <v>0</v>
      </c>
      <c r="N2422">
        <v>2400</v>
      </c>
    </row>
    <row r="2423" spans="1:14" x14ac:dyDescent="0.25">
      <c r="A2423">
        <v>1475.985091</v>
      </c>
      <c r="B2423" s="1">
        <f>DATE(2014,5,15) + TIME(23,38,31)</f>
        <v>41774.985081018516</v>
      </c>
      <c r="C2423">
        <v>80</v>
      </c>
      <c r="D2423">
        <v>79.982009887999993</v>
      </c>
      <c r="E2423">
        <v>50</v>
      </c>
      <c r="F2423">
        <v>48.996910094999997</v>
      </c>
      <c r="G2423">
        <v>1461.8586425999999</v>
      </c>
      <c r="H2423">
        <v>1429.9532471</v>
      </c>
      <c r="I2423">
        <v>1215.7222899999999</v>
      </c>
      <c r="J2423">
        <v>1167.3892822</v>
      </c>
      <c r="K2423">
        <v>2400</v>
      </c>
      <c r="L2423">
        <v>0</v>
      </c>
      <c r="M2423">
        <v>0</v>
      </c>
      <c r="N2423">
        <v>2400</v>
      </c>
    </row>
    <row r="2424" spans="1:14" x14ac:dyDescent="0.25">
      <c r="A2424">
        <v>1476.41183</v>
      </c>
      <c r="B2424" s="1">
        <f>DATE(2014,5,16) + TIME(9,53,2)</f>
        <v>41775.411828703705</v>
      </c>
      <c r="C2424">
        <v>80</v>
      </c>
      <c r="D2424">
        <v>79.982017517000003</v>
      </c>
      <c r="E2424">
        <v>50</v>
      </c>
      <c r="F2424">
        <v>48.971122741999999</v>
      </c>
      <c r="G2424">
        <v>1461.6999512</v>
      </c>
      <c r="H2424">
        <v>1429.8007812000001</v>
      </c>
      <c r="I2424">
        <v>1215.6810303</v>
      </c>
      <c r="J2424">
        <v>1167.3369141000001</v>
      </c>
      <c r="K2424">
        <v>2400</v>
      </c>
      <c r="L2424">
        <v>0</v>
      </c>
      <c r="M2424">
        <v>0</v>
      </c>
      <c r="N2424">
        <v>2400</v>
      </c>
    </row>
    <row r="2425" spans="1:14" x14ac:dyDescent="0.25">
      <c r="A2425">
        <v>1476.846673</v>
      </c>
      <c r="B2425" s="1">
        <f>DATE(2014,5,16) + TIME(20,19,12)</f>
        <v>41775.846666666665</v>
      </c>
      <c r="C2425">
        <v>80</v>
      </c>
      <c r="D2425">
        <v>79.982017517000003</v>
      </c>
      <c r="E2425">
        <v>50</v>
      </c>
      <c r="F2425">
        <v>48.944938659999998</v>
      </c>
      <c r="G2425">
        <v>1461.5423584</v>
      </c>
      <c r="H2425">
        <v>1429.6492920000001</v>
      </c>
      <c r="I2425">
        <v>1215.6391602000001</v>
      </c>
      <c r="J2425">
        <v>1167.2835693</v>
      </c>
      <c r="K2425">
        <v>2400</v>
      </c>
      <c r="L2425">
        <v>0</v>
      </c>
      <c r="M2425">
        <v>0</v>
      </c>
      <c r="N2425">
        <v>2400</v>
      </c>
    </row>
    <row r="2426" spans="1:14" x14ac:dyDescent="0.25">
      <c r="A2426">
        <v>1477.29169</v>
      </c>
      <c r="B2426" s="1">
        <f>DATE(2014,5,17) + TIME(7,0,2)</f>
        <v>41776.291689814818</v>
      </c>
      <c r="C2426">
        <v>80</v>
      </c>
      <c r="D2426">
        <v>79.982025145999998</v>
      </c>
      <c r="E2426">
        <v>50</v>
      </c>
      <c r="F2426">
        <v>48.918289184999999</v>
      </c>
      <c r="G2426">
        <v>1461.3851318</v>
      </c>
      <c r="H2426">
        <v>1429.4980469</v>
      </c>
      <c r="I2426">
        <v>1215.5965576000001</v>
      </c>
      <c r="J2426">
        <v>1167.2292480000001</v>
      </c>
      <c r="K2426">
        <v>2400</v>
      </c>
      <c r="L2426">
        <v>0</v>
      </c>
      <c r="M2426">
        <v>0</v>
      </c>
      <c r="N2426">
        <v>2400</v>
      </c>
    </row>
    <row r="2427" spans="1:14" x14ac:dyDescent="0.25">
      <c r="A2427">
        <v>1477.7491339999999</v>
      </c>
      <c r="B2427" s="1">
        <f>DATE(2014,5,17) + TIME(17,58,45)</f>
        <v>41776.749131944445</v>
      </c>
      <c r="C2427">
        <v>80</v>
      </c>
      <c r="D2427">
        <v>79.982025145999998</v>
      </c>
      <c r="E2427">
        <v>50</v>
      </c>
      <c r="F2427">
        <v>48.891078948999997</v>
      </c>
      <c r="G2427">
        <v>1461.2276611</v>
      </c>
      <c r="H2427">
        <v>1429.3465576000001</v>
      </c>
      <c r="I2427">
        <v>1215.5528564000001</v>
      </c>
      <c r="J2427">
        <v>1167.1735839999999</v>
      </c>
      <c r="K2427">
        <v>2400</v>
      </c>
      <c r="L2427">
        <v>0</v>
      </c>
      <c r="M2427">
        <v>0</v>
      </c>
      <c r="N2427">
        <v>2400</v>
      </c>
    </row>
    <row r="2428" spans="1:14" x14ac:dyDescent="0.25">
      <c r="A2428">
        <v>1478.2168160000001</v>
      </c>
      <c r="B2428" s="1">
        <f>DATE(2014,5,18) + TIME(5,12,12)</f>
        <v>41777.216805555552</v>
      </c>
      <c r="C2428">
        <v>80</v>
      </c>
      <c r="D2428">
        <v>79.982032775999997</v>
      </c>
      <c r="E2428">
        <v>50</v>
      </c>
      <c r="F2428">
        <v>48.863304137999997</v>
      </c>
      <c r="G2428">
        <v>1461.0693358999999</v>
      </c>
      <c r="H2428">
        <v>1429.1939697</v>
      </c>
      <c r="I2428">
        <v>1215.5078125</v>
      </c>
      <c r="J2428">
        <v>1167.1163329999999</v>
      </c>
      <c r="K2428">
        <v>2400</v>
      </c>
      <c r="L2428">
        <v>0</v>
      </c>
      <c r="M2428">
        <v>0</v>
      </c>
      <c r="N2428">
        <v>2400</v>
      </c>
    </row>
    <row r="2429" spans="1:14" x14ac:dyDescent="0.25">
      <c r="A2429">
        <v>1478.691223</v>
      </c>
      <c r="B2429" s="1">
        <f>DATE(2014,5,18) + TIME(16,35,21)</f>
        <v>41777.69121527778</v>
      </c>
      <c r="C2429">
        <v>80</v>
      </c>
      <c r="D2429">
        <v>79.982032775999997</v>
      </c>
      <c r="E2429">
        <v>50</v>
      </c>
      <c r="F2429">
        <v>48.835067748999997</v>
      </c>
      <c r="G2429">
        <v>1460.9107666</v>
      </c>
      <c r="H2429">
        <v>1429.0411377</v>
      </c>
      <c r="I2429">
        <v>1215.4617920000001</v>
      </c>
      <c r="J2429">
        <v>1167.0577393000001</v>
      </c>
      <c r="K2429">
        <v>2400</v>
      </c>
      <c r="L2429">
        <v>0</v>
      </c>
      <c r="M2429">
        <v>0</v>
      </c>
      <c r="N2429">
        <v>2400</v>
      </c>
    </row>
    <row r="2430" spans="1:14" x14ac:dyDescent="0.25">
      <c r="A2430">
        <v>1479.1748230000001</v>
      </c>
      <c r="B2430" s="1">
        <f>DATE(2014,5,19) + TIME(4,11,44)</f>
        <v>41778.174814814818</v>
      </c>
      <c r="C2430">
        <v>80</v>
      </c>
      <c r="D2430">
        <v>79.982040405000006</v>
      </c>
      <c r="E2430">
        <v>50</v>
      </c>
      <c r="F2430">
        <v>48.806392670000001</v>
      </c>
      <c r="G2430">
        <v>1460.7532959</v>
      </c>
      <c r="H2430">
        <v>1428.8891602000001</v>
      </c>
      <c r="I2430">
        <v>1215.4150391000001</v>
      </c>
      <c r="J2430">
        <v>1166.9982910000001</v>
      </c>
      <c r="K2430">
        <v>2400</v>
      </c>
      <c r="L2430">
        <v>0</v>
      </c>
      <c r="M2430">
        <v>0</v>
      </c>
      <c r="N2430">
        <v>2400</v>
      </c>
    </row>
    <row r="2431" spans="1:14" x14ac:dyDescent="0.25">
      <c r="A2431">
        <v>1479.6678850000001</v>
      </c>
      <c r="B2431" s="1">
        <f>DATE(2014,5,19) + TIME(16,1,45)</f>
        <v>41778.667881944442</v>
      </c>
      <c r="C2431">
        <v>80</v>
      </c>
      <c r="D2431">
        <v>79.982040405000006</v>
      </c>
      <c r="E2431">
        <v>50</v>
      </c>
      <c r="F2431">
        <v>48.777256012000002</v>
      </c>
      <c r="G2431">
        <v>1460.5960693</v>
      </c>
      <c r="H2431">
        <v>1428.7374268000001</v>
      </c>
      <c r="I2431">
        <v>1215.3674315999999</v>
      </c>
      <c r="J2431">
        <v>1166.9376221</v>
      </c>
      <c r="K2431">
        <v>2400</v>
      </c>
      <c r="L2431">
        <v>0</v>
      </c>
      <c r="M2431">
        <v>0</v>
      </c>
      <c r="N2431">
        <v>2400</v>
      </c>
    </row>
    <row r="2432" spans="1:14" x14ac:dyDescent="0.25">
      <c r="A2432">
        <v>1480.172941</v>
      </c>
      <c r="B2432" s="1">
        <f>DATE(2014,5,20) + TIME(4,9,2)</f>
        <v>41779.172939814816</v>
      </c>
      <c r="C2432">
        <v>80</v>
      </c>
      <c r="D2432">
        <v>79.982048035000005</v>
      </c>
      <c r="E2432">
        <v>50</v>
      </c>
      <c r="F2432">
        <v>48.747592926000003</v>
      </c>
      <c r="G2432">
        <v>1460.4389647999999</v>
      </c>
      <c r="H2432">
        <v>1428.5856934000001</v>
      </c>
      <c r="I2432">
        <v>1215.3187256000001</v>
      </c>
      <c r="J2432">
        <v>1166.8757324000001</v>
      </c>
      <c r="K2432">
        <v>2400</v>
      </c>
      <c r="L2432">
        <v>0</v>
      </c>
      <c r="M2432">
        <v>0</v>
      </c>
      <c r="N2432">
        <v>2400</v>
      </c>
    </row>
    <row r="2433" spans="1:14" x14ac:dyDescent="0.25">
      <c r="A2433">
        <v>1480.689742</v>
      </c>
      <c r="B2433" s="1">
        <f>DATE(2014,5,20) + TIME(16,33,13)</f>
        <v>41779.689733796295</v>
      </c>
      <c r="C2433">
        <v>80</v>
      </c>
      <c r="D2433">
        <v>79.982055664000001</v>
      </c>
      <c r="E2433">
        <v>50</v>
      </c>
      <c r="F2433">
        <v>48.717353821000003</v>
      </c>
      <c r="G2433">
        <v>1460.2813721</v>
      </c>
      <c r="H2433">
        <v>1428.4334716999999</v>
      </c>
      <c r="I2433">
        <v>1215.2687988</v>
      </c>
      <c r="J2433">
        <v>1166.8121338000001</v>
      </c>
      <c r="K2433">
        <v>2400</v>
      </c>
      <c r="L2433">
        <v>0</v>
      </c>
      <c r="M2433">
        <v>0</v>
      </c>
      <c r="N2433">
        <v>2400</v>
      </c>
    </row>
    <row r="2434" spans="1:14" x14ac:dyDescent="0.25">
      <c r="A2434">
        <v>1481.2123670000001</v>
      </c>
      <c r="B2434" s="1">
        <f>DATE(2014,5,21) + TIME(5,5,48)</f>
        <v>41780.212361111109</v>
      </c>
      <c r="C2434">
        <v>80</v>
      </c>
      <c r="D2434">
        <v>79.982055664000001</v>
      </c>
      <c r="E2434">
        <v>50</v>
      </c>
      <c r="F2434">
        <v>48.686653137</v>
      </c>
      <c r="G2434">
        <v>1460.1234131000001</v>
      </c>
      <c r="H2434">
        <v>1428.2806396000001</v>
      </c>
      <c r="I2434">
        <v>1215.2176514</v>
      </c>
      <c r="J2434">
        <v>1166.7471923999999</v>
      </c>
      <c r="K2434">
        <v>2400</v>
      </c>
      <c r="L2434">
        <v>0</v>
      </c>
      <c r="M2434">
        <v>0</v>
      </c>
      <c r="N2434">
        <v>2400</v>
      </c>
    </row>
    <row r="2435" spans="1:14" x14ac:dyDescent="0.25">
      <c r="A2435">
        <v>1481.7434450000001</v>
      </c>
      <c r="B2435" s="1">
        <f>DATE(2014,5,21) + TIME(17,50,33)</f>
        <v>41780.743437500001</v>
      </c>
      <c r="C2435">
        <v>80</v>
      </c>
      <c r="D2435">
        <v>79.982063292999996</v>
      </c>
      <c r="E2435">
        <v>50</v>
      </c>
      <c r="F2435">
        <v>48.655559539999999</v>
      </c>
      <c r="G2435">
        <v>1459.9667969</v>
      </c>
      <c r="H2435">
        <v>1428.1290283000001</v>
      </c>
      <c r="I2435">
        <v>1215.1657714999999</v>
      </c>
      <c r="J2435">
        <v>1166.6813964999999</v>
      </c>
      <c r="K2435">
        <v>2400</v>
      </c>
      <c r="L2435">
        <v>0</v>
      </c>
      <c r="M2435">
        <v>0</v>
      </c>
      <c r="N2435">
        <v>2400</v>
      </c>
    </row>
    <row r="2436" spans="1:14" x14ac:dyDescent="0.25">
      <c r="A2436">
        <v>1482.2851049999999</v>
      </c>
      <c r="B2436" s="1">
        <f>DATE(2014,5,22) + TIME(6,50,33)</f>
        <v>41781.285104166665</v>
      </c>
      <c r="C2436">
        <v>80</v>
      </c>
      <c r="D2436">
        <v>79.982070922999995</v>
      </c>
      <c r="E2436">
        <v>50</v>
      </c>
      <c r="F2436">
        <v>48.624019623000002</v>
      </c>
      <c r="G2436">
        <v>1459.8107910000001</v>
      </c>
      <c r="H2436">
        <v>1427.9779053</v>
      </c>
      <c r="I2436">
        <v>1215.1130370999999</v>
      </c>
      <c r="J2436">
        <v>1166.6143798999999</v>
      </c>
      <c r="K2436">
        <v>2400</v>
      </c>
      <c r="L2436">
        <v>0</v>
      </c>
      <c r="M2436">
        <v>0</v>
      </c>
      <c r="N2436">
        <v>2400</v>
      </c>
    </row>
    <row r="2437" spans="1:14" x14ac:dyDescent="0.25">
      <c r="A2437">
        <v>1482.8371890000001</v>
      </c>
      <c r="B2437" s="1">
        <f>DATE(2014,5,22) + TIME(20,5,33)</f>
        <v>41781.837187500001</v>
      </c>
      <c r="C2437">
        <v>80</v>
      </c>
      <c r="D2437">
        <v>79.982078552000004</v>
      </c>
      <c r="E2437">
        <v>50</v>
      </c>
      <c r="F2437">
        <v>48.591987609999997</v>
      </c>
      <c r="G2437">
        <v>1459.6547852000001</v>
      </c>
      <c r="H2437">
        <v>1427.8267822</v>
      </c>
      <c r="I2437">
        <v>1215.0592041</v>
      </c>
      <c r="J2437">
        <v>1166.5458983999999</v>
      </c>
      <c r="K2437">
        <v>2400</v>
      </c>
      <c r="L2437">
        <v>0</v>
      </c>
      <c r="M2437">
        <v>0</v>
      </c>
      <c r="N2437">
        <v>2400</v>
      </c>
    </row>
    <row r="2438" spans="1:14" x14ac:dyDescent="0.25">
      <c r="A2438">
        <v>1483.396262</v>
      </c>
      <c r="B2438" s="1">
        <f>DATE(2014,5,23) + TIME(9,30,37)</f>
        <v>41782.396261574075</v>
      </c>
      <c r="C2438">
        <v>80</v>
      </c>
      <c r="D2438">
        <v>79.982078552000004</v>
      </c>
      <c r="E2438">
        <v>50</v>
      </c>
      <c r="F2438">
        <v>48.559520720999998</v>
      </c>
      <c r="G2438">
        <v>1459.4987793</v>
      </c>
      <c r="H2438">
        <v>1427.6755370999999</v>
      </c>
      <c r="I2438">
        <v>1215.0042725000001</v>
      </c>
      <c r="J2438">
        <v>1166.4760742000001</v>
      </c>
      <c r="K2438">
        <v>2400</v>
      </c>
      <c r="L2438">
        <v>0</v>
      </c>
      <c r="M2438">
        <v>0</v>
      </c>
      <c r="N2438">
        <v>2400</v>
      </c>
    </row>
    <row r="2439" spans="1:14" x14ac:dyDescent="0.25">
      <c r="A2439">
        <v>1483.9649280000001</v>
      </c>
      <c r="B2439" s="1">
        <f>DATE(2014,5,23) + TIME(23,9,29)</f>
        <v>41782.964918981481</v>
      </c>
      <c r="C2439">
        <v>80</v>
      </c>
      <c r="D2439">
        <v>79.982086182000003</v>
      </c>
      <c r="E2439">
        <v>50</v>
      </c>
      <c r="F2439">
        <v>48.526641845999997</v>
      </c>
      <c r="G2439">
        <v>1459.3439940999999</v>
      </c>
      <c r="H2439">
        <v>1427.5252685999999</v>
      </c>
      <c r="I2439">
        <v>1214.9484863</v>
      </c>
      <c r="J2439">
        <v>1166.4052733999999</v>
      </c>
      <c r="K2439">
        <v>2400</v>
      </c>
      <c r="L2439">
        <v>0</v>
      </c>
      <c r="M2439">
        <v>0</v>
      </c>
      <c r="N2439">
        <v>2400</v>
      </c>
    </row>
    <row r="2440" spans="1:14" x14ac:dyDescent="0.25">
      <c r="A2440">
        <v>1484.5460869999999</v>
      </c>
      <c r="B2440" s="1">
        <f>DATE(2014,5,24) + TIME(13,6,21)</f>
        <v>41783.546076388891</v>
      </c>
      <c r="C2440">
        <v>80</v>
      </c>
      <c r="D2440">
        <v>79.982093810999999</v>
      </c>
      <c r="E2440">
        <v>50</v>
      </c>
      <c r="F2440">
        <v>48.493259430000002</v>
      </c>
      <c r="G2440">
        <v>1459.1893310999999</v>
      </c>
      <c r="H2440">
        <v>1427.3752440999999</v>
      </c>
      <c r="I2440">
        <v>1214.8917236</v>
      </c>
      <c r="J2440">
        <v>1166.3331298999999</v>
      </c>
      <c r="K2440">
        <v>2400</v>
      </c>
      <c r="L2440">
        <v>0</v>
      </c>
      <c r="M2440">
        <v>0</v>
      </c>
      <c r="N2440">
        <v>2400</v>
      </c>
    </row>
    <row r="2441" spans="1:14" x14ac:dyDescent="0.25">
      <c r="A2441">
        <v>1485.142881</v>
      </c>
      <c r="B2441" s="1">
        <f>DATE(2014,5,25) + TIME(3,25,44)</f>
        <v>41784.142870370371</v>
      </c>
      <c r="C2441">
        <v>80</v>
      </c>
      <c r="D2441">
        <v>79.982101439999994</v>
      </c>
      <c r="E2441">
        <v>50</v>
      </c>
      <c r="F2441">
        <v>48.459228516000003</v>
      </c>
      <c r="G2441">
        <v>1459.0344238</v>
      </c>
      <c r="H2441">
        <v>1427.2247314000001</v>
      </c>
      <c r="I2441">
        <v>1214.8336182</v>
      </c>
      <c r="J2441">
        <v>1166.2592772999999</v>
      </c>
      <c r="K2441">
        <v>2400</v>
      </c>
      <c r="L2441">
        <v>0</v>
      </c>
      <c r="M2441">
        <v>0</v>
      </c>
      <c r="N2441">
        <v>2400</v>
      </c>
    </row>
    <row r="2442" spans="1:14" x14ac:dyDescent="0.25">
      <c r="A2442">
        <v>1485.758795</v>
      </c>
      <c r="B2442" s="1">
        <f>DATE(2014,5,25) + TIME(18,12,39)</f>
        <v>41784.758784722224</v>
      </c>
      <c r="C2442">
        <v>80</v>
      </c>
      <c r="D2442">
        <v>79.982109070000007</v>
      </c>
      <c r="E2442">
        <v>50</v>
      </c>
      <c r="F2442">
        <v>48.424377440999997</v>
      </c>
      <c r="G2442">
        <v>1458.8782959</v>
      </c>
      <c r="H2442">
        <v>1427.072876</v>
      </c>
      <c r="I2442">
        <v>1214.7738036999999</v>
      </c>
      <c r="J2442">
        <v>1166.1832274999999</v>
      </c>
      <c r="K2442">
        <v>2400</v>
      </c>
      <c r="L2442">
        <v>0</v>
      </c>
      <c r="M2442">
        <v>0</v>
      </c>
      <c r="N2442">
        <v>2400</v>
      </c>
    </row>
    <row r="2443" spans="1:14" x14ac:dyDescent="0.25">
      <c r="A2443">
        <v>1486.3819980000001</v>
      </c>
      <c r="B2443" s="1">
        <f>DATE(2014,5,26) + TIME(9,10,4)</f>
        <v>41785.381990740738</v>
      </c>
      <c r="C2443">
        <v>80</v>
      </c>
      <c r="D2443">
        <v>79.982116699000002</v>
      </c>
      <c r="E2443">
        <v>50</v>
      </c>
      <c r="F2443">
        <v>48.388828277999998</v>
      </c>
      <c r="G2443">
        <v>1458.7200928</v>
      </c>
      <c r="H2443">
        <v>1426.9190673999999</v>
      </c>
      <c r="I2443">
        <v>1214.7119141000001</v>
      </c>
      <c r="J2443">
        <v>1166.1047363</v>
      </c>
      <c r="K2443">
        <v>2400</v>
      </c>
      <c r="L2443">
        <v>0</v>
      </c>
      <c r="M2443">
        <v>0</v>
      </c>
      <c r="N2443">
        <v>2400</v>
      </c>
    </row>
    <row r="2444" spans="1:14" x14ac:dyDescent="0.25">
      <c r="A2444">
        <v>1487.012416</v>
      </c>
      <c r="B2444" s="1">
        <f>DATE(2014,5,27) + TIME(0,17,52)</f>
        <v>41786.012407407405</v>
      </c>
      <c r="C2444">
        <v>80</v>
      </c>
      <c r="D2444">
        <v>79.982124329000001</v>
      </c>
      <c r="E2444">
        <v>50</v>
      </c>
      <c r="F2444">
        <v>48.352825164999999</v>
      </c>
      <c r="G2444">
        <v>1458.5631103999999</v>
      </c>
      <c r="H2444">
        <v>1426.7663574000001</v>
      </c>
      <c r="I2444">
        <v>1214.6491699000001</v>
      </c>
      <c r="J2444">
        <v>1166.0251464999999</v>
      </c>
      <c r="K2444">
        <v>2400</v>
      </c>
      <c r="L2444">
        <v>0</v>
      </c>
      <c r="M2444">
        <v>0</v>
      </c>
      <c r="N2444">
        <v>2400</v>
      </c>
    </row>
    <row r="2445" spans="1:14" x14ac:dyDescent="0.25">
      <c r="A2445">
        <v>1487.6529379999999</v>
      </c>
      <c r="B2445" s="1">
        <f>DATE(2014,5,27) + TIME(15,40,13)</f>
        <v>41786.652928240743</v>
      </c>
      <c r="C2445">
        <v>80</v>
      </c>
      <c r="D2445">
        <v>79.982131957999997</v>
      </c>
      <c r="E2445">
        <v>50</v>
      </c>
      <c r="F2445">
        <v>48.316402435000001</v>
      </c>
      <c r="G2445">
        <v>1458.4072266000001</v>
      </c>
      <c r="H2445">
        <v>1426.6145019999999</v>
      </c>
      <c r="I2445">
        <v>1214.5855713000001</v>
      </c>
      <c r="J2445">
        <v>1165.9444579999999</v>
      </c>
      <c r="K2445">
        <v>2400</v>
      </c>
      <c r="L2445">
        <v>0</v>
      </c>
      <c r="M2445">
        <v>0</v>
      </c>
      <c r="N2445">
        <v>2400</v>
      </c>
    </row>
    <row r="2446" spans="1:14" x14ac:dyDescent="0.25">
      <c r="A2446">
        <v>1488.3006</v>
      </c>
      <c r="B2446" s="1">
        <f>DATE(2014,5,28) + TIME(7,12,51)</f>
        <v>41787.30059027778</v>
      </c>
      <c r="C2446">
        <v>80</v>
      </c>
      <c r="D2446">
        <v>79.982139587000006</v>
      </c>
      <c r="E2446">
        <v>50</v>
      </c>
      <c r="F2446">
        <v>48.279582976999997</v>
      </c>
      <c r="G2446">
        <v>1458.2517089999999</v>
      </c>
      <c r="H2446">
        <v>1426.4630127</v>
      </c>
      <c r="I2446">
        <v>1214.520874</v>
      </c>
      <c r="J2446">
        <v>1165.8623047000001</v>
      </c>
      <c r="K2446">
        <v>2400</v>
      </c>
      <c r="L2446">
        <v>0</v>
      </c>
      <c r="M2446">
        <v>0</v>
      </c>
      <c r="N2446">
        <v>2400</v>
      </c>
    </row>
    <row r="2447" spans="1:14" x14ac:dyDescent="0.25">
      <c r="A2447">
        <v>1488.958308</v>
      </c>
      <c r="B2447" s="1">
        <f>DATE(2014,5,28) + TIME(22,59,57)</f>
        <v>41787.958298611113</v>
      </c>
      <c r="C2447">
        <v>80</v>
      </c>
      <c r="D2447">
        <v>79.982147217000005</v>
      </c>
      <c r="E2447">
        <v>50</v>
      </c>
      <c r="F2447">
        <v>48.242366791000002</v>
      </c>
      <c r="G2447">
        <v>1458.0972899999999</v>
      </c>
      <c r="H2447">
        <v>1426.3125</v>
      </c>
      <c r="I2447">
        <v>1214.4552002</v>
      </c>
      <c r="J2447">
        <v>1165.7789307</v>
      </c>
      <c r="K2447">
        <v>2400</v>
      </c>
      <c r="L2447">
        <v>0</v>
      </c>
      <c r="M2447">
        <v>0</v>
      </c>
      <c r="N2447">
        <v>2400</v>
      </c>
    </row>
    <row r="2448" spans="1:14" x14ac:dyDescent="0.25">
      <c r="A2448">
        <v>1489.6294210000001</v>
      </c>
      <c r="B2448" s="1">
        <f>DATE(2014,5,29) + TIME(15,6,21)</f>
        <v>41788.62940972222</v>
      </c>
      <c r="C2448">
        <v>80</v>
      </c>
      <c r="D2448">
        <v>79.982154846</v>
      </c>
      <c r="E2448">
        <v>50</v>
      </c>
      <c r="F2448">
        <v>48.204639434999997</v>
      </c>
      <c r="G2448">
        <v>1457.9433594</v>
      </c>
      <c r="H2448">
        <v>1426.1622314000001</v>
      </c>
      <c r="I2448">
        <v>1214.3884277</v>
      </c>
      <c r="J2448">
        <v>1165.6940918</v>
      </c>
      <c r="K2448">
        <v>2400</v>
      </c>
      <c r="L2448">
        <v>0</v>
      </c>
      <c r="M2448">
        <v>0</v>
      </c>
      <c r="N2448">
        <v>2400</v>
      </c>
    </row>
    <row r="2449" spans="1:14" x14ac:dyDescent="0.25">
      <c r="A2449">
        <v>1490.314533</v>
      </c>
      <c r="B2449" s="1">
        <f>DATE(2014,5,30) + TIME(7,32,55)</f>
        <v>41789.314525462964</v>
      </c>
      <c r="C2449">
        <v>80</v>
      </c>
      <c r="D2449">
        <v>79.982162475999999</v>
      </c>
      <c r="E2449">
        <v>50</v>
      </c>
      <c r="F2449">
        <v>48.166294098000002</v>
      </c>
      <c r="G2449">
        <v>1457.7890625</v>
      </c>
      <c r="H2449">
        <v>1426.0117187999999</v>
      </c>
      <c r="I2449">
        <v>1214.3200684000001</v>
      </c>
      <c r="J2449">
        <v>1165.6072998</v>
      </c>
      <c r="K2449">
        <v>2400</v>
      </c>
      <c r="L2449">
        <v>0</v>
      </c>
      <c r="M2449">
        <v>0</v>
      </c>
      <c r="N2449">
        <v>2400</v>
      </c>
    </row>
    <row r="2450" spans="1:14" x14ac:dyDescent="0.25">
      <c r="A2450">
        <v>1491.0162250000001</v>
      </c>
      <c r="B2450" s="1">
        <f>DATE(2014,5,31) + TIME(0,23,21)</f>
        <v>41790.016215277778</v>
      </c>
      <c r="C2450">
        <v>80</v>
      </c>
      <c r="D2450">
        <v>79.982170104999994</v>
      </c>
      <c r="E2450">
        <v>50</v>
      </c>
      <c r="F2450">
        <v>48.127231598000002</v>
      </c>
      <c r="G2450">
        <v>1457.6342772999999</v>
      </c>
      <c r="H2450">
        <v>1425.8605957</v>
      </c>
      <c r="I2450">
        <v>1214.2501221</v>
      </c>
      <c r="J2450">
        <v>1165.5184326000001</v>
      </c>
      <c r="K2450">
        <v>2400</v>
      </c>
      <c r="L2450">
        <v>0</v>
      </c>
      <c r="M2450">
        <v>0</v>
      </c>
      <c r="N2450">
        <v>2400</v>
      </c>
    </row>
    <row r="2451" spans="1:14" x14ac:dyDescent="0.25">
      <c r="A2451">
        <v>1491.7384199999999</v>
      </c>
      <c r="B2451" s="1">
        <f>DATE(2014,5,31) + TIME(17,43,19)</f>
        <v>41790.73841435185</v>
      </c>
      <c r="C2451">
        <v>80</v>
      </c>
      <c r="D2451">
        <v>79.982177734000004</v>
      </c>
      <c r="E2451">
        <v>50</v>
      </c>
      <c r="F2451">
        <v>48.087299346999998</v>
      </c>
      <c r="G2451">
        <v>1457.4785156</v>
      </c>
      <c r="H2451">
        <v>1425.708374</v>
      </c>
      <c r="I2451">
        <v>1214.1782227000001</v>
      </c>
      <c r="J2451">
        <v>1165.4272461</v>
      </c>
      <c r="K2451">
        <v>2400</v>
      </c>
      <c r="L2451">
        <v>0</v>
      </c>
      <c r="M2451">
        <v>0</v>
      </c>
      <c r="N2451">
        <v>2400</v>
      </c>
    </row>
    <row r="2452" spans="1:14" x14ac:dyDescent="0.25">
      <c r="A2452">
        <v>1492</v>
      </c>
      <c r="B2452" s="1">
        <f>DATE(2014,6,1) + TIME(0,0,0)</f>
        <v>41791</v>
      </c>
      <c r="C2452">
        <v>80</v>
      </c>
      <c r="D2452">
        <v>79.982177734000004</v>
      </c>
      <c r="E2452">
        <v>50</v>
      </c>
      <c r="F2452">
        <v>48.061363219999997</v>
      </c>
      <c r="G2452">
        <v>1457.3238524999999</v>
      </c>
      <c r="H2452">
        <v>1425.557251</v>
      </c>
      <c r="I2452">
        <v>1214.1036377</v>
      </c>
      <c r="J2452">
        <v>1165.3419189000001</v>
      </c>
      <c r="K2452">
        <v>2400</v>
      </c>
      <c r="L2452">
        <v>0</v>
      </c>
      <c r="M2452">
        <v>0</v>
      </c>
      <c r="N2452">
        <v>2400</v>
      </c>
    </row>
    <row r="2453" spans="1:14" x14ac:dyDescent="0.25">
      <c r="A2453">
        <v>1492.7355849999999</v>
      </c>
      <c r="B2453" s="1">
        <f>DATE(2014,6,1) + TIME(17,39,14)</f>
        <v>41791.735578703701</v>
      </c>
      <c r="C2453">
        <v>80</v>
      </c>
      <c r="D2453">
        <v>79.982192992999998</v>
      </c>
      <c r="E2453">
        <v>50</v>
      </c>
      <c r="F2453">
        <v>48.028186798</v>
      </c>
      <c r="G2453">
        <v>1457.2635498</v>
      </c>
      <c r="H2453">
        <v>1425.4982910000001</v>
      </c>
      <c r="I2453">
        <v>1214.0769043</v>
      </c>
      <c r="J2453">
        <v>1165.2963867000001</v>
      </c>
      <c r="K2453">
        <v>2400</v>
      </c>
      <c r="L2453">
        <v>0</v>
      </c>
      <c r="M2453">
        <v>0</v>
      </c>
      <c r="N2453">
        <v>2400</v>
      </c>
    </row>
    <row r="2454" spans="1:14" x14ac:dyDescent="0.25">
      <c r="A2454">
        <v>1493.4747629999999</v>
      </c>
      <c r="B2454" s="1">
        <f>DATE(2014,6,2) + TIME(11,23,39)</f>
        <v>41792.474756944444</v>
      </c>
      <c r="C2454">
        <v>80</v>
      </c>
      <c r="D2454">
        <v>79.982200622999997</v>
      </c>
      <c r="E2454">
        <v>50</v>
      </c>
      <c r="F2454">
        <v>47.989273071</v>
      </c>
      <c r="G2454">
        <v>1457.1082764</v>
      </c>
      <c r="H2454">
        <v>1425.3463135</v>
      </c>
      <c r="I2454">
        <v>1214.0013428</v>
      </c>
      <c r="J2454">
        <v>1165.2021483999999</v>
      </c>
      <c r="K2454">
        <v>2400</v>
      </c>
      <c r="L2454">
        <v>0</v>
      </c>
      <c r="M2454">
        <v>0</v>
      </c>
      <c r="N2454">
        <v>2400</v>
      </c>
    </row>
    <row r="2455" spans="1:14" x14ac:dyDescent="0.25">
      <c r="A2455">
        <v>1494.2205739999999</v>
      </c>
      <c r="B2455" s="1">
        <f>DATE(2014,6,3) + TIME(5,17,37)</f>
        <v>41793.220567129632</v>
      </c>
      <c r="C2455">
        <v>80</v>
      </c>
      <c r="D2455">
        <v>79.982208252000007</v>
      </c>
      <c r="E2455">
        <v>50</v>
      </c>
      <c r="F2455">
        <v>47.948413848999998</v>
      </c>
      <c r="G2455">
        <v>1456.9537353999999</v>
      </c>
      <c r="H2455">
        <v>1425.1950684000001</v>
      </c>
      <c r="I2455">
        <v>1213.9248047000001</v>
      </c>
      <c r="J2455">
        <v>1165.1053466999999</v>
      </c>
      <c r="K2455">
        <v>2400</v>
      </c>
      <c r="L2455">
        <v>0</v>
      </c>
      <c r="M2455">
        <v>0</v>
      </c>
      <c r="N2455">
        <v>2400</v>
      </c>
    </row>
    <row r="2456" spans="1:14" x14ac:dyDescent="0.25">
      <c r="A2456">
        <v>1494.976791</v>
      </c>
      <c r="B2456" s="1">
        <f>DATE(2014,6,3) + TIME(23,26,34)</f>
        <v>41793.976782407408</v>
      </c>
      <c r="C2456">
        <v>80</v>
      </c>
      <c r="D2456">
        <v>79.982223511000001</v>
      </c>
      <c r="E2456">
        <v>50</v>
      </c>
      <c r="F2456">
        <v>47.906688690000003</v>
      </c>
      <c r="G2456">
        <v>1456.8004149999999</v>
      </c>
      <c r="H2456">
        <v>1425.0449219</v>
      </c>
      <c r="I2456">
        <v>1213.8472899999999</v>
      </c>
      <c r="J2456">
        <v>1165.0072021000001</v>
      </c>
      <c r="K2456">
        <v>2400</v>
      </c>
      <c r="L2456">
        <v>0</v>
      </c>
      <c r="M2456">
        <v>0</v>
      </c>
      <c r="N2456">
        <v>2400</v>
      </c>
    </row>
    <row r="2457" spans="1:14" x14ac:dyDescent="0.25">
      <c r="A2457">
        <v>1495.746811</v>
      </c>
      <c r="B2457" s="1">
        <f>DATE(2014,6,4) + TIME(17,55,24)</f>
        <v>41794.746805555558</v>
      </c>
      <c r="C2457">
        <v>80</v>
      </c>
      <c r="D2457">
        <v>79.982231139999996</v>
      </c>
      <c r="E2457">
        <v>50</v>
      </c>
      <c r="F2457">
        <v>47.864295959000003</v>
      </c>
      <c r="G2457">
        <v>1456.6475829999999</v>
      </c>
      <c r="H2457">
        <v>1424.8951416</v>
      </c>
      <c r="I2457">
        <v>1213.7685547000001</v>
      </c>
      <c r="J2457">
        <v>1164.9071045000001</v>
      </c>
      <c r="K2457">
        <v>2400</v>
      </c>
      <c r="L2457">
        <v>0</v>
      </c>
      <c r="M2457">
        <v>0</v>
      </c>
      <c r="N2457">
        <v>2400</v>
      </c>
    </row>
    <row r="2458" spans="1:14" x14ac:dyDescent="0.25">
      <c r="A2458">
        <v>1496.5345809999999</v>
      </c>
      <c r="B2458" s="1">
        <f>DATE(2014,6,5) + TIME(12,49,47)</f>
        <v>41795.534571759257</v>
      </c>
      <c r="C2458">
        <v>80</v>
      </c>
      <c r="D2458">
        <v>79.982238769999995</v>
      </c>
      <c r="E2458">
        <v>50</v>
      </c>
      <c r="F2458">
        <v>47.821163177000003</v>
      </c>
      <c r="G2458">
        <v>1456.4945068</v>
      </c>
      <c r="H2458">
        <v>1424.7452393000001</v>
      </c>
      <c r="I2458">
        <v>1213.6879882999999</v>
      </c>
      <c r="J2458">
        <v>1164.8046875</v>
      </c>
      <c r="K2458">
        <v>2400</v>
      </c>
      <c r="L2458">
        <v>0</v>
      </c>
      <c r="M2458">
        <v>0</v>
      </c>
      <c r="N2458">
        <v>2400</v>
      </c>
    </row>
    <row r="2459" spans="1:14" x14ac:dyDescent="0.25">
      <c r="A2459">
        <v>1497.344458</v>
      </c>
      <c r="B2459" s="1">
        <f>DATE(2014,6,6) + TIME(8,16,1)</f>
        <v>41796.344456018516</v>
      </c>
      <c r="C2459">
        <v>80</v>
      </c>
      <c r="D2459">
        <v>79.982246399000005</v>
      </c>
      <c r="E2459">
        <v>50</v>
      </c>
      <c r="F2459">
        <v>47.777103424000003</v>
      </c>
      <c r="G2459">
        <v>1456.3405762</v>
      </c>
      <c r="H2459">
        <v>1424.5942382999999</v>
      </c>
      <c r="I2459">
        <v>1213.6053466999999</v>
      </c>
      <c r="J2459">
        <v>1164.6995850000001</v>
      </c>
      <c r="K2459">
        <v>2400</v>
      </c>
      <c r="L2459">
        <v>0</v>
      </c>
      <c r="M2459">
        <v>0</v>
      </c>
      <c r="N2459">
        <v>2400</v>
      </c>
    </row>
    <row r="2460" spans="1:14" x14ac:dyDescent="0.25">
      <c r="A2460">
        <v>1498.176712</v>
      </c>
      <c r="B2460" s="1">
        <f>DATE(2014,6,7) + TIME(4,14,27)</f>
        <v>41797.176701388889</v>
      </c>
      <c r="C2460">
        <v>80</v>
      </c>
      <c r="D2460">
        <v>79.982261657999999</v>
      </c>
      <c r="E2460">
        <v>50</v>
      </c>
      <c r="F2460">
        <v>47.731967926000003</v>
      </c>
      <c r="G2460">
        <v>1456.1849365</v>
      </c>
      <c r="H2460">
        <v>1424.4415283000001</v>
      </c>
      <c r="I2460">
        <v>1213.5200195</v>
      </c>
      <c r="J2460">
        <v>1164.5911865</v>
      </c>
      <c r="K2460">
        <v>2400</v>
      </c>
      <c r="L2460">
        <v>0</v>
      </c>
      <c r="M2460">
        <v>0</v>
      </c>
      <c r="N2460">
        <v>2400</v>
      </c>
    </row>
    <row r="2461" spans="1:14" x14ac:dyDescent="0.25">
      <c r="A2461">
        <v>1499.010041</v>
      </c>
      <c r="B2461" s="1">
        <f>DATE(2014,6,8) + TIME(0,14,27)</f>
        <v>41798.010034722225</v>
      </c>
      <c r="C2461">
        <v>80</v>
      </c>
      <c r="D2461">
        <v>79.982269286999994</v>
      </c>
      <c r="E2461">
        <v>50</v>
      </c>
      <c r="F2461">
        <v>47.686031342</v>
      </c>
      <c r="G2461">
        <v>1456.0277100000001</v>
      </c>
      <c r="H2461">
        <v>1424.2872314000001</v>
      </c>
      <c r="I2461">
        <v>1213.4318848</v>
      </c>
      <c r="J2461">
        <v>1164.4793701000001</v>
      </c>
      <c r="K2461">
        <v>2400</v>
      </c>
      <c r="L2461">
        <v>0</v>
      </c>
      <c r="M2461">
        <v>0</v>
      </c>
      <c r="N2461">
        <v>2400</v>
      </c>
    </row>
    <row r="2462" spans="1:14" x14ac:dyDescent="0.25">
      <c r="A2462">
        <v>1499.848362</v>
      </c>
      <c r="B2462" s="1">
        <f>DATE(2014,6,8) + TIME(20,21,38)</f>
        <v>41798.848356481481</v>
      </c>
      <c r="C2462">
        <v>80</v>
      </c>
      <c r="D2462">
        <v>79.982284546000002</v>
      </c>
      <c r="E2462">
        <v>50</v>
      </c>
      <c r="F2462">
        <v>47.639816283999998</v>
      </c>
      <c r="G2462">
        <v>1455.8728027</v>
      </c>
      <c r="H2462">
        <v>1424.1351318</v>
      </c>
      <c r="I2462">
        <v>1213.3432617000001</v>
      </c>
      <c r="J2462">
        <v>1164.3666992000001</v>
      </c>
      <c r="K2462">
        <v>2400</v>
      </c>
      <c r="L2462">
        <v>0</v>
      </c>
      <c r="M2462">
        <v>0</v>
      </c>
      <c r="N2462">
        <v>2400</v>
      </c>
    </row>
    <row r="2463" spans="1:14" x14ac:dyDescent="0.25">
      <c r="A2463">
        <v>1500.696064</v>
      </c>
      <c r="B2463" s="1">
        <f>DATE(2014,6,9) + TIME(16,42,19)</f>
        <v>41799.696053240739</v>
      </c>
      <c r="C2463">
        <v>80</v>
      </c>
      <c r="D2463">
        <v>79.982292174999998</v>
      </c>
      <c r="E2463">
        <v>50</v>
      </c>
      <c r="F2463">
        <v>47.593307494999998</v>
      </c>
      <c r="G2463">
        <v>1455.7196045000001</v>
      </c>
      <c r="H2463">
        <v>1423.9846190999999</v>
      </c>
      <c r="I2463">
        <v>1213.2537841999999</v>
      </c>
      <c r="J2463">
        <v>1164.2528076000001</v>
      </c>
      <c r="K2463">
        <v>2400</v>
      </c>
      <c r="L2463">
        <v>0</v>
      </c>
      <c r="M2463">
        <v>0</v>
      </c>
      <c r="N2463">
        <v>2400</v>
      </c>
    </row>
    <row r="2464" spans="1:14" x14ac:dyDescent="0.25">
      <c r="A2464">
        <v>1501.557127</v>
      </c>
      <c r="B2464" s="1">
        <f>DATE(2014,6,10) + TIME(13,22,15)</f>
        <v>41800.557118055556</v>
      </c>
      <c r="C2464">
        <v>80</v>
      </c>
      <c r="D2464">
        <v>79.982307434000006</v>
      </c>
      <c r="E2464">
        <v>50</v>
      </c>
      <c r="F2464">
        <v>47.546325684000003</v>
      </c>
      <c r="G2464">
        <v>1455.5671387</v>
      </c>
      <c r="H2464">
        <v>1423.8347168</v>
      </c>
      <c r="I2464">
        <v>1213.1627197</v>
      </c>
      <c r="J2464">
        <v>1164.1369629000001</v>
      </c>
      <c r="K2464">
        <v>2400</v>
      </c>
      <c r="L2464">
        <v>0</v>
      </c>
      <c r="M2464">
        <v>0</v>
      </c>
      <c r="N2464">
        <v>2400</v>
      </c>
    </row>
    <row r="2465" spans="1:14" x14ac:dyDescent="0.25">
      <c r="A2465">
        <v>1502.4357319999999</v>
      </c>
      <c r="B2465" s="1">
        <f>DATE(2014,6,11) + TIME(10,27,27)</f>
        <v>41801.435729166667</v>
      </c>
      <c r="C2465">
        <v>80</v>
      </c>
      <c r="D2465">
        <v>79.982315063000001</v>
      </c>
      <c r="E2465">
        <v>50</v>
      </c>
      <c r="F2465">
        <v>47.498668670999997</v>
      </c>
      <c r="G2465">
        <v>1455.4146728999999</v>
      </c>
      <c r="H2465">
        <v>1423.6849365</v>
      </c>
      <c r="I2465">
        <v>1213.0699463000001</v>
      </c>
      <c r="J2465">
        <v>1164.0186768000001</v>
      </c>
      <c r="K2465">
        <v>2400</v>
      </c>
      <c r="L2465">
        <v>0</v>
      </c>
      <c r="M2465">
        <v>0</v>
      </c>
      <c r="N2465">
        <v>2400</v>
      </c>
    </row>
    <row r="2466" spans="1:14" x14ac:dyDescent="0.25">
      <c r="A2466">
        <v>1503.3335119999999</v>
      </c>
      <c r="B2466" s="1">
        <f>DATE(2014,6,12) + TIME(8,0,15)</f>
        <v>41802.333506944444</v>
      </c>
      <c r="C2466">
        <v>80</v>
      </c>
      <c r="D2466">
        <v>79.982330321999996</v>
      </c>
      <c r="E2466">
        <v>50</v>
      </c>
      <c r="F2466">
        <v>47.450141907000003</v>
      </c>
      <c r="G2466">
        <v>1455.2617187999999</v>
      </c>
      <c r="H2466">
        <v>1423.5344238</v>
      </c>
      <c r="I2466">
        <v>1212.9747314000001</v>
      </c>
      <c r="J2466">
        <v>1163.8973389</v>
      </c>
      <c r="K2466">
        <v>2400</v>
      </c>
      <c r="L2466">
        <v>0</v>
      </c>
      <c r="M2466">
        <v>0</v>
      </c>
      <c r="N2466">
        <v>2400</v>
      </c>
    </row>
    <row r="2467" spans="1:14" x14ac:dyDescent="0.25">
      <c r="A2467">
        <v>1504.252168</v>
      </c>
      <c r="B2467" s="1">
        <f>DATE(2014,6,13) + TIME(6,3,7)</f>
        <v>41803.252164351848</v>
      </c>
      <c r="C2467">
        <v>80</v>
      </c>
      <c r="D2467">
        <v>79.982337951999995</v>
      </c>
      <c r="E2467">
        <v>50</v>
      </c>
      <c r="F2467">
        <v>47.400627135999997</v>
      </c>
      <c r="G2467">
        <v>1455.1079102000001</v>
      </c>
      <c r="H2467">
        <v>1423.3830565999999</v>
      </c>
      <c r="I2467">
        <v>1212.8768310999999</v>
      </c>
      <c r="J2467">
        <v>1163.7725829999999</v>
      </c>
      <c r="K2467">
        <v>2400</v>
      </c>
      <c r="L2467">
        <v>0</v>
      </c>
      <c r="M2467">
        <v>0</v>
      </c>
      <c r="N2467">
        <v>2400</v>
      </c>
    </row>
    <row r="2468" spans="1:14" x14ac:dyDescent="0.25">
      <c r="A2468">
        <v>1505.1916080000001</v>
      </c>
      <c r="B2468" s="1">
        <f>DATE(2014,6,14) + TIME(4,35,54)</f>
        <v>41804.19159722222</v>
      </c>
      <c r="C2468">
        <v>80</v>
      </c>
      <c r="D2468">
        <v>79.982353209999999</v>
      </c>
      <c r="E2468">
        <v>50</v>
      </c>
      <c r="F2468">
        <v>47.350036621000001</v>
      </c>
      <c r="G2468">
        <v>1454.9528809000001</v>
      </c>
      <c r="H2468">
        <v>1423.2304687999999</v>
      </c>
      <c r="I2468">
        <v>1212.7762451000001</v>
      </c>
      <c r="J2468">
        <v>1163.6442870999999</v>
      </c>
      <c r="K2468">
        <v>2400</v>
      </c>
      <c r="L2468">
        <v>0</v>
      </c>
      <c r="M2468">
        <v>0</v>
      </c>
      <c r="N2468">
        <v>2400</v>
      </c>
    </row>
    <row r="2469" spans="1:14" x14ac:dyDescent="0.25">
      <c r="A2469">
        <v>1506.1345490000001</v>
      </c>
      <c r="B2469" s="1">
        <f>DATE(2014,6,15) + TIME(3,13,45)</f>
        <v>41805.134548611109</v>
      </c>
      <c r="C2469">
        <v>80</v>
      </c>
      <c r="D2469">
        <v>79.982360839999998</v>
      </c>
      <c r="E2469">
        <v>50</v>
      </c>
      <c r="F2469">
        <v>47.298595427999999</v>
      </c>
      <c r="G2469">
        <v>1454.7969971</v>
      </c>
      <c r="H2469">
        <v>1423.0769043</v>
      </c>
      <c r="I2469">
        <v>1212.6726074000001</v>
      </c>
      <c r="J2469">
        <v>1163.512207</v>
      </c>
      <c r="K2469">
        <v>2400</v>
      </c>
      <c r="L2469">
        <v>0</v>
      </c>
      <c r="M2469">
        <v>0</v>
      </c>
      <c r="N2469">
        <v>2400</v>
      </c>
    </row>
    <row r="2470" spans="1:14" x14ac:dyDescent="0.25">
      <c r="A2470">
        <v>1507.085505</v>
      </c>
      <c r="B2470" s="1">
        <f>DATE(2014,6,16) + TIME(2,3,7)</f>
        <v>41806.085497685184</v>
      </c>
      <c r="C2470">
        <v>80</v>
      </c>
      <c r="D2470">
        <v>79.982376099000007</v>
      </c>
      <c r="E2470">
        <v>50</v>
      </c>
      <c r="F2470">
        <v>47.246738434000001</v>
      </c>
      <c r="G2470">
        <v>1454.6429443</v>
      </c>
      <c r="H2470">
        <v>1422.9251709</v>
      </c>
      <c r="I2470">
        <v>1212.5679932</v>
      </c>
      <c r="J2470">
        <v>1163.3786620999999</v>
      </c>
      <c r="K2470">
        <v>2400</v>
      </c>
      <c r="L2470">
        <v>0</v>
      </c>
      <c r="M2470">
        <v>0</v>
      </c>
      <c r="N2470">
        <v>2400</v>
      </c>
    </row>
    <row r="2471" spans="1:14" x14ac:dyDescent="0.25">
      <c r="A2471">
        <v>1508.0470439999999</v>
      </c>
      <c r="B2471" s="1">
        <f>DATE(2014,6,17) + TIME(1,7,44)</f>
        <v>41807.047037037039</v>
      </c>
      <c r="C2471">
        <v>80</v>
      </c>
      <c r="D2471">
        <v>79.982391356999997</v>
      </c>
      <c r="E2471">
        <v>50</v>
      </c>
      <c r="F2471">
        <v>47.194419861</v>
      </c>
      <c r="G2471">
        <v>1454.4899902</v>
      </c>
      <c r="H2471">
        <v>1422.7744141000001</v>
      </c>
      <c r="I2471">
        <v>1212.4617920000001</v>
      </c>
      <c r="J2471">
        <v>1163.2430420000001</v>
      </c>
      <c r="K2471">
        <v>2400</v>
      </c>
      <c r="L2471">
        <v>0</v>
      </c>
      <c r="M2471">
        <v>0</v>
      </c>
      <c r="N2471">
        <v>2400</v>
      </c>
    </row>
    <row r="2472" spans="1:14" x14ac:dyDescent="0.25">
      <c r="A2472">
        <v>1509.0222940000001</v>
      </c>
      <c r="B2472" s="1">
        <f>DATE(2014,6,18) + TIME(0,32,6)</f>
        <v>41808.022291666668</v>
      </c>
      <c r="C2472">
        <v>80</v>
      </c>
      <c r="D2472">
        <v>79.982398986999996</v>
      </c>
      <c r="E2472">
        <v>50</v>
      </c>
      <c r="F2472">
        <v>47.141506194999998</v>
      </c>
      <c r="G2472">
        <v>1454.3376464999999</v>
      </c>
      <c r="H2472">
        <v>1422.6242675999999</v>
      </c>
      <c r="I2472">
        <v>1212.3537598</v>
      </c>
      <c r="J2472">
        <v>1163.1047363</v>
      </c>
      <c r="K2472">
        <v>2400</v>
      </c>
      <c r="L2472">
        <v>0</v>
      </c>
      <c r="M2472">
        <v>0</v>
      </c>
      <c r="N2472">
        <v>2400</v>
      </c>
    </row>
    <row r="2473" spans="1:14" x14ac:dyDescent="0.25">
      <c r="A2473">
        <v>1510.015658</v>
      </c>
      <c r="B2473" s="1">
        <f>DATE(2014,6,19) + TIME(0,22,32)</f>
        <v>41809.015648148146</v>
      </c>
      <c r="C2473">
        <v>80</v>
      </c>
      <c r="D2473">
        <v>79.982414246000005</v>
      </c>
      <c r="E2473">
        <v>50</v>
      </c>
      <c r="F2473">
        <v>47.087810515999998</v>
      </c>
      <c r="G2473">
        <v>1454.1856689000001</v>
      </c>
      <c r="H2473">
        <v>1422.4742432</v>
      </c>
      <c r="I2473">
        <v>1212.2434082</v>
      </c>
      <c r="J2473">
        <v>1162.963501</v>
      </c>
      <c r="K2473">
        <v>2400</v>
      </c>
      <c r="L2473">
        <v>0</v>
      </c>
      <c r="M2473">
        <v>0</v>
      </c>
      <c r="N2473">
        <v>2400</v>
      </c>
    </row>
    <row r="2474" spans="1:14" x14ac:dyDescent="0.25">
      <c r="A2474">
        <v>1511.032152</v>
      </c>
      <c r="B2474" s="1">
        <f>DATE(2014,6,20) + TIME(0,46,17)</f>
        <v>41810.032141203701</v>
      </c>
      <c r="C2474">
        <v>80</v>
      </c>
      <c r="D2474">
        <v>79.982429503999995</v>
      </c>
      <c r="E2474">
        <v>50</v>
      </c>
      <c r="F2474">
        <v>47.033088683999999</v>
      </c>
      <c r="G2474">
        <v>1454.0330810999999</v>
      </c>
      <c r="H2474">
        <v>1422.3236084</v>
      </c>
      <c r="I2474">
        <v>1212.130249</v>
      </c>
      <c r="J2474">
        <v>1162.8184814000001</v>
      </c>
      <c r="K2474">
        <v>2400</v>
      </c>
      <c r="L2474">
        <v>0</v>
      </c>
      <c r="M2474">
        <v>0</v>
      </c>
      <c r="N2474">
        <v>2400</v>
      </c>
    </row>
    <row r="2475" spans="1:14" x14ac:dyDescent="0.25">
      <c r="A2475">
        <v>1512.0774349999999</v>
      </c>
      <c r="B2475" s="1">
        <f>DATE(2014,6,21) + TIME(1,51,30)</f>
        <v>41811.077430555553</v>
      </c>
      <c r="C2475">
        <v>80</v>
      </c>
      <c r="D2475">
        <v>79.982444763000004</v>
      </c>
      <c r="E2475">
        <v>50</v>
      </c>
      <c r="F2475">
        <v>46.977054596000002</v>
      </c>
      <c r="G2475">
        <v>1453.8792725000001</v>
      </c>
      <c r="H2475">
        <v>1422.171875</v>
      </c>
      <c r="I2475">
        <v>1212.0136719</v>
      </c>
      <c r="J2475">
        <v>1162.6687012</v>
      </c>
      <c r="K2475">
        <v>2400</v>
      </c>
      <c r="L2475">
        <v>0</v>
      </c>
      <c r="M2475">
        <v>0</v>
      </c>
      <c r="N2475">
        <v>2400</v>
      </c>
    </row>
    <row r="2476" spans="1:14" x14ac:dyDescent="0.25">
      <c r="A2476">
        <v>1513.1295070000001</v>
      </c>
      <c r="B2476" s="1">
        <f>DATE(2014,6,22) + TIME(3,6,29)</f>
        <v>41812.129502314812</v>
      </c>
      <c r="C2476">
        <v>80</v>
      </c>
      <c r="D2476">
        <v>79.982452393000003</v>
      </c>
      <c r="E2476">
        <v>50</v>
      </c>
      <c r="F2476">
        <v>46.919750213999997</v>
      </c>
      <c r="G2476">
        <v>1453.7236327999999</v>
      </c>
      <c r="H2476">
        <v>1422.0181885</v>
      </c>
      <c r="I2476">
        <v>1211.8927002</v>
      </c>
      <c r="J2476">
        <v>1162.5136719</v>
      </c>
      <c r="K2476">
        <v>2400</v>
      </c>
      <c r="L2476">
        <v>0</v>
      </c>
      <c r="M2476">
        <v>0</v>
      </c>
      <c r="N2476">
        <v>2400</v>
      </c>
    </row>
    <row r="2477" spans="1:14" x14ac:dyDescent="0.25">
      <c r="A2477">
        <v>1514.1861590000001</v>
      </c>
      <c r="B2477" s="1">
        <f>DATE(2014,6,23) + TIME(4,28,4)</f>
        <v>41813.186157407406</v>
      </c>
      <c r="C2477">
        <v>80</v>
      </c>
      <c r="D2477">
        <v>79.982467650999993</v>
      </c>
      <c r="E2477">
        <v>50</v>
      </c>
      <c r="F2477">
        <v>46.861820221000002</v>
      </c>
      <c r="G2477">
        <v>1453.5692139</v>
      </c>
      <c r="H2477">
        <v>1421.8657227000001</v>
      </c>
      <c r="I2477">
        <v>1211.7700195</v>
      </c>
      <c r="J2477">
        <v>1162.3560791</v>
      </c>
      <c r="K2477">
        <v>2400</v>
      </c>
      <c r="L2477">
        <v>0</v>
      </c>
      <c r="M2477">
        <v>0</v>
      </c>
      <c r="N2477">
        <v>2400</v>
      </c>
    </row>
    <row r="2478" spans="1:14" x14ac:dyDescent="0.25">
      <c r="A2478">
        <v>1515.2523060000001</v>
      </c>
      <c r="B2478" s="1">
        <f>DATE(2014,6,24) + TIME(6,3,19)</f>
        <v>41814.252303240741</v>
      </c>
      <c r="C2478">
        <v>80</v>
      </c>
      <c r="D2478">
        <v>79.982482910000002</v>
      </c>
      <c r="E2478">
        <v>50</v>
      </c>
      <c r="F2478">
        <v>46.803405761999997</v>
      </c>
      <c r="G2478">
        <v>1453.4165039</v>
      </c>
      <c r="H2478">
        <v>1421.7148437999999</v>
      </c>
      <c r="I2478">
        <v>1211.6457519999999</v>
      </c>
      <c r="J2478">
        <v>1162.1960449000001</v>
      </c>
      <c r="K2478">
        <v>2400</v>
      </c>
      <c r="L2478">
        <v>0</v>
      </c>
      <c r="M2478">
        <v>0</v>
      </c>
      <c r="N2478">
        <v>2400</v>
      </c>
    </row>
    <row r="2479" spans="1:14" x14ac:dyDescent="0.25">
      <c r="A2479">
        <v>1516.3334560000001</v>
      </c>
      <c r="B2479" s="1">
        <f>DATE(2014,6,25) + TIME(8,0,10)</f>
        <v>41815.333449074074</v>
      </c>
      <c r="C2479">
        <v>80</v>
      </c>
      <c r="D2479">
        <v>79.982498168999996</v>
      </c>
      <c r="E2479">
        <v>50</v>
      </c>
      <c r="F2479">
        <v>46.744312286000003</v>
      </c>
      <c r="G2479">
        <v>1453.2647704999999</v>
      </c>
      <c r="H2479">
        <v>1421.5648193</v>
      </c>
      <c r="I2479">
        <v>1211.5192870999999</v>
      </c>
      <c r="J2479">
        <v>1162.0330810999999</v>
      </c>
      <c r="K2479">
        <v>2400</v>
      </c>
      <c r="L2479">
        <v>0</v>
      </c>
      <c r="M2479">
        <v>0</v>
      </c>
      <c r="N2479">
        <v>2400</v>
      </c>
    </row>
    <row r="2480" spans="1:14" x14ac:dyDescent="0.25">
      <c r="A2480">
        <v>1517.43478</v>
      </c>
      <c r="B2480" s="1">
        <f>DATE(2014,6,26) + TIME(10,26,5)</f>
        <v>41816.43478009259</v>
      </c>
      <c r="C2480">
        <v>80</v>
      </c>
      <c r="D2480">
        <v>79.982513428000004</v>
      </c>
      <c r="E2480">
        <v>50</v>
      </c>
      <c r="F2480">
        <v>46.684249878000003</v>
      </c>
      <c r="G2480">
        <v>1453.1130370999999</v>
      </c>
      <c r="H2480">
        <v>1421.4147949000001</v>
      </c>
      <c r="I2480">
        <v>1211.3898925999999</v>
      </c>
      <c r="J2480">
        <v>1161.8659668</v>
      </c>
      <c r="K2480">
        <v>2400</v>
      </c>
      <c r="L2480">
        <v>0</v>
      </c>
      <c r="M2480">
        <v>0</v>
      </c>
      <c r="N2480">
        <v>2400</v>
      </c>
    </row>
    <row r="2481" spans="1:14" x14ac:dyDescent="0.25">
      <c r="A2481">
        <v>1518.561809</v>
      </c>
      <c r="B2481" s="1">
        <f>DATE(2014,6,27) + TIME(13,29,0)</f>
        <v>41817.561805555553</v>
      </c>
      <c r="C2481">
        <v>80</v>
      </c>
      <c r="D2481">
        <v>79.982528686999999</v>
      </c>
      <c r="E2481">
        <v>50</v>
      </c>
      <c r="F2481">
        <v>46.622909546000002</v>
      </c>
      <c r="G2481">
        <v>1452.9608154</v>
      </c>
      <c r="H2481">
        <v>1421.2641602000001</v>
      </c>
      <c r="I2481">
        <v>1211.2569579999999</v>
      </c>
      <c r="J2481">
        <v>1161.6940918</v>
      </c>
      <c r="K2481">
        <v>2400</v>
      </c>
      <c r="L2481">
        <v>0</v>
      </c>
      <c r="M2481">
        <v>0</v>
      </c>
      <c r="N2481">
        <v>2400</v>
      </c>
    </row>
    <row r="2482" spans="1:14" x14ac:dyDescent="0.25">
      <c r="A2482">
        <v>1519.7123019999999</v>
      </c>
      <c r="B2482" s="1">
        <f>DATE(2014,6,28) + TIME(17,5,42)</f>
        <v>41818.712291666663</v>
      </c>
      <c r="C2482">
        <v>80</v>
      </c>
      <c r="D2482">
        <v>79.982543945000003</v>
      </c>
      <c r="E2482">
        <v>50</v>
      </c>
      <c r="F2482">
        <v>46.560054778999998</v>
      </c>
      <c r="G2482">
        <v>1452.807251</v>
      </c>
      <c r="H2482">
        <v>1421.1123047000001</v>
      </c>
      <c r="I2482">
        <v>1211.1196289</v>
      </c>
      <c r="J2482">
        <v>1161.5162353999999</v>
      </c>
      <c r="K2482">
        <v>2400</v>
      </c>
      <c r="L2482">
        <v>0</v>
      </c>
      <c r="M2482">
        <v>0</v>
      </c>
      <c r="N2482">
        <v>2400</v>
      </c>
    </row>
    <row r="2483" spans="1:14" x14ac:dyDescent="0.25">
      <c r="A2483">
        <v>1520.87879</v>
      </c>
      <c r="B2483" s="1">
        <f>DATE(2014,6,29) + TIME(21,5,27)</f>
        <v>41819.878784722219</v>
      </c>
      <c r="C2483">
        <v>80</v>
      </c>
      <c r="D2483">
        <v>79.982559203999998</v>
      </c>
      <c r="E2483">
        <v>50</v>
      </c>
      <c r="F2483">
        <v>46.495761870999999</v>
      </c>
      <c r="G2483">
        <v>1452.652832</v>
      </c>
      <c r="H2483">
        <v>1420.9594727000001</v>
      </c>
      <c r="I2483">
        <v>1210.9779053</v>
      </c>
      <c r="J2483">
        <v>1161.3326416</v>
      </c>
      <c r="K2483">
        <v>2400</v>
      </c>
      <c r="L2483">
        <v>0</v>
      </c>
      <c r="M2483">
        <v>0</v>
      </c>
      <c r="N2483">
        <v>2400</v>
      </c>
    </row>
    <row r="2484" spans="1:14" x14ac:dyDescent="0.25">
      <c r="A2484">
        <v>1522</v>
      </c>
      <c r="B2484" s="1">
        <f>DATE(2014,7,1) + TIME(0,0,0)</f>
        <v>41821</v>
      </c>
      <c r="C2484">
        <v>80</v>
      </c>
      <c r="D2484">
        <v>79.982574463000006</v>
      </c>
      <c r="E2484">
        <v>50</v>
      </c>
      <c r="F2484">
        <v>46.431041718000003</v>
      </c>
      <c r="G2484">
        <v>1452.4985352000001</v>
      </c>
      <c r="H2484">
        <v>1420.8067627</v>
      </c>
      <c r="I2484">
        <v>1210.8327637</v>
      </c>
      <c r="J2484">
        <v>1161.1446533000001</v>
      </c>
      <c r="K2484">
        <v>2400</v>
      </c>
      <c r="L2484">
        <v>0</v>
      </c>
      <c r="M2484">
        <v>0</v>
      </c>
      <c r="N2484">
        <v>2400</v>
      </c>
    </row>
    <row r="2485" spans="1:14" x14ac:dyDescent="0.25">
      <c r="A2485">
        <v>1523.1717550000001</v>
      </c>
      <c r="B2485" s="1">
        <f>DATE(2014,7,2) + TIME(4,7,19)</f>
        <v>41822.171747685185</v>
      </c>
      <c r="C2485">
        <v>80</v>
      </c>
      <c r="D2485">
        <v>79.982589722</v>
      </c>
      <c r="E2485">
        <v>50</v>
      </c>
      <c r="F2485">
        <v>46.366706848</v>
      </c>
      <c r="G2485">
        <v>1452.3521728999999</v>
      </c>
      <c r="H2485">
        <v>1420.6618652</v>
      </c>
      <c r="I2485">
        <v>1210.6917725000001</v>
      </c>
      <c r="J2485">
        <v>1160.9604492000001</v>
      </c>
      <c r="K2485">
        <v>2400</v>
      </c>
      <c r="L2485">
        <v>0</v>
      </c>
      <c r="M2485">
        <v>0</v>
      </c>
      <c r="N2485">
        <v>2400</v>
      </c>
    </row>
    <row r="2486" spans="1:14" x14ac:dyDescent="0.25">
      <c r="A2486">
        <v>1524.3702479999999</v>
      </c>
      <c r="B2486" s="1">
        <f>DATE(2014,7,3) + TIME(8,53,9)</f>
        <v>41823.370243055557</v>
      </c>
      <c r="C2486">
        <v>80</v>
      </c>
      <c r="D2486">
        <v>79.982604980000005</v>
      </c>
      <c r="E2486">
        <v>50</v>
      </c>
      <c r="F2486">
        <v>46.300350189</v>
      </c>
      <c r="G2486">
        <v>1452.2015381000001</v>
      </c>
      <c r="H2486">
        <v>1420.5125731999999</v>
      </c>
      <c r="I2486">
        <v>1210.5429687999999</v>
      </c>
      <c r="J2486">
        <v>1160.7663574000001</v>
      </c>
      <c r="K2486">
        <v>2400</v>
      </c>
      <c r="L2486">
        <v>0</v>
      </c>
      <c r="M2486">
        <v>0</v>
      </c>
      <c r="N2486">
        <v>2400</v>
      </c>
    </row>
    <row r="2487" spans="1:14" x14ac:dyDescent="0.25">
      <c r="A2487">
        <v>1525.588019</v>
      </c>
      <c r="B2487" s="1">
        <f>DATE(2014,7,4) + TIME(14,6,44)</f>
        <v>41824.588009259256</v>
      </c>
      <c r="C2487">
        <v>80</v>
      </c>
      <c r="D2487">
        <v>79.982620238999999</v>
      </c>
      <c r="E2487">
        <v>50</v>
      </c>
      <c r="F2487">
        <v>46.232170105000002</v>
      </c>
      <c r="G2487">
        <v>1452.0495605000001</v>
      </c>
      <c r="H2487">
        <v>1420.3620605000001</v>
      </c>
      <c r="I2487">
        <v>1210.3891602000001</v>
      </c>
      <c r="J2487">
        <v>1160.5653076000001</v>
      </c>
      <c r="K2487">
        <v>2400</v>
      </c>
      <c r="L2487">
        <v>0</v>
      </c>
      <c r="M2487">
        <v>0</v>
      </c>
      <c r="N2487">
        <v>2400</v>
      </c>
    </row>
    <row r="2488" spans="1:14" x14ac:dyDescent="0.25">
      <c r="A2488">
        <v>1526.8276020000001</v>
      </c>
      <c r="B2488" s="1">
        <f>DATE(2014,7,5) + TIME(19,51,44)</f>
        <v>41825.827592592592</v>
      </c>
      <c r="C2488">
        <v>80</v>
      </c>
      <c r="D2488">
        <v>79.982635497999993</v>
      </c>
      <c r="E2488">
        <v>50</v>
      </c>
      <c r="F2488">
        <v>46.162387848000002</v>
      </c>
      <c r="G2488">
        <v>1451.8972168</v>
      </c>
      <c r="H2488">
        <v>1420.2111815999999</v>
      </c>
      <c r="I2488">
        <v>1210.230957</v>
      </c>
      <c r="J2488">
        <v>1160.3581543</v>
      </c>
      <c r="K2488">
        <v>2400</v>
      </c>
      <c r="L2488">
        <v>0</v>
      </c>
      <c r="M2488">
        <v>0</v>
      </c>
      <c r="N2488">
        <v>2400</v>
      </c>
    </row>
    <row r="2489" spans="1:14" x14ac:dyDescent="0.25">
      <c r="A2489">
        <v>1528.0903980000001</v>
      </c>
      <c r="B2489" s="1">
        <f>DATE(2014,7,7) + TIME(2,10,10)</f>
        <v>41827.09039351852</v>
      </c>
      <c r="C2489">
        <v>80</v>
      </c>
      <c r="D2489">
        <v>79.982650757000002</v>
      </c>
      <c r="E2489">
        <v>50</v>
      </c>
      <c r="F2489">
        <v>46.090904236</v>
      </c>
      <c r="G2489">
        <v>1451.7445068</v>
      </c>
      <c r="H2489">
        <v>1420.0596923999999</v>
      </c>
      <c r="I2489">
        <v>1210.0679932</v>
      </c>
      <c r="J2489">
        <v>1160.1444091999999</v>
      </c>
      <c r="K2489">
        <v>2400</v>
      </c>
      <c r="L2489">
        <v>0</v>
      </c>
      <c r="M2489">
        <v>0</v>
      </c>
      <c r="N2489">
        <v>2400</v>
      </c>
    </row>
    <row r="2490" spans="1:14" x14ac:dyDescent="0.25">
      <c r="A2490">
        <v>1529.3760560000001</v>
      </c>
      <c r="B2490" s="1">
        <f>DATE(2014,7,8) + TIME(9,1,31)</f>
        <v>41828.37605324074</v>
      </c>
      <c r="C2490">
        <v>80</v>
      </c>
      <c r="D2490">
        <v>79.982666015999996</v>
      </c>
      <c r="E2490">
        <v>50</v>
      </c>
      <c r="F2490">
        <v>46.017620086999997</v>
      </c>
      <c r="G2490">
        <v>1451.5909423999999</v>
      </c>
      <c r="H2490">
        <v>1419.9074707</v>
      </c>
      <c r="I2490">
        <v>1209.9000243999999</v>
      </c>
      <c r="J2490">
        <v>1159.9233397999999</v>
      </c>
      <c r="K2490">
        <v>2400</v>
      </c>
      <c r="L2490">
        <v>0</v>
      </c>
      <c r="M2490">
        <v>0</v>
      </c>
      <c r="N2490">
        <v>2400</v>
      </c>
    </row>
    <row r="2491" spans="1:14" x14ac:dyDescent="0.25">
      <c r="A2491">
        <v>1530.670566</v>
      </c>
      <c r="B2491" s="1">
        <f>DATE(2014,7,9) + TIME(16,5,36)</f>
        <v>41829.670555555553</v>
      </c>
      <c r="C2491">
        <v>80</v>
      </c>
      <c r="D2491">
        <v>79.982681274000001</v>
      </c>
      <c r="E2491">
        <v>50</v>
      </c>
      <c r="F2491">
        <v>45.942634583</v>
      </c>
      <c r="G2491">
        <v>1451.4368896000001</v>
      </c>
      <c r="H2491">
        <v>1419.7547606999999</v>
      </c>
      <c r="I2491">
        <v>1209.7268065999999</v>
      </c>
      <c r="J2491">
        <v>1159.6950684000001</v>
      </c>
      <c r="K2491">
        <v>2400</v>
      </c>
      <c r="L2491">
        <v>0</v>
      </c>
      <c r="M2491">
        <v>0</v>
      </c>
      <c r="N2491">
        <v>2400</v>
      </c>
    </row>
    <row r="2492" spans="1:14" x14ac:dyDescent="0.25">
      <c r="A2492">
        <v>1531.971859</v>
      </c>
      <c r="B2492" s="1">
        <f>DATE(2014,7,10) + TIME(23,19,28)</f>
        <v>41830.971851851849</v>
      </c>
      <c r="C2492">
        <v>80</v>
      </c>
      <c r="D2492">
        <v>79.982704162999994</v>
      </c>
      <c r="E2492">
        <v>50</v>
      </c>
      <c r="F2492">
        <v>45.866428374999998</v>
      </c>
      <c r="G2492">
        <v>1451.2839355000001</v>
      </c>
      <c r="H2492">
        <v>1419.6030272999999</v>
      </c>
      <c r="I2492">
        <v>1209.5501709</v>
      </c>
      <c r="J2492">
        <v>1159.4615478999999</v>
      </c>
      <c r="K2492">
        <v>2400</v>
      </c>
      <c r="L2492">
        <v>0</v>
      </c>
      <c r="M2492">
        <v>0</v>
      </c>
      <c r="N2492">
        <v>2400</v>
      </c>
    </row>
    <row r="2493" spans="1:14" x14ac:dyDescent="0.25">
      <c r="A2493">
        <v>1533.286173</v>
      </c>
      <c r="B2493" s="1">
        <f>DATE(2014,7,12) + TIME(6,52,5)</f>
        <v>41832.286168981482</v>
      </c>
      <c r="C2493">
        <v>80</v>
      </c>
      <c r="D2493">
        <v>79.982719420999999</v>
      </c>
      <c r="E2493">
        <v>50</v>
      </c>
      <c r="F2493">
        <v>45.789058685000001</v>
      </c>
      <c r="G2493">
        <v>1451.1323242000001</v>
      </c>
      <c r="H2493">
        <v>1419.4525146000001</v>
      </c>
      <c r="I2493">
        <v>1209.3702393000001</v>
      </c>
      <c r="J2493">
        <v>1159.2229004000001</v>
      </c>
      <c r="K2493">
        <v>2400</v>
      </c>
      <c r="L2493">
        <v>0</v>
      </c>
      <c r="M2493">
        <v>0</v>
      </c>
      <c r="N2493">
        <v>2400</v>
      </c>
    </row>
    <row r="2494" spans="1:14" x14ac:dyDescent="0.25">
      <c r="A2494">
        <v>1534.619074</v>
      </c>
      <c r="B2494" s="1">
        <f>DATE(2014,7,13) + TIME(14,51,28)</f>
        <v>41833.619074074071</v>
      </c>
      <c r="C2494">
        <v>80</v>
      </c>
      <c r="D2494">
        <v>79.982734679999993</v>
      </c>
      <c r="E2494">
        <v>50</v>
      </c>
      <c r="F2494">
        <v>45.710212708</v>
      </c>
      <c r="G2494">
        <v>1450.9812012</v>
      </c>
      <c r="H2494">
        <v>1419.3026123</v>
      </c>
      <c r="I2494">
        <v>1209.1860352000001</v>
      </c>
      <c r="J2494">
        <v>1158.9780272999999</v>
      </c>
      <c r="K2494">
        <v>2400</v>
      </c>
      <c r="L2494">
        <v>0</v>
      </c>
      <c r="M2494">
        <v>0</v>
      </c>
      <c r="N2494">
        <v>2400</v>
      </c>
    </row>
    <row r="2495" spans="1:14" x14ac:dyDescent="0.25">
      <c r="A2495">
        <v>1535.969883</v>
      </c>
      <c r="B2495" s="1">
        <f>DATE(2014,7,14) + TIME(23,16,37)</f>
        <v>41834.969872685186</v>
      </c>
      <c r="C2495">
        <v>80</v>
      </c>
      <c r="D2495">
        <v>79.982749939000001</v>
      </c>
      <c r="E2495">
        <v>50</v>
      </c>
      <c r="F2495">
        <v>45.629581451</v>
      </c>
      <c r="G2495">
        <v>1450.8300781</v>
      </c>
      <c r="H2495">
        <v>1419.1525879000001</v>
      </c>
      <c r="I2495">
        <v>1208.9968262</v>
      </c>
      <c r="J2495">
        <v>1158.7257079999999</v>
      </c>
      <c r="K2495">
        <v>2400</v>
      </c>
      <c r="L2495">
        <v>0</v>
      </c>
      <c r="M2495">
        <v>0</v>
      </c>
      <c r="N2495">
        <v>2400</v>
      </c>
    </row>
    <row r="2496" spans="1:14" x14ac:dyDescent="0.25">
      <c r="A2496">
        <v>1537.3444300000001</v>
      </c>
      <c r="B2496" s="1">
        <f>DATE(2014,7,16) + TIME(8,15,58)</f>
        <v>41836.344421296293</v>
      </c>
      <c r="C2496">
        <v>80</v>
      </c>
      <c r="D2496">
        <v>79.982765197999996</v>
      </c>
      <c r="E2496">
        <v>50</v>
      </c>
      <c r="F2496">
        <v>45.546997070000003</v>
      </c>
      <c r="G2496">
        <v>1450.6790771000001</v>
      </c>
      <c r="H2496">
        <v>1419.0025635</v>
      </c>
      <c r="I2496">
        <v>1208.8023682</v>
      </c>
      <c r="J2496">
        <v>1158.4655762</v>
      </c>
      <c r="K2496">
        <v>2400</v>
      </c>
      <c r="L2496">
        <v>0</v>
      </c>
      <c r="M2496">
        <v>0</v>
      </c>
      <c r="N2496">
        <v>2400</v>
      </c>
    </row>
    <row r="2497" spans="1:14" x14ac:dyDescent="0.25">
      <c r="A2497">
        <v>1538.7343450000001</v>
      </c>
      <c r="B2497" s="1">
        <f>DATE(2014,7,17) + TIME(17,37,27)</f>
        <v>41837.734340277777</v>
      </c>
      <c r="C2497">
        <v>80</v>
      </c>
      <c r="D2497">
        <v>79.982788085999999</v>
      </c>
      <c r="E2497">
        <v>50</v>
      </c>
      <c r="F2497">
        <v>45.462253570999998</v>
      </c>
      <c r="G2497">
        <v>1450.5273437999999</v>
      </c>
      <c r="H2497">
        <v>1418.8519286999999</v>
      </c>
      <c r="I2497">
        <v>1208.6016846</v>
      </c>
      <c r="J2497">
        <v>1158.1965332</v>
      </c>
      <c r="K2497">
        <v>2400</v>
      </c>
      <c r="L2497">
        <v>0</v>
      </c>
      <c r="M2497">
        <v>0</v>
      </c>
      <c r="N2497">
        <v>2400</v>
      </c>
    </row>
    <row r="2498" spans="1:14" x14ac:dyDescent="0.25">
      <c r="A2498">
        <v>1540.131748</v>
      </c>
      <c r="B2498" s="1">
        <f>DATE(2014,7,19) + TIME(3,9,43)</f>
        <v>41839.131747685184</v>
      </c>
      <c r="C2498">
        <v>80</v>
      </c>
      <c r="D2498">
        <v>79.982803344999994</v>
      </c>
      <c r="E2498">
        <v>50</v>
      </c>
      <c r="F2498">
        <v>45.375648499</v>
      </c>
      <c r="G2498">
        <v>1450.3760986</v>
      </c>
      <c r="H2498">
        <v>1418.7016602000001</v>
      </c>
      <c r="I2498">
        <v>1208.3957519999999</v>
      </c>
      <c r="J2498">
        <v>1157.9197998</v>
      </c>
      <c r="K2498">
        <v>2400</v>
      </c>
      <c r="L2498">
        <v>0</v>
      </c>
      <c r="M2498">
        <v>0</v>
      </c>
      <c r="N2498">
        <v>2400</v>
      </c>
    </row>
    <row r="2499" spans="1:14" x14ac:dyDescent="0.25">
      <c r="A2499">
        <v>1541.540749</v>
      </c>
      <c r="B2499" s="1">
        <f>DATE(2014,7,20) + TIME(12,58,40)</f>
        <v>41840.54074074074</v>
      </c>
      <c r="C2499">
        <v>80</v>
      </c>
      <c r="D2499">
        <v>79.982818604000002</v>
      </c>
      <c r="E2499">
        <v>50</v>
      </c>
      <c r="F2499">
        <v>45.287429809999999</v>
      </c>
      <c r="G2499">
        <v>1450.2260742000001</v>
      </c>
      <c r="H2499">
        <v>1418.5526123</v>
      </c>
      <c r="I2499">
        <v>1208.1857910000001</v>
      </c>
      <c r="J2499">
        <v>1157.6363524999999</v>
      </c>
      <c r="K2499">
        <v>2400</v>
      </c>
      <c r="L2499">
        <v>0</v>
      </c>
      <c r="M2499">
        <v>0</v>
      </c>
      <c r="N2499">
        <v>2400</v>
      </c>
    </row>
    <row r="2500" spans="1:14" x14ac:dyDescent="0.25">
      <c r="A2500">
        <v>1542.964289</v>
      </c>
      <c r="B2500" s="1">
        <f>DATE(2014,7,21) + TIME(23,8,34)</f>
        <v>41841.964282407411</v>
      </c>
      <c r="C2500">
        <v>80</v>
      </c>
      <c r="D2500">
        <v>79.982841492000006</v>
      </c>
      <c r="E2500">
        <v>50</v>
      </c>
      <c r="F2500">
        <v>45.197410583</v>
      </c>
      <c r="G2500">
        <v>1450.0766602000001</v>
      </c>
      <c r="H2500">
        <v>1418.4041748</v>
      </c>
      <c r="I2500">
        <v>1207.9709473</v>
      </c>
      <c r="J2500">
        <v>1157.3454589999999</v>
      </c>
      <c r="K2500">
        <v>2400</v>
      </c>
      <c r="L2500">
        <v>0</v>
      </c>
      <c r="M2500">
        <v>0</v>
      </c>
      <c r="N2500">
        <v>2400</v>
      </c>
    </row>
    <row r="2501" spans="1:14" x14ac:dyDescent="0.25">
      <c r="A2501">
        <v>1544.408263</v>
      </c>
      <c r="B2501" s="1">
        <f>DATE(2014,7,23) + TIME(9,47,53)</f>
        <v>41843.408252314817</v>
      </c>
      <c r="C2501">
        <v>80</v>
      </c>
      <c r="D2501">
        <v>79.982856749999996</v>
      </c>
      <c r="E2501">
        <v>50</v>
      </c>
      <c r="F2501">
        <v>45.105297088999997</v>
      </c>
      <c r="G2501">
        <v>1449.9278564000001</v>
      </c>
      <c r="H2501">
        <v>1418.2562256000001</v>
      </c>
      <c r="I2501">
        <v>1207.7507324000001</v>
      </c>
      <c r="J2501">
        <v>1157.0462646000001</v>
      </c>
      <c r="K2501">
        <v>2400</v>
      </c>
      <c r="L2501">
        <v>0</v>
      </c>
      <c r="M2501">
        <v>0</v>
      </c>
      <c r="N2501">
        <v>2400</v>
      </c>
    </row>
    <row r="2502" spans="1:14" x14ac:dyDescent="0.25">
      <c r="A2502">
        <v>1545.8790300000001</v>
      </c>
      <c r="B2502" s="1">
        <f>DATE(2014,7,24) + TIME(21,5,48)</f>
        <v>41844.879027777781</v>
      </c>
      <c r="C2502">
        <v>80</v>
      </c>
      <c r="D2502">
        <v>79.982879639000004</v>
      </c>
      <c r="E2502">
        <v>50</v>
      </c>
      <c r="F2502">
        <v>45.010662078999999</v>
      </c>
      <c r="G2502">
        <v>1449.7788086</v>
      </c>
      <c r="H2502">
        <v>1418.1080322</v>
      </c>
      <c r="I2502">
        <v>1207.5239257999999</v>
      </c>
      <c r="J2502">
        <v>1156.7370605000001</v>
      </c>
      <c r="K2502">
        <v>2400</v>
      </c>
      <c r="L2502">
        <v>0</v>
      </c>
      <c r="M2502">
        <v>0</v>
      </c>
      <c r="N2502">
        <v>2400</v>
      </c>
    </row>
    <row r="2503" spans="1:14" x14ac:dyDescent="0.25">
      <c r="A2503">
        <v>1547.3688259999999</v>
      </c>
      <c r="B2503" s="1">
        <f>DATE(2014,7,26) + TIME(8,51,6)</f>
        <v>41846.368819444448</v>
      </c>
      <c r="C2503">
        <v>80</v>
      </c>
      <c r="D2503">
        <v>79.982894896999994</v>
      </c>
      <c r="E2503">
        <v>50</v>
      </c>
      <c r="F2503">
        <v>44.913166046000001</v>
      </c>
      <c r="G2503">
        <v>1449.6289062000001</v>
      </c>
      <c r="H2503">
        <v>1417.9591064000001</v>
      </c>
      <c r="I2503">
        <v>1207.2895507999999</v>
      </c>
      <c r="J2503">
        <v>1156.416626</v>
      </c>
      <c r="K2503">
        <v>2400</v>
      </c>
      <c r="L2503">
        <v>0</v>
      </c>
      <c r="M2503">
        <v>0</v>
      </c>
      <c r="N2503">
        <v>2400</v>
      </c>
    </row>
    <row r="2504" spans="1:14" x14ac:dyDescent="0.25">
      <c r="A2504">
        <v>1548.8624709999999</v>
      </c>
      <c r="B2504" s="1">
        <f>DATE(2014,7,27) + TIME(20,41,57)</f>
        <v>41847.86246527778</v>
      </c>
      <c r="C2504">
        <v>80</v>
      </c>
      <c r="D2504">
        <v>79.982910156000003</v>
      </c>
      <c r="E2504">
        <v>50</v>
      </c>
      <c r="F2504">
        <v>44.813179015999999</v>
      </c>
      <c r="G2504">
        <v>1449.479126</v>
      </c>
      <c r="H2504">
        <v>1417.8101807</v>
      </c>
      <c r="I2504">
        <v>1207.0484618999999</v>
      </c>
      <c r="J2504">
        <v>1156.0859375</v>
      </c>
      <c r="K2504">
        <v>2400</v>
      </c>
      <c r="L2504">
        <v>0</v>
      </c>
      <c r="M2504">
        <v>0</v>
      </c>
      <c r="N2504">
        <v>2400</v>
      </c>
    </row>
    <row r="2505" spans="1:14" x14ac:dyDescent="0.25">
      <c r="A2505">
        <v>1550.366098</v>
      </c>
      <c r="B2505" s="1">
        <f>DATE(2014,7,29) + TIME(8,47,10)</f>
        <v>41849.366087962961</v>
      </c>
      <c r="C2505">
        <v>80</v>
      </c>
      <c r="D2505">
        <v>79.982933044000006</v>
      </c>
      <c r="E2505">
        <v>50</v>
      </c>
      <c r="F2505">
        <v>44.711273192999997</v>
      </c>
      <c r="G2505">
        <v>1449.3309326000001</v>
      </c>
      <c r="H2505">
        <v>1417.6627197</v>
      </c>
      <c r="I2505">
        <v>1206.8029785000001</v>
      </c>
      <c r="J2505">
        <v>1155.7479248</v>
      </c>
      <c r="K2505">
        <v>2400</v>
      </c>
      <c r="L2505">
        <v>0</v>
      </c>
      <c r="M2505">
        <v>0</v>
      </c>
      <c r="N2505">
        <v>2400</v>
      </c>
    </row>
    <row r="2506" spans="1:14" x14ac:dyDescent="0.25">
      <c r="A2506">
        <v>1551.886761</v>
      </c>
      <c r="B2506" s="1">
        <f>DATE(2014,7,30) + TIME(21,16,56)</f>
        <v>41850.886759259258</v>
      </c>
      <c r="C2506">
        <v>80</v>
      </c>
      <c r="D2506">
        <v>79.982948303000001</v>
      </c>
      <c r="E2506">
        <v>50</v>
      </c>
      <c r="F2506">
        <v>44.607151031000001</v>
      </c>
      <c r="G2506">
        <v>1449.1835937999999</v>
      </c>
      <c r="H2506">
        <v>1417.5162353999999</v>
      </c>
      <c r="I2506">
        <v>1206.552124</v>
      </c>
      <c r="J2506">
        <v>1155.4011230000001</v>
      </c>
      <c r="K2506">
        <v>2400</v>
      </c>
      <c r="L2506">
        <v>0</v>
      </c>
      <c r="M2506">
        <v>0</v>
      </c>
      <c r="N2506">
        <v>2400</v>
      </c>
    </row>
    <row r="2507" spans="1:14" x14ac:dyDescent="0.25">
      <c r="A2507">
        <v>1553</v>
      </c>
      <c r="B2507" s="1">
        <f>DATE(2014,8,1) + TIME(0,0,0)</f>
        <v>41852</v>
      </c>
      <c r="C2507">
        <v>80</v>
      </c>
      <c r="D2507">
        <v>79.982963561999995</v>
      </c>
      <c r="E2507">
        <v>50</v>
      </c>
      <c r="F2507">
        <v>44.507373809999997</v>
      </c>
      <c r="G2507">
        <v>1449.0368652</v>
      </c>
      <c r="H2507">
        <v>1417.3702393000001</v>
      </c>
      <c r="I2507">
        <v>1206.2946777</v>
      </c>
      <c r="J2507">
        <v>1155.050293</v>
      </c>
      <c r="K2507">
        <v>2400</v>
      </c>
      <c r="L2507">
        <v>0</v>
      </c>
      <c r="M2507">
        <v>0</v>
      </c>
      <c r="N2507">
        <v>2400</v>
      </c>
    </row>
    <row r="2508" spans="1:14" x14ac:dyDescent="0.25">
      <c r="A2508">
        <v>1554.5441020000001</v>
      </c>
      <c r="B2508" s="1">
        <f>DATE(2014,8,2) + TIME(13,3,30)</f>
        <v>41853.54409722222</v>
      </c>
      <c r="C2508">
        <v>80</v>
      </c>
      <c r="D2508">
        <v>79.982986449999999</v>
      </c>
      <c r="E2508">
        <v>50</v>
      </c>
      <c r="F2508">
        <v>44.416976929</v>
      </c>
      <c r="G2508">
        <v>1448.9295654</v>
      </c>
      <c r="H2508">
        <v>1417.2634277</v>
      </c>
      <c r="I2508">
        <v>1206.1025391000001</v>
      </c>
      <c r="J2508">
        <v>1154.7728271000001</v>
      </c>
      <c r="K2508">
        <v>2400</v>
      </c>
      <c r="L2508">
        <v>0</v>
      </c>
      <c r="M2508">
        <v>0</v>
      </c>
      <c r="N2508">
        <v>2400</v>
      </c>
    </row>
    <row r="2509" spans="1:14" x14ac:dyDescent="0.25">
      <c r="A2509">
        <v>1556.1306010000001</v>
      </c>
      <c r="B2509" s="1">
        <f>DATE(2014,8,4) + TIME(3,8,3)</f>
        <v>41855.130590277775</v>
      </c>
      <c r="C2509">
        <v>80</v>
      </c>
      <c r="D2509">
        <v>79.983001709000007</v>
      </c>
      <c r="E2509">
        <v>50</v>
      </c>
      <c r="F2509">
        <v>44.308769226000003</v>
      </c>
      <c r="G2509">
        <v>1448.7839355000001</v>
      </c>
      <c r="H2509">
        <v>1417.1185303</v>
      </c>
      <c r="I2509">
        <v>1205.8347168</v>
      </c>
      <c r="J2509">
        <v>1154.4018555</v>
      </c>
      <c r="K2509">
        <v>2400</v>
      </c>
      <c r="L2509">
        <v>0</v>
      </c>
      <c r="M2509">
        <v>0</v>
      </c>
      <c r="N2509">
        <v>2400</v>
      </c>
    </row>
    <row r="2510" spans="1:14" x14ac:dyDescent="0.25">
      <c r="A2510">
        <v>1557.720994</v>
      </c>
      <c r="B2510" s="1">
        <f>DATE(2014,8,5) + TIME(17,18,13)</f>
        <v>41856.720983796295</v>
      </c>
      <c r="C2510">
        <v>80</v>
      </c>
      <c r="D2510">
        <v>79.983024596999996</v>
      </c>
      <c r="E2510">
        <v>50</v>
      </c>
      <c r="F2510">
        <v>44.193801880000002</v>
      </c>
      <c r="G2510">
        <v>1448.6357422000001</v>
      </c>
      <c r="H2510">
        <v>1416.9709473</v>
      </c>
      <c r="I2510">
        <v>1205.5549315999999</v>
      </c>
      <c r="J2510">
        <v>1154.0109863</v>
      </c>
      <c r="K2510">
        <v>2400</v>
      </c>
      <c r="L2510">
        <v>0</v>
      </c>
      <c r="M2510">
        <v>0</v>
      </c>
      <c r="N2510">
        <v>2400</v>
      </c>
    </row>
    <row r="2511" spans="1:14" x14ac:dyDescent="0.25">
      <c r="A2511">
        <v>1559.3219779999999</v>
      </c>
      <c r="B2511" s="1">
        <f>DATE(2014,8,7) + TIME(7,43,38)</f>
        <v>41858.321967592594</v>
      </c>
      <c r="C2511">
        <v>80</v>
      </c>
      <c r="D2511">
        <v>79.983039856000005</v>
      </c>
      <c r="E2511">
        <v>50</v>
      </c>
      <c r="F2511">
        <v>44.075817108000003</v>
      </c>
      <c r="G2511">
        <v>1448.4890137</v>
      </c>
      <c r="H2511">
        <v>1416.8249512</v>
      </c>
      <c r="I2511">
        <v>1205.2701416</v>
      </c>
      <c r="J2511">
        <v>1153.6105957</v>
      </c>
      <c r="K2511">
        <v>2400</v>
      </c>
      <c r="L2511">
        <v>0</v>
      </c>
      <c r="M2511">
        <v>0</v>
      </c>
      <c r="N2511">
        <v>2400</v>
      </c>
    </row>
    <row r="2512" spans="1:14" x14ac:dyDescent="0.25">
      <c r="A2512">
        <v>1560.9404930000001</v>
      </c>
      <c r="B2512" s="1">
        <f>DATE(2014,8,8) + TIME(22,34,18)</f>
        <v>41859.940486111111</v>
      </c>
      <c r="C2512">
        <v>80</v>
      </c>
      <c r="D2512">
        <v>79.983062743999994</v>
      </c>
      <c r="E2512">
        <v>50</v>
      </c>
      <c r="F2512">
        <v>43.955017089999998</v>
      </c>
      <c r="G2512">
        <v>1448.3431396000001</v>
      </c>
      <c r="H2512">
        <v>1416.6796875</v>
      </c>
      <c r="I2512">
        <v>1204.979126</v>
      </c>
      <c r="J2512">
        <v>1153.1998291</v>
      </c>
      <c r="K2512">
        <v>2400</v>
      </c>
      <c r="L2512">
        <v>0</v>
      </c>
      <c r="M2512">
        <v>0</v>
      </c>
      <c r="N2512">
        <v>2400</v>
      </c>
    </row>
    <row r="2513" spans="1:14" x14ac:dyDescent="0.25">
      <c r="A2513">
        <v>1562.5782799999999</v>
      </c>
      <c r="B2513" s="1">
        <f>DATE(2014,8,10) + TIME(13,52,43)</f>
        <v>41861.578275462962</v>
      </c>
      <c r="C2513">
        <v>80</v>
      </c>
      <c r="D2513">
        <v>79.983078003000003</v>
      </c>
      <c r="E2513">
        <v>50</v>
      </c>
      <c r="F2513">
        <v>43.831054688000002</v>
      </c>
      <c r="G2513">
        <v>1448.1975098</v>
      </c>
      <c r="H2513">
        <v>1416.5347899999999</v>
      </c>
      <c r="I2513">
        <v>1204.6806641000001</v>
      </c>
      <c r="J2513">
        <v>1152.7768555</v>
      </c>
      <c r="K2513">
        <v>2400</v>
      </c>
      <c r="L2513">
        <v>0</v>
      </c>
      <c r="M2513">
        <v>0</v>
      </c>
      <c r="N2513">
        <v>2400</v>
      </c>
    </row>
    <row r="2514" spans="1:14" x14ac:dyDescent="0.25">
      <c r="A2514">
        <v>1564.239274</v>
      </c>
      <c r="B2514" s="1">
        <f>DATE(2014,8,12) + TIME(5,44,33)</f>
        <v>41863.239270833335</v>
      </c>
      <c r="C2514">
        <v>80</v>
      </c>
      <c r="D2514">
        <v>79.983100891000007</v>
      </c>
      <c r="E2514">
        <v>50</v>
      </c>
      <c r="F2514">
        <v>43.703647613999998</v>
      </c>
      <c r="G2514">
        <v>1448.0520019999999</v>
      </c>
      <c r="H2514">
        <v>1416.3897704999999</v>
      </c>
      <c r="I2514">
        <v>1204.3742675999999</v>
      </c>
      <c r="J2514">
        <v>1152.3411865</v>
      </c>
      <c r="K2514">
        <v>2400</v>
      </c>
      <c r="L2514">
        <v>0</v>
      </c>
      <c r="M2514">
        <v>0</v>
      </c>
      <c r="N2514">
        <v>2400</v>
      </c>
    </row>
    <row r="2515" spans="1:14" x14ac:dyDescent="0.25">
      <c r="A2515">
        <v>1565.9279039999999</v>
      </c>
      <c r="B2515" s="1">
        <f>DATE(2014,8,13) + TIME(22,16,10)</f>
        <v>41864.927893518521</v>
      </c>
      <c r="C2515">
        <v>80</v>
      </c>
      <c r="D2515">
        <v>79.983116150000001</v>
      </c>
      <c r="E2515">
        <v>50</v>
      </c>
      <c r="F2515">
        <v>43.572448729999998</v>
      </c>
      <c r="G2515">
        <v>1447.90625</v>
      </c>
      <c r="H2515">
        <v>1416.2446289</v>
      </c>
      <c r="I2515">
        <v>1204.0592041</v>
      </c>
      <c r="J2515">
        <v>1151.8913574000001</v>
      </c>
      <c r="K2515">
        <v>2400</v>
      </c>
      <c r="L2515">
        <v>0</v>
      </c>
      <c r="M2515">
        <v>0</v>
      </c>
      <c r="N2515">
        <v>2400</v>
      </c>
    </row>
    <row r="2516" spans="1:14" x14ac:dyDescent="0.25">
      <c r="A2516">
        <v>1567.621674</v>
      </c>
      <c r="B2516" s="1">
        <f>DATE(2014,8,15) + TIME(14,55,12)</f>
        <v>41866.621666666666</v>
      </c>
      <c r="C2516">
        <v>80</v>
      </c>
      <c r="D2516">
        <v>79.983139038000004</v>
      </c>
      <c r="E2516">
        <v>50</v>
      </c>
      <c r="F2516">
        <v>43.437400818</v>
      </c>
      <c r="G2516">
        <v>1447.7598877</v>
      </c>
      <c r="H2516">
        <v>1416.0987548999999</v>
      </c>
      <c r="I2516">
        <v>1203.7342529</v>
      </c>
      <c r="J2516">
        <v>1151.4261475000001</v>
      </c>
      <c r="K2516">
        <v>2400</v>
      </c>
      <c r="L2516">
        <v>0</v>
      </c>
      <c r="M2516">
        <v>0</v>
      </c>
      <c r="N2516">
        <v>2400</v>
      </c>
    </row>
    <row r="2517" spans="1:14" x14ac:dyDescent="0.25">
      <c r="A2517">
        <v>1569.3290139999999</v>
      </c>
      <c r="B2517" s="1">
        <f>DATE(2014,8,17) + TIME(7,53,46)</f>
        <v>41868.329004629632</v>
      </c>
      <c r="C2517">
        <v>80</v>
      </c>
      <c r="D2517">
        <v>79.983161925999994</v>
      </c>
      <c r="E2517">
        <v>50</v>
      </c>
      <c r="F2517">
        <v>43.299507140999999</v>
      </c>
      <c r="G2517">
        <v>1447.6147461</v>
      </c>
      <c r="H2517">
        <v>1415.9543457</v>
      </c>
      <c r="I2517">
        <v>1203.4039307</v>
      </c>
      <c r="J2517">
        <v>1150.9509277</v>
      </c>
      <c r="K2517">
        <v>2400</v>
      </c>
      <c r="L2517">
        <v>0</v>
      </c>
      <c r="M2517">
        <v>0</v>
      </c>
      <c r="N2517">
        <v>2400</v>
      </c>
    </row>
    <row r="2518" spans="1:14" x14ac:dyDescent="0.25">
      <c r="A2518">
        <v>1571.051502</v>
      </c>
      <c r="B2518" s="1">
        <f>DATE(2014,8,19) + TIME(1,14,9)</f>
        <v>41870.051493055558</v>
      </c>
      <c r="C2518">
        <v>80</v>
      </c>
      <c r="D2518">
        <v>79.983177185000002</v>
      </c>
      <c r="E2518">
        <v>50</v>
      </c>
      <c r="F2518">
        <v>43.158466339</v>
      </c>
      <c r="G2518">
        <v>1447.4703368999999</v>
      </c>
      <c r="H2518">
        <v>1415.8104248</v>
      </c>
      <c r="I2518">
        <v>1203.0664062000001</v>
      </c>
      <c r="J2518">
        <v>1150.4637451000001</v>
      </c>
      <c r="K2518">
        <v>2400</v>
      </c>
      <c r="L2518">
        <v>0</v>
      </c>
      <c r="M2518">
        <v>0</v>
      </c>
      <c r="N2518">
        <v>2400</v>
      </c>
    </row>
    <row r="2519" spans="1:14" x14ac:dyDescent="0.25">
      <c r="A2519">
        <v>1572.793682</v>
      </c>
      <c r="B2519" s="1">
        <f>DATE(2014,8,20) + TIME(19,2,54)</f>
        <v>41871.793680555558</v>
      </c>
      <c r="C2519">
        <v>80</v>
      </c>
      <c r="D2519">
        <v>79.983200073000006</v>
      </c>
      <c r="E2519">
        <v>50</v>
      </c>
      <c r="F2519">
        <v>43.014034271</v>
      </c>
      <c r="G2519">
        <v>1447.3264160000001</v>
      </c>
      <c r="H2519">
        <v>1415.6668701000001</v>
      </c>
      <c r="I2519">
        <v>1202.7215576000001</v>
      </c>
      <c r="J2519">
        <v>1149.9641113</v>
      </c>
      <c r="K2519">
        <v>2400</v>
      </c>
      <c r="L2519">
        <v>0</v>
      </c>
      <c r="M2519">
        <v>0</v>
      </c>
      <c r="N2519">
        <v>2400</v>
      </c>
    </row>
    <row r="2520" spans="1:14" x14ac:dyDescent="0.25">
      <c r="A2520">
        <v>1574.563465</v>
      </c>
      <c r="B2520" s="1">
        <f>DATE(2014,8,22) + TIME(13,31,23)</f>
        <v>41873.563460648147</v>
      </c>
      <c r="C2520">
        <v>80</v>
      </c>
      <c r="D2520">
        <v>79.983222960999996</v>
      </c>
      <c r="E2520">
        <v>50</v>
      </c>
      <c r="F2520">
        <v>42.865806579999997</v>
      </c>
      <c r="G2520">
        <v>1447.1824951000001</v>
      </c>
      <c r="H2520">
        <v>1415.5235596</v>
      </c>
      <c r="I2520">
        <v>1202.3685303</v>
      </c>
      <c r="J2520">
        <v>1149.4503173999999</v>
      </c>
      <c r="K2520">
        <v>2400</v>
      </c>
      <c r="L2520">
        <v>0</v>
      </c>
      <c r="M2520">
        <v>0</v>
      </c>
      <c r="N2520">
        <v>2400</v>
      </c>
    </row>
    <row r="2521" spans="1:14" x14ac:dyDescent="0.25">
      <c r="A2521">
        <v>1576.3599300000001</v>
      </c>
      <c r="B2521" s="1">
        <f>DATE(2014,8,24) + TIME(8,38,17)</f>
        <v>41875.359918981485</v>
      </c>
      <c r="C2521">
        <v>80</v>
      </c>
      <c r="D2521">
        <v>79.983238220000004</v>
      </c>
      <c r="E2521">
        <v>50</v>
      </c>
      <c r="F2521">
        <v>42.713218689000001</v>
      </c>
      <c r="G2521">
        <v>1447.0379639</v>
      </c>
      <c r="H2521">
        <v>1415.3795166</v>
      </c>
      <c r="I2521">
        <v>1202.0054932</v>
      </c>
      <c r="J2521">
        <v>1148.9204102000001</v>
      </c>
      <c r="K2521">
        <v>2400</v>
      </c>
      <c r="L2521">
        <v>0</v>
      </c>
      <c r="M2521">
        <v>0</v>
      </c>
      <c r="N2521">
        <v>2400</v>
      </c>
    </row>
    <row r="2522" spans="1:14" x14ac:dyDescent="0.25">
      <c r="A2522">
        <v>1578.163245</v>
      </c>
      <c r="B2522" s="1">
        <f>DATE(2014,8,26) + TIME(3,55,4)</f>
        <v>41877.163240740738</v>
      </c>
      <c r="C2522">
        <v>80</v>
      </c>
      <c r="D2522">
        <v>79.983261107999994</v>
      </c>
      <c r="E2522">
        <v>50</v>
      </c>
      <c r="F2522">
        <v>42.556438446000001</v>
      </c>
      <c r="G2522">
        <v>1446.8931885</v>
      </c>
      <c r="H2522">
        <v>1415.2351074000001</v>
      </c>
      <c r="I2522">
        <v>1201.6326904</v>
      </c>
      <c r="J2522">
        <v>1148.3745117000001</v>
      </c>
      <c r="K2522">
        <v>2400</v>
      </c>
      <c r="L2522">
        <v>0</v>
      </c>
      <c r="M2522">
        <v>0</v>
      </c>
      <c r="N2522">
        <v>2400</v>
      </c>
    </row>
    <row r="2523" spans="1:14" x14ac:dyDescent="0.25">
      <c r="A2523">
        <v>1579.977556</v>
      </c>
      <c r="B2523" s="1">
        <f>DATE(2014,8,27) + TIME(23,27,40)</f>
        <v>41878.977546296293</v>
      </c>
      <c r="C2523">
        <v>80</v>
      </c>
      <c r="D2523">
        <v>79.983283997000001</v>
      </c>
      <c r="E2523">
        <v>50</v>
      </c>
      <c r="F2523">
        <v>42.396614075000002</v>
      </c>
      <c r="G2523">
        <v>1446.7493896000001</v>
      </c>
      <c r="H2523">
        <v>1415.0917969</v>
      </c>
      <c r="I2523">
        <v>1201.2542725000001</v>
      </c>
      <c r="J2523">
        <v>1147.8179932</v>
      </c>
      <c r="K2523">
        <v>2400</v>
      </c>
      <c r="L2523">
        <v>0</v>
      </c>
      <c r="M2523">
        <v>0</v>
      </c>
      <c r="N2523">
        <v>2400</v>
      </c>
    </row>
    <row r="2524" spans="1:14" x14ac:dyDescent="0.25">
      <c r="A2524">
        <v>1581.808679</v>
      </c>
      <c r="B2524" s="1">
        <f>DATE(2014,8,29) + TIME(19,24,29)</f>
        <v>41880.808668981481</v>
      </c>
      <c r="C2524">
        <v>80</v>
      </c>
      <c r="D2524">
        <v>79.983299255000006</v>
      </c>
      <c r="E2524">
        <v>50</v>
      </c>
      <c r="F2524">
        <v>42.233623504999997</v>
      </c>
      <c r="G2524">
        <v>1446.6064452999999</v>
      </c>
      <c r="H2524">
        <v>1414.9493408000001</v>
      </c>
      <c r="I2524">
        <v>1200.8696289</v>
      </c>
      <c r="J2524">
        <v>1147.25</v>
      </c>
      <c r="K2524">
        <v>2400</v>
      </c>
      <c r="L2524">
        <v>0</v>
      </c>
      <c r="M2524">
        <v>0</v>
      </c>
      <c r="N2524">
        <v>2400</v>
      </c>
    </row>
    <row r="2525" spans="1:14" x14ac:dyDescent="0.25">
      <c r="A2525">
        <v>1583.6638760000001</v>
      </c>
      <c r="B2525" s="1">
        <f>DATE(2014,8,31) + TIME(15,55,58)</f>
        <v>41882.663865740738</v>
      </c>
      <c r="C2525">
        <v>80</v>
      </c>
      <c r="D2525">
        <v>79.983322143999999</v>
      </c>
      <c r="E2525">
        <v>50</v>
      </c>
      <c r="F2525">
        <v>42.067016602000002</v>
      </c>
      <c r="G2525">
        <v>1446.4637451000001</v>
      </c>
      <c r="H2525">
        <v>1414.8071289</v>
      </c>
      <c r="I2525">
        <v>1200.4776611</v>
      </c>
      <c r="J2525">
        <v>1146.6689452999999</v>
      </c>
      <c r="K2525">
        <v>2400</v>
      </c>
      <c r="L2525">
        <v>0</v>
      </c>
      <c r="M2525">
        <v>0</v>
      </c>
      <c r="N2525">
        <v>2400</v>
      </c>
    </row>
    <row r="2526" spans="1:14" x14ac:dyDescent="0.25">
      <c r="A2526">
        <v>1584</v>
      </c>
      <c r="B2526" s="1">
        <f>DATE(2014,9,1) + TIME(0,0,0)</f>
        <v>41883</v>
      </c>
      <c r="C2526">
        <v>80</v>
      </c>
      <c r="D2526">
        <v>79.983322143999999</v>
      </c>
      <c r="E2526">
        <v>50</v>
      </c>
      <c r="F2526">
        <v>41.967193604000002</v>
      </c>
      <c r="G2526">
        <v>1446.3267822</v>
      </c>
      <c r="H2526">
        <v>1414.6704102000001</v>
      </c>
      <c r="I2526">
        <v>1200.0839844</v>
      </c>
      <c r="J2526">
        <v>1146.1546631000001</v>
      </c>
      <c r="K2526">
        <v>2400</v>
      </c>
      <c r="L2526">
        <v>0</v>
      </c>
      <c r="M2526">
        <v>0</v>
      </c>
      <c r="N2526">
        <v>2400</v>
      </c>
    </row>
    <row r="2527" spans="1:14" x14ac:dyDescent="0.25">
      <c r="A2527">
        <v>1585.880836</v>
      </c>
      <c r="B2527" s="1">
        <f>DATE(2014,9,2) + TIME(21,8,24)</f>
        <v>41884.880833333336</v>
      </c>
      <c r="C2527">
        <v>80</v>
      </c>
      <c r="D2527">
        <v>79.983352660999998</v>
      </c>
      <c r="E2527">
        <v>50</v>
      </c>
      <c r="F2527">
        <v>41.854232787999997</v>
      </c>
      <c r="G2527">
        <v>1446.2940673999999</v>
      </c>
      <c r="H2527">
        <v>1414.6378173999999</v>
      </c>
      <c r="I2527">
        <v>1200.0010986</v>
      </c>
      <c r="J2527">
        <v>1145.9484863</v>
      </c>
      <c r="K2527">
        <v>2400</v>
      </c>
      <c r="L2527">
        <v>0</v>
      </c>
      <c r="M2527">
        <v>0</v>
      </c>
      <c r="N2527">
        <v>2400</v>
      </c>
    </row>
    <row r="2528" spans="1:14" x14ac:dyDescent="0.25">
      <c r="A2528">
        <v>1587.7929959999999</v>
      </c>
      <c r="B2528" s="1">
        <f>DATE(2014,9,4) + TIME(19,1,54)</f>
        <v>41886.792986111112</v>
      </c>
      <c r="C2528">
        <v>80</v>
      </c>
      <c r="D2528">
        <v>79.983367920000006</v>
      </c>
      <c r="E2528">
        <v>50</v>
      </c>
      <c r="F2528">
        <v>41.687805175999998</v>
      </c>
      <c r="G2528">
        <v>1446.1522216999999</v>
      </c>
      <c r="H2528">
        <v>1414.4964600000001</v>
      </c>
      <c r="I2528">
        <v>1199.5930175999999</v>
      </c>
      <c r="J2528">
        <v>1145.3486327999999</v>
      </c>
      <c r="K2528">
        <v>2400</v>
      </c>
      <c r="L2528">
        <v>0</v>
      </c>
      <c r="M2528">
        <v>0</v>
      </c>
      <c r="N2528">
        <v>2400</v>
      </c>
    </row>
    <row r="2529" spans="1:14" x14ac:dyDescent="0.25">
      <c r="A2529">
        <v>1589.7143590000001</v>
      </c>
      <c r="B2529" s="1">
        <f>DATE(2014,9,6) + TIME(17,8,40)</f>
        <v>41888.71435185185</v>
      </c>
      <c r="C2529">
        <v>80</v>
      </c>
      <c r="D2529">
        <v>79.983390807999996</v>
      </c>
      <c r="E2529">
        <v>50</v>
      </c>
      <c r="F2529">
        <v>41.509227752999998</v>
      </c>
      <c r="G2529">
        <v>1446.0086670000001</v>
      </c>
      <c r="H2529">
        <v>1414.3531493999999</v>
      </c>
      <c r="I2529">
        <v>1199.1729736</v>
      </c>
      <c r="J2529">
        <v>1144.7205810999999</v>
      </c>
      <c r="K2529">
        <v>2400</v>
      </c>
      <c r="L2529">
        <v>0</v>
      </c>
      <c r="M2529">
        <v>0</v>
      </c>
      <c r="N2529">
        <v>2400</v>
      </c>
    </row>
    <row r="2530" spans="1:14" x14ac:dyDescent="0.25">
      <c r="A2530">
        <v>1591.645166</v>
      </c>
      <c r="B2530" s="1">
        <f>DATE(2014,9,8) + TIME(15,29,2)</f>
        <v>41890.645162037035</v>
      </c>
      <c r="C2530">
        <v>80</v>
      </c>
      <c r="D2530">
        <v>79.983413696</v>
      </c>
      <c r="E2530">
        <v>50</v>
      </c>
      <c r="F2530">
        <v>41.326580047999997</v>
      </c>
      <c r="G2530">
        <v>1445.8658447</v>
      </c>
      <c r="H2530">
        <v>1414.2106934000001</v>
      </c>
      <c r="I2530">
        <v>1198.7476807</v>
      </c>
      <c r="J2530">
        <v>1144.0810547000001</v>
      </c>
      <c r="K2530">
        <v>2400</v>
      </c>
      <c r="L2530">
        <v>0</v>
      </c>
      <c r="M2530">
        <v>0</v>
      </c>
      <c r="N2530">
        <v>2400</v>
      </c>
    </row>
    <row r="2531" spans="1:14" x14ac:dyDescent="0.25">
      <c r="A2531">
        <v>1593.5987210000001</v>
      </c>
      <c r="B2531" s="1">
        <f>DATE(2014,9,10) + TIME(14,22,9)</f>
        <v>41892.598715277774</v>
      </c>
      <c r="C2531">
        <v>80</v>
      </c>
      <c r="D2531">
        <v>79.983436584000003</v>
      </c>
      <c r="E2531">
        <v>50</v>
      </c>
      <c r="F2531">
        <v>41.140933990000001</v>
      </c>
      <c r="G2531">
        <v>1445.7238769999999</v>
      </c>
      <c r="H2531">
        <v>1414.0692139</v>
      </c>
      <c r="I2531">
        <v>1198.317749</v>
      </c>
      <c r="J2531">
        <v>1143.4316406</v>
      </c>
      <c r="K2531">
        <v>2400</v>
      </c>
      <c r="L2531">
        <v>0</v>
      </c>
      <c r="M2531">
        <v>0</v>
      </c>
      <c r="N2531">
        <v>2400</v>
      </c>
    </row>
    <row r="2532" spans="1:14" x14ac:dyDescent="0.25">
      <c r="A2532">
        <v>1595.5747429999999</v>
      </c>
      <c r="B2532" s="1">
        <f>DATE(2014,9,12) + TIME(13,47,37)</f>
        <v>41894.574733796297</v>
      </c>
      <c r="C2532">
        <v>80</v>
      </c>
      <c r="D2532">
        <v>79.983451842999997</v>
      </c>
      <c r="E2532">
        <v>50</v>
      </c>
      <c r="F2532">
        <v>40.951759338000002</v>
      </c>
      <c r="G2532">
        <v>1445.5819091999999</v>
      </c>
      <c r="H2532">
        <v>1413.9274902</v>
      </c>
      <c r="I2532">
        <v>1197.8804932</v>
      </c>
      <c r="J2532">
        <v>1142.769043</v>
      </c>
      <c r="K2532">
        <v>2400</v>
      </c>
      <c r="L2532">
        <v>0</v>
      </c>
      <c r="M2532">
        <v>0</v>
      </c>
      <c r="N2532">
        <v>2400</v>
      </c>
    </row>
    <row r="2533" spans="1:14" x14ac:dyDescent="0.25">
      <c r="A2533">
        <v>1597.5783280000001</v>
      </c>
      <c r="B2533" s="1">
        <f>DATE(2014,9,14) + TIME(13,52,47)</f>
        <v>41896.578321759262</v>
      </c>
      <c r="C2533">
        <v>80</v>
      </c>
      <c r="D2533">
        <v>79.983474731000001</v>
      </c>
      <c r="E2533">
        <v>50</v>
      </c>
      <c r="F2533">
        <v>40.758960723999998</v>
      </c>
      <c r="G2533">
        <v>1445.4396973</v>
      </c>
      <c r="H2533">
        <v>1413.7856445</v>
      </c>
      <c r="I2533">
        <v>1197.4364014</v>
      </c>
      <c r="J2533">
        <v>1142.0936279</v>
      </c>
      <c r="K2533">
        <v>2400</v>
      </c>
      <c r="L2533">
        <v>0</v>
      </c>
      <c r="M2533">
        <v>0</v>
      </c>
      <c r="N2533">
        <v>2400</v>
      </c>
    </row>
    <row r="2534" spans="1:14" x14ac:dyDescent="0.25">
      <c r="A2534">
        <v>1599.6128639999999</v>
      </c>
      <c r="B2534" s="1">
        <f>DATE(2014,9,16) + TIME(14,42,31)</f>
        <v>41898.612858796296</v>
      </c>
      <c r="C2534">
        <v>80</v>
      </c>
      <c r="D2534">
        <v>79.983497619999994</v>
      </c>
      <c r="E2534">
        <v>50</v>
      </c>
      <c r="F2534">
        <v>40.562328338999997</v>
      </c>
      <c r="G2534">
        <v>1445.2971190999999</v>
      </c>
      <c r="H2534">
        <v>1413.6434326000001</v>
      </c>
      <c r="I2534">
        <v>1196.9847411999999</v>
      </c>
      <c r="J2534">
        <v>1141.4041748</v>
      </c>
      <c r="K2534">
        <v>2400</v>
      </c>
      <c r="L2534">
        <v>0</v>
      </c>
      <c r="M2534">
        <v>0</v>
      </c>
      <c r="N2534">
        <v>2400</v>
      </c>
    </row>
    <row r="2535" spans="1:14" x14ac:dyDescent="0.25">
      <c r="A2535">
        <v>1601.6541580000001</v>
      </c>
      <c r="B2535" s="1">
        <f>DATE(2014,9,18) + TIME(15,41,59)</f>
        <v>41900.65415509259</v>
      </c>
      <c r="C2535">
        <v>80</v>
      </c>
      <c r="D2535">
        <v>79.983520507999998</v>
      </c>
      <c r="E2535">
        <v>50</v>
      </c>
      <c r="F2535">
        <v>40.362014770999998</v>
      </c>
      <c r="G2535">
        <v>1445.1538086</v>
      </c>
      <c r="H2535">
        <v>1413.5003661999999</v>
      </c>
      <c r="I2535">
        <v>1196.5251464999999</v>
      </c>
      <c r="J2535">
        <v>1140.7004394999999</v>
      </c>
      <c r="K2535">
        <v>2400</v>
      </c>
      <c r="L2535">
        <v>0</v>
      </c>
      <c r="M2535">
        <v>0</v>
      </c>
      <c r="N2535">
        <v>2400</v>
      </c>
    </row>
    <row r="2536" spans="1:14" x14ac:dyDescent="0.25">
      <c r="A2536">
        <v>1603.7084970000001</v>
      </c>
      <c r="B2536" s="1">
        <f>DATE(2014,9,20) + TIME(17,0,14)</f>
        <v>41902.708495370367</v>
      </c>
      <c r="C2536">
        <v>80</v>
      </c>
      <c r="D2536">
        <v>79.983543396000002</v>
      </c>
      <c r="E2536">
        <v>50</v>
      </c>
      <c r="F2536">
        <v>40.159908295000001</v>
      </c>
      <c r="G2536">
        <v>1445.0115966999999</v>
      </c>
      <c r="H2536">
        <v>1413.3583983999999</v>
      </c>
      <c r="I2536">
        <v>1196.0635986</v>
      </c>
      <c r="J2536">
        <v>1139.9906006000001</v>
      </c>
      <c r="K2536">
        <v>2400</v>
      </c>
      <c r="L2536">
        <v>0</v>
      </c>
      <c r="M2536">
        <v>0</v>
      </c>
      <c r="N2536">
        <v>2400</v>
      </c>
    </row>
    <row r="2537" spans="1:14" x14ac:dyDescent="0.25">
      <c r="A2537">
        <v>1605.78765</v>
      </c>
      <c r="B2537" s="1">
        <f>DATE(2014,9,22) + TIME(18,54,12)</f>
        <v>41904.787638888891</v>
      </c>
      <c r="C2537">
        <v>80</v>
      </c>
      <c r="D2537">
        <v>79.983566284000005</v>
      </c>
      <c r="E2537">
        <v>50</v>
      </c>
      <c r="F2537">
        <v>39.955913543999998</v>
      </c>
      <c r="G2537">
        <v>1444.869751</v>
      </c>
      <c r="H2537">
        <v>1413.2169189000001</v>
      </c>
      <c r="I2537">
        <v>1195.598999</v>
      </c>
      <c r="J2537">
        <v>1139.2736815999999</v>
      </c>
      <c r="K2537">
        <v>2400</v>
      </c>
      <c r="L2537">
        <v>0</v>
      </c>
      <c r="M2537">
        <v>0</v>
      </c>
      <c r="N2537">
        <v>2400</v>
      </c>
    </row>
    <row r="2538" spans="1:14" x14ac:dyDescent="0.25">
      <c r="A2538">
        <v>1607.8868480000001</v>
      </c>
      <c r="B2538" s="1">
        <f>DATE(2014,9,24) + TIME(21,17,3)</f>
        <v>41906.886840277781</v>
      </c>
      <c r="C2538">
        <v>80</v>
      </c>
      <c r="D2538">
        <v>79.983589171999995</v>
      </c>
      <c r="E2538">
        <v>50</v>
      </c>
      <c r="F2538">
        <v>39.749534607000001</v>
      </c>
      <c r="G2538">
        <v>1444.7277832</v>
      </c>
      <c r="H2538">
        <v>1413.0751952999999</v>
      </c>
      <c r="I2538">
        <v>1195.1296387</v>
      </c>
      <c r="J2538">
        <v>1138.546875</v>
      </c>
      <c r="K2538">
        <v>2400</v>
      </c>
      <c r="L2538">
        <v>0</v>
      </c>
      <c r="M2538">
        <v>0</v>
      </c>
      <c r="N2538">
        <v>2400</v>
      </c>
    </row>
    <row r="2539" spans="1:14" x14ac:dyDescent="0.25">
      <c r="A2539">
        <v>1610.0141619999999</v>
      </c>
      <c r="B2539" s="1">
        <f>DATE(2014,9,27) + TIME(0,20,23)</f>
        <v>41909.014155092591</v>
      </c>
      <c r="C2539">
        <v>80</v>
      </c>
      <c r="D2539">
        <v>79.983612061000002</v>
      </c>
      <c r="E2539">
        <v>50</v>
      </c>
      <c r="F2539">
        <v>39.541160583</v>
      </c>
      <c r="G2539">
        <v>1444.5858154</v>
      </c>
      <c r="H2539">
        <v>1412.9334716999999</v>
      </c>
      <c r="I2539">
        <v>1194.6569824000001</v>
      </c>
      <c r="J2539">
        <v>1137.8122559000001</v>
      </c>
      <c r="K2539">
        <v>2400</v>
      </c>
      <c r="L2539">
        <v>0</v>
      </c>
      <c r="M2539">
        <v>0</v>
      </c>
      <c r="N2539">
        <v>2400</v>
      </c>
    </row>
    <row r="2540" spans="1:14" x14ac:dyDescent="0.25">
      <c r="A2540">
        <v>1612.1578979999999</v>
      </c>
      <c r="B2540" s="1">
        <f>DATE(2014,9,29) + TIME(3,47,22)</f>
        <v>41911.157893518517</v>
      </c>
      <c r="C2540">
        <v>80</v>
      </c>
      <c r="D2540">
        <v>79.983634949000006</v>
      </c>
      <c r="E2540">
        <v>50</v>
      </c>
      <c r="F2540">
        <v>39.330646514999998</v>
      </c>
      <c r="G2540">
        <v>1444.4432373</v>
      </c>
      <c r="H2540">
        <v>1412.7912598</v>
      </c>
      <c r="I2540">
        <v>1194.1800536999999</v>
      </c>
      <c r="J2540">
        <v>1137.0687256000001</v>
      </c>
      <c r="K2540">
        <v>2400</v>
      </c>
      <c r="L2540">
        <v>0</v>
      </c>
      <c r="M2540">
        <v>0</v>
      </c>
      <c r="N2540">
        <v>2400</v>
      </c>
    </row>
    <row r="2541" spans="1:14" x14ac:dyDescent="0.25">
      <c r="A2541">
        <v>1614</v>
      </c>
      <c r="B2541" s="1">
        <f>DATE(2014,10,1) + TIME(0,0,0)</f>
        <v>41913</v>
      </c>
      <c r="C2541">
        <v>80</v>
      </c>
      <c r="D2541">
        <v>79.983650208</v>
      </c>
      <c r="E2541">
        <v>50</v>
      </c>
      <c r="F2541">
        <v>39.124172211000001</v>
      </c>
      <c r="G2541">
        <v>1444.3011475000001</v>
      </c>
      <c r="H2541">
        <v>1412.6494141000001</v>
      </c>
      <c r="I2541">
        <v>1193.7023925999999</v>
      </c>
      <c r="J2541">
        <v>1136.3267822</v>
      </c>
      <c r="K2541">
        <v>2400</v>
      </c>
      <c r="L2541">
        <v>0</v>
      </c>
      <c r="M2541">
        <v>0</v>
      </c>
      <c r="N2541">
        <v>2400</v>
      </c>
    </row>
    <row r="2542" spans="1:14" x14ac:dyDescent="0.25">
      <c r="A2542">
        <v>1616.1672390000001</v>
      </c>
      <c r="B2542" s="1">
        <f>DATE(2014,10,3) + TIME(4,0,49)</f>
        <v>41915.167233796295</v>
      </c>
      <c r="C2542">
        <v>80</v>
      </c>
      <c r="D2542">
        <v>79.983673096000004</v>
      </c>
      <c r="E2542">
        <v>50</v>
      </c>
      <c r="F2542">
        <v>38.935062408</v>
      </c>
      <c r="G2542">
        <v>1444.1796875</v>
      </c>
      <c r="H2542">
        <v>1412.5280762</v>
      </c>
      <c r="I2542">
        <v>1193.2938231999999</v>
      </c>
      <c r="J2542">
        <v>1135.675293</v>
      </c>
      <c r="K2542">
        <v>2400</v>
      </c>
      <c r="L2542">
        <v>0</v>
      </c>
      <c r="M2542">
        <v>0</v>
      </c>
      <c r="N2542">
        <v>2400</v>
      </c>
    </row>
    <row r="2543" spans="1:14" x14ac:dyDescent="0.25">
      <c r="A2543">
        <v>1618.3752400000001</v>
      </c>
      <c r="B2543" s="1">
        <f>DATE(2014,10,5) + TIME(9,0,20)</f>
        <v>41917.375231481485</v>
      </c>
      <c r="C2543">
        <v>80</v>
      </c>
      <c r="D2543">
        <v>79.983695983999993</v>
      </c>
      <c r="E2543">
        <v>50</v>
      </c>
      <c r="F2543">
        <v>38.726764678999999</v>
      </c>
      <c r="G2543">
        <v>1444.0385742000001</v>
      </c>
      <c r="H2543">
        <v>1412.387207</v>
      </c>
      <c r="I2543">
        <v>1192.8186035000001</v>
      </c>
      <c r="J2543">
        <v>1134.9298096</v>
      </c>
      <c r="K2543">
        <v>2400</v>
      </c>
      <c r="L2543">
        <v>0</v>
      </c>
      <c r="M2543">
        <v>0</v>
      </c>
      <c r="N2543">
        <v>2400</v>
      </c>
    </row>
    <row r="2544" spans="1:14" x14ac:dyDescent="0.25">
      <c r="A2544">
        <v>1620.5940720000001</v>
      </c>
      <c r="B2544" s="1">
        <f>DATE(2014,10,7) + TIME(14,15,27)</f>
        <v>41919.5940625</v>
      </c>
      <c r="C2544">
        <v>80</v>
      </c>
      <c r="D2544">
        <v>79.983718871999997</v>
      </c>
      <c r="E2544">
        <v>50</v>
      </c>
      <c r="F2544">
        <v>38.514507293999998</v>
      </c>
      <c r="G2544">
        <v>1443.895874</v>
      </c>
      <c r="H2544">
        <v>1412.244751</v>
      </c>
      <c r="I2544">
        <v>1192.3391113</v>
      </c>
      <c r="J2544">
        <v>1134.1726074000001</v>
      </c>
      <c r="K2544">
        <v>2400</v>
      </c>
      <c r="L2544">
        <v>0</v>
      </c>
      <c r="M2544">
        <v>0</v>
      </c>
      <c r="N2544">
        <v>2400</v>
      </c>
    </row>
    <row r="2545" spans="1:14" x14ac:dyDescent="0.25">
      <c r="A2545">
        <v>1622.8275639999999</v>
      </c>
      <c r="B2545" s="1">
        <f>DATE(2014,10,9) + TIME(19,51,41)</f>
        <v>41921.827557870369</v>
      </c>
      <c r="C2545">
        <v>80</v>
      </c>
      <c r="D2545">
        <v>79.983741760000001</v>
      </c>
      <c r="E2545">
        <v>50</v>
      </c>
      <c r="F2545">
        <v>38.303344727000002</v>
      </c>
      <c r="G2545">
        <v>1443.7537841999999</v>
      </c>
      <c r="H2545">
        <v>1412.1029053</v>
      </c>
      <c r="I2545">
        <v>1191.8632812000001</v>
      </c>
      <c r="J2545">
        <v>1133.4176024999999</v>
      </c>
      <c r="K2545">
        <v>2400</v>
      </c>
      <c r="L2545">
        <v>0</v>
      </c>
      <c r="M2545">
        <v>0</v>
      </c>
      <c r="N2545">
        <v>2400</v>
      </c>
    </row>
    <row r="2546" spans="1:14" x14ac:dyDescent="0.25">
      <c r="A2546">
        <v>1625.0828389999999</v>
      </c>
      <c r="B2546" s="1">
        <f>DATE(2014,10,12) + TIME(1,59,17)</f>
        <v>41924.082835648151</v>
      </c>
      <c r="C2546">
        <v>80</v>
      </c>
      <c r="D2546">
        <v>79.983764648000005</v>
      </c>
      <c r="E2546">
        <v>50</v>
      </c>
      <c r="F2546">
        <v>38.093605042</v>
      </c>
      <c r="G2546">
        <v>1443.6118164</v>
      </c>
      <c r="H2546">
        <v>1411.9611815999999</v>
      </c>
      <c r="I2546">
        <v>1191.3914795000001</v>
      </c>
      <c r="J2546">
        <v>1132.6662598</v>
      </c>
      <c r="K2546">
        <v>2400</v>
      </c>
      <c r="L2546">
        <v>0</v>
      </c>
      <c r="M2546">
        <v>0</v>
      </c>
      <c r="N2546">
        <v>2400</v>
      </c>
    </row>
    <row r="2547" spans="1:14" x14ac:dyDescent="0.25">
      <c r="A2547">
        <v>1627.358596</v>
      </c>
      <c r="B2547" s="1">
        <f>DATE(2014,10,14) + TIME(8,36,22)</f>
        <v>41926.358587962961</v>
      </c>
      <c r="C2547">
        <v>80</v>
      </c>
      <c r="D2547">
        <v>79.983787536999998</v>
      </c>
      <c r="E2547">
        <v>50</v>
      </c>
      <c r="F2547">
        <v>37.886062621999997</v>
      </c>
      <c r="G2547">
        <v>1443.4699707</v>
      </c>
      <c r="H2547">
        <v>1411.8195800999999</v>
      </c>
      <c r="I2547">
        <v>1190.9232178</v>
      </c>
      <c r="J2547">
        <v>1131.9178466999999</v>
      </c>
      <c r="K2547">
        <v>2400</v>
      </c>
      <c r="L2547">
        <v>0</v>
      </c>
      <c r="M2547">
        <v>0</v>
      </c>
      <c r="N2547">
        <v>2400</v>
      </c>
    </row>
    <row r="2548" spans="1:14" x14ac:dyDescent="0.25">
      <c r="A2548">
        <v>1629.6461830000001</v>
      </c>
      <c r="B2548" s="1">
        <f>DATE(2014,10,16) + TIME(15,30,30)</f>
        <v>41928.646180555559</v>
      </c>
      <c r="C2548">
        <v>80</v>
      </c>
      <c r="D2548">
        <v>79.983810425000001</v>
      </c>
      <c r="E2548">
        <v>50</v>
      </c>
      <c r="F2548">
        <v>37.680828093999999</v>
      </c>
      <c r="G2548">
        <v>1443.3277588000001</v>
      </c>
      <c r="H2548">
        <v>1411.6774902</v>
      </c>
      <c r="I2548">
        <v>1190.4602050999999</v>
      </c>
      <c r="J2548">
        <v>1131.1755370999999</v>
      </c>
      <c r="K2548">
        <v>2400</v>
      </c>
      <c r="L2548">
        <v>0</v>
      </c>
      <c r="M2548">
        <v>0</v>
      </c>
      <c r="N2548">
        <v>2400</v>
      </c>
    </row>
    <row r="2549" spans="1:14" x14ac:dyDescent="0.25">
      <c r="A2549">
        <v>1631.964653</v>
      </c>
      <c r="B2549" s="1">
        <f>DATE(2014,10,18) + TIME(23,9,5)</f>
        <v>41930.964641203704</v>
      </c>
      <c r="C2549">
        <v>80</v>
      </c>
      <c r="D2549">
        <v>79.983840942</v>
      </c>
      <c r="E2549">
        <v>50</v>
      </c>
      <c r="F2549">
        <v>37.479991912999999</v>
      </c>
      <c r="G2549">
        <v>1443.1864014</v>
      </c>
      <c r="H2549">
        <v>1411.5363769999999</v>
      </c>
      <c r="I2549">
        <v>1190.0050048999999</v>
      </c>
      <c r="J2549">
        <v>1130.4428711</v>
      </c>
      <c r="K2549">
        <v>2400</v>
      </c>
      <c r="L2549">
        <v>0</v>
      </c>
      <c r="M2549">
        <v>0</v>
      </c>
      <c r="N2549">
        <v>2400</v>
      </c>
    </row>
    <row r="2550" spans="1:14" x14ac:dyDescent="0.25">
      <c r="A2550">
        <v>1634.296703</v>
      </c>
      <c r="B2550" s="1">
        <f>DATE(2014,10,21) + TIME(7,7,15)</f>
        <v>41933.296701388892</v>
      </c>
      <c r="C2550">
        <v>80</v>
      </c>
      <c r="D2550">
        <v>79.983848571999999</v>
      </c>
      <c r="E2550">
        <v>50</v>
      </c>
      <c r="F2550">
        <v>37.282157898000001</v>
      </c>
      <c r="G2550">
        <v>1443.0435791</v>
      </c>
      <c r="H2550">
        <v>1411.3936768000001</v>
      </c>
      <c r="I2550">
        <v>1189.5560303</v>
      </c>
      <c r="J2550">
        <v>1129.7182617000001</v>
      </c>
      <c r="K2550">
        <v>2400</v>
      </c>
      <c r="L2550">
        <v>0</v>
      </c>
      <c r="M2550">
        <v>0</v>
      </c>
      <c r="N2550">
        <v>2400</v>
      </c>
    </row>
    <row r="2551" spans="1:14" x14ac:dyDescent="0.25">
      <c r="A2551">
        <v>1636.6495170000001</v>
      </c>
      <c r="B2551" s="1">
        <f>DATE(2014,10,23) + TIME(15,35,18)</f>
        <v>41935.649513888886</v>
      </c>
      <c r="C2551">
        <v>80</v>
      </c>
      <c r="D2551">
        <v>79.983894348000007</v>
      </c>
      <c r="E2551">
        <v>50</v>
      </c>
      <c r="F2551">
        <v>37.090843200999998</v>
      </c>
      <c r="G2551">
        <v>1442.9019774999999</v>
      </c>
      <c r="H2551">
        <v>1411.2524414</v>
      </c>
      <c r="I2551">
        <v>1189.1168213000001</v>
      </c>
      <c r="J2551">
        <v>1129.0068358999999</v>
      </c>
      <c r="K2551">
        <v>2400</v>
      </c>
      <c r="L2551">
        <v>0</v>
      </c>
      <c r="M2551">
        <v>0</v>
      </c>
      <c r="N2551">
        <v>2400</v>
      </c>
    </row>
    <row r="2552" spans="1:14" x14ac:dyDescent="0.25">
      <c r="A2552">
        <v>1637.8297809999999</v>
      </c>
      <c r="B2552" s="1">
        <f>DATE(2014,10,24) + TIME(19,54,53)</f>
        <v>41936.829780092594</v>
      </c>
      <c r="C2552">
        <v>80</v>
      </c>
      <c r="D2552">
        <v>79.983886718999997</v>
      </c>
      <c r="E2552">
        <v>50</v>
      </c>
      <c r="F2552">
        <v>36.925395966000004</v>
      </c>
      <c r="G2552">
        <v>1442.7597656</v>
      </c>
      <c r="H2552">
        <v>1411.1102295000001</v>
      </c>
      <c r="I2552">
        <v>1188.6917725000001</v>
      </c>
      <c r="J2552">
        <v>1128.3424072</v>
      </c>
      <c r="K2552">
        <v>2400</v>
      </c>
      <c r="L2552">
        <v>0</v>
      </c>
      <c r="M2552">
        <v>0</v>
      </c>
      <c r="N2552">
        <v>2400</v>
      </c>
    </row>
    <row r="2553" spans="1:14" x14ac:dyDescent="0.25">
      <c r="A2553">
        <v>1640.124591</v>
      </c>
      <c r="B2553" s="1">
        <f>DATE(2014,10,27) + TIME(2,59,24)</f>
        <v>41939.124583333331</v>
      </c>
      <c r="C2553">
        <v>80</v>
      </c>
      <c r="D2553">
        <v>79.983924865999995</v>
      </c>
      <c r="E2553">
        <v>50</v>
      </c>
      <c r="F2553">
        <v>36.807548523000001</v>
      </c>
      <c r="G2553">
        <v>1442.6878661999999</v>
      </c>
      <c r="H2553">
        <v>1411.0384521000001</v>
      </c>
      <c r="I2553">
        <v>1188.4796143000001</v>
      </c>
      <c r="J2553">
        <v>1127.9602050999999</v>
      </c>
      <c r="K2553">
        <v>2400</v>
      </c>
      <c r="L2553">
        <v>0</v>
      </c>
      <c r="M2553">
        <v>0</v>
      </c>
      <c r="N2553">
        <v>2400</v>
      </c>
    </row>
    <row r="2554" spans="1:14" x14ac:dyDescent="0.25">
      <c r="A2554">
        <v>1642.4714550000001</v>
      </c>
      <c r="B2554" s="1">
        <f>DATE(2014,10,29) + TIME(11,18,53)</f>
        <v>41941.471446759257</v>
      </c>
      <c r="C2554">
        <v>80</v>
      </c>
      <c r="D2554">
        <v>79.983924865999995</v>
      </c>
      <c r="E2554">
        <v>50</v>
      </c>
      <c r="F2554">
        <v>36.646705627000003</v>
      </c>
      <c r="G2554">
        <v>1442.5507812000001</v>
      </c>
      <c r="H2554">
        <v>1410.9016113</v>
      </c>
      <c r="I2554">
        <v>1188.0880127</v>
      </c>
      <c r="J2554">
        <v>1127.3309326000001</v>
      </c>
      <c r="K2554">
        <v>2400</v>
      </c>
      <c r="L2554">
        <v>0</v>
      </c>
      <c r="M2554">
        <v>0</v>
      </c>
      <c r="N2554">
        <v>2400</v>
      </c>
    </row>
    <row r="2555" spans="1:14" x14ac:dyDescent="0.25">
      <c r="A2555">
        <v>1644.848195</v>
      </c>
      <c r="B2555" s="1">
        <f>DATE(2014,10,31) + TIME(20,21,24)</f>
        <v>41943.848194444443</v>
      </c>
      <c r="C2555">
        <v>80</v>
      </c>
      <c r="D2555">
        <v>79.983978270999998</v>
      </c>
      <c r="E2555">
        <v>50</v>
      </c>
      <c r="F2555">
        <v>36.486446381</v>
      </c>
      <c r="G2555">
        <v>1442.4122314000001</v>
      </c>
      <c r="H2555">
        <v>1410.7631836</v>
      </c>
      <c r="I2555">
        <v>1187.7019043</v>
      </c>
      <c r="J2555">
        <v>1126.7019043</v>
      </c>
      <c r="K2555">
        <v>2400</v>
      </c>
      <c r="L2555">
        <v>0</v>
      </c>
      <c r="M2555">
        <v>0</v>
      </c>
      <c r="N2555">
        <v>2400</v>
      </c>
    </row>
    <row r="2556" spans="1:14" x14ac:dyDescent="0.25">
      <c r="A2556">
        <v>1645</v>
      </c>
      <c r="B2556" s="1">
        <f>DATE(2014,11,1) + TIME(0,0,0)</f>
        <v>41944</v>
      </c>
      <c r="C2556">
        <v>80</v>
      </c>
      <c r="D2556">
        <v>79.983963012999993</v>
      </c>
      <c r="E2556">
        <v>50</v>
      </c>
      <c r="F2556">
        <v>36.432586669999999</v>
      </c>
      <c r="G2556">
        <v>1442.2879639</v>
      </c>
      <c r="H2556">
        <v>1410.6390381000001</v>
      </c>
      <c r="I2556">
        <v>1187.3519286999999</v>
      </c>
      <c r="J2556">
        <v>1126.2513428</v>
      </c>
      <c r="K2556">
        <v>2400</v>
      </c>
      <c r="L2556">
        <v>0</v>
      </c>
      <c r="M2556">
        <v>0</v>
      </c>
      <c r="N2556">
        <v>2400</v>
      </c>
    </row>
    <row r="2557" spans="1:14" x14ac:dyDescent="0.25">
      <c r="A2557">
        <v>1645.0000010000001</v>
      </c>
      <c r="B2557" s="1">
        <f>DATE(2014,11,1) + TIME(0,0,0)</f>
        <v>41944</v>
      </c>
      <c r="C2557">
        <v>80</v>
      </c>
      <c r="D2557">
        <v>79.983657836999996</v>
      </c>
      <c r="E2557">
        <v>50</v>
      </c>
      <c r="F2557">
        <v>36.432884215999998</v>
      </c>
      <c r="G2557">
        <v>1408.4587402</v>
      </c>
      <c r="H2557">
        <v>1376.8238524999999</v>
      </c>
      <c r="I2557">
        <v>1250.5986327999999</v>
      </c>
      <c r="J2557">
        <v>1189.5498047000001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1645.000004</v>
      </c>
      <c r="B2558" s="1">
        <f>DATE(2014,11,1) + TIME(0,0,0)</f>
        <v>41944</v>
      </c>
      <c r="C2558">
        <v>80</v>
      </c>
      <c r="D2558">
        <v>79.982872009000005</v>
      </c>
      <c r="E2558">
        <v>50</v>
      </c>
      <c r="F2558">
        <v>36.433708191000001</v>
      </c>
      <c r="G2558">
        <v>1402.9512939000001</v>
      </c>
      <c r="H2558">
        <v>1371.3157959</v>
      </c>
      <c r="I2558">
        <v>1256.5892334</v>
      </c>
      <c r="J2558">
        <v>1195.5555420000001</v>
      </c>
      <c r="K2558">
        <v>0</v>
      </c>
      <c r="L2558">
        <v>2400</v>
      </c>
      <c r="M2558">
        <v>2400</v>
      </c>
      <c r="N2558">
        <v>0</v>
      </c>
    </row>
    <row r="2559" spans="1:14" x14ac:dyDescent="0.25">
      <c r="A2559">
        <v>1645.0000130000001</v>
      </c>
      <c r="B2559" s="1">
        <f>DATE(2014,11,1) + TIME(0,0,1)</f>
        <v>41944.000011574077</v>
      </c>
      <c r="C2559">
        <v>80</v>
      </c>
      <c r="D2559">
        <v>79.981292725000003</v>
      </c>
      <c r="E2559">
        <v>50</v>
      </c>
      <c r="F2559">
        <v>36.435733794999997</v>
      </c>
      <c r="G2559">
        <v>1391.8349608999999</v>
      </c>
      <c r="H2559">
        <v>1360.1986084</v>
      </c>
      <c r="I2559">
        <v>1270.7425536999999</v>
      </c>
      <c r="J2559">
        <v>1209.7398682</v>
      </c>
      <c r="K2559">
        <v>0</v>
      </c>
      <c r="L2559">
        <v>2400</v>
      </c>
      <c r="M2559">
        <v>2400</v>
      </c>
      <c r="N2559">
        <v>0</v>
      </c>
    </row>
    <row r="2560" spans="1:14" x14ac:dyDescent="0.25">
      <c r="A2560">
        <v>1645.0000399999999</v>
      </c>
      <c r="B2560" s="1">
        <f>DATE(2014,11,1) + TIME(0,0,3)</f>
        <v>41944.000034722223</v>
      </c>
      <c r="C2560">
        <v>80</v>
      </c>
      <c r="D2560">
        <v>79.978981017999999</v>
      </c>
      <c r="E2560">
        <v>50</v>
      </c>
      <c r="F2560">
        <v>36.439823150999999</v>
      </c>
      <c r="G2560">
        <v>1375.6026611</v>
      </c>
      <c r="H2560">
        <v>1343.9659423999999</v>
      </c>
      <c r="I2560">
        <v>1296.2971190999999</v>
      </c>
      <c r="J2560">
        <v>1235.3310547000001</v>
      </c>
      <c r="K2560">
        <v>0</v>
      </c>
      <c r="L2560">
        <v>2400</v>
      </c>
      <c r="M2560">
        <v>2400</v>
      </c>
      <c r="N2560">
        <v>0</v>
      </c>
    </row>
    <row r="2561" spans="1:14" x14ac:dyDescent="0.25">
      <c r="A2561">
        <v>1645.000121</v>
      </c>
      <c r="B2561" s="1">
        <f>DATE(2014,11,1) + TIME(0,0,10)</f>
        <v>41944.000115740739</v>
      </c>
      <c r="C2561">
        <v>80</v>
      </c>
      <c r="D2561">
        <v>79.976409911999994</v>
      </c>
      <c r="E2561">
        <v>50</v>
      </c>
      <c r="F2561">
        <v>36.446968079000001</v>
      </c>
      <c r="G2561">
        <v>1357.5455322</v>
      </c>
      <c r="H2561">
        <v>1325.9111327999999</v>
      </c>
      <c r="I2561">
        <v>1329.5576172000001</v>
      </c>
      <c r="J2561">
        <v>1268.6182861</v>
      </c>
      <c r="K2561">
        <v>0</v>
      </c>
      <c r="L2561">
        <v>2400</v>
      </c>
      <c r="M2561">
        <v>2400</v>
      </c>
      <c r="N2561">
        <v>0</v>
      </c>
    </row>
    <row r="2562" spans="1:14" x14ac:dyDescent="0.25">
      <c r="A2562">
        <v>1645.000364</v>
      </c>
      <c r="B2562" s="1">
        <f>DATE(2014,11,1) + TIME(0,0,31)</f>
        <v>41944.000358796293</v>
      </c>
      <c r="C2562">
        <v>80</v>
      </c>
      <c r="D2562">
        <v>79.973800659000005</v>
      </c>
      <c r="E2562">
        <v>50</v>
      </c>
      <c r="F2562">
        <v>36.460784912000001</v>
      </c>
      <c r="G2562">
        <v>1339.4075928</v>
      </c>
      <c r="H2562">
        <v>1307.7764893000001</v>
      </c>
      <c r="I2562">
        <v>1364.7222899999999</v>
      </c>
      <c r="J2562">
        <v>1303.8081055</v>
      </c>
      <c r="K2562">
        <v>0</v>
      </c>
      <c r="L2562">
        <v>2400</v>
      </c>
      <c r="M2562">
        <v>2400</v>
      </c>
      <c r="N2562">
        <v>0</v>
      </c>
    </row>
    <row r="2563" spans="1:14" x14ac:dyDescent="0.25">
      <c r="A2563">
        <v>1645.0010930000001</v>
      </c>
      <c r="B2563" s="1">
        <f>DATE(2014,11,1) + TIME(0,1,34)</f>
        <v>41944.001087962963</v>
      </c>
      <c r="C2563">
        <v>80</v>
      </c>
      <c r="D2563">
        <v>79.971153259000005</v>
      </c>
      <c r="E2563">
        <v>50</v>
      </c>
      <c r="F2563">
        <v>36.493927002</v>
      </c>
      <c r="G2563">
        <v>1321.2951660000001</v>
      </c>
      <c r="H2563">
        <v>1289.6662598</v>
      </c>
      <c r="I2563">
        <v>1400.1813964999999</v>
      </c>
      <c r="J2563">
        <v>1339.2814940999999</v>
      </c>
      <c r="K2563">
        <v>0</v>
      </c>
      <c r="L2563">
        <v>2400</v>
      </c>
      <c r="M2563">
        <v>2400</v>
      </c>
      <c r="N2563">
        <v>0</v>
      </c>
    </row>
    <row r="2564" spans="1:14" x14ac:dyDescent="0.25">
      <c r="A2564">
        <v>1645.0032799999999</v>
      </c>
      <c r="B2564" s="1">
        <f>DATE(2014,11,1) + TIME(0,4,43)</f>
        <v>41944.003275462965</v>
      </c>
      <c r="C2564">
        <v>80</v>
      </c>
      <c r="D2564">
        <v>79.968307495000005</v>
      </c>
      <c r="E2564">
        <v>50</v>
      </c>
      <c r="F2564">
        <v>36.584568023999999</v>
      </c>
      <c r="G2564">
        <v>1302.918457</v>
      </c>
      <c r="H2564">
        <v>1271.2891846</v>
      </c>
      <c r="I2564">
        <v>1436.1968993999999</v>
      </c>
      <c r="J2564">
        <v>1375.3475341999999</v>
      </c>
      <c r="K2564">
        <v>0</v>
      </c>
      <c r="L2564">
        <v>2400</v>
      </c>
      <c r="M2564">
        <v>2400</v>
      </c>
      <c r="N2564">
        <v>0</v>
      </c>
    </row>
    <row r="2565" spans="1:14" x14ac:dyDescent="0.25">
      <c r="A2565">
        <v>1645.0098410000001</v>
      </c>
      <c r="B2565" s="1">
        <f>DATE(2014,11,1) + TIME(0,14,10)</f>
        <v>41944.009837962964</v>
      </c>
      <c r="C2565">
        <v>80</v>
      </c>
      <c r="D2565">
        <v>79.964859008999994</v>
      </c>
      <c r="E2565">
        <v>50</v>
      </c>
      <c r="F2565">
        <v>36.843292236000003</v>
      </c>
      <c r="G2565">
        <v>1283.4903564000001</v>
      </c>
      <c r="H2565">
        <v>1251.8590088000001</v>
      </c>
      <c r="I2565">
        <v>1472.5607910000001</v>
      </c>
      <c r="J2565">
        <v>1411.9658202999999</v>
      </c>
      <c r="K2565">
        <v>0</v>
      </c>
      <c r="L2565">
        <v>2400</v>
      </c>
      <c r="M2565">
        <v>2400</v>
      </c>
      <c r="N2565">
        <v>0</v>
      </c>
    </row>
    <row r="2566" spans="1:14" x14ac:dyDescent="0.25">
      <c r="A2566">
        <v>1645.029524</v>
      </c>
      <c r="B2566" s="1">
        <f>DATE(2014,11,1) + TIME(0,42,30)</f>
        <v>41944.029513888891</v>
      </c>
      <c r="C2566">
        <v>80</v>
      </c>
      <c r="D2566">
        <v>79.960151671999995</v>
      </c>
      <c r="E2566">
        <v>50</v>
      </c>
      <c r="F2566">
        <v>37.568992614999999</v>
      </c>
      <c r="G2566">
        <v>1264.5073242000001</v>
      </c>
      <c r="H2566">
        <v>1232.8739014</v>
      </c>
      <c r="I2566">
        <v>1504.6083983999999</v>
      </c>
      <c r="J2566">
        <v>1444.8153076000001</v>
      </c>
      <c r="K2566">
        <v>0</v>
      </c>
      <c r="L2566">
        <v>2400</v>
      </c>
      <c r="M2566">
        <v>2400</v>
      </c>
      <c r="N2566">
        <v>0</v>
      </c>
    </row>
    <row r="2567" spans="1:14" x14ac:dyDescent="0.25">
      <c r="A2567">
        <v>1645.0536279999999</v>
      </c>
      <c r="B2567" s="1">
        <f>DATE(2014,11,1) + TIME(1,17,13)</f>
        <v>41944.053622685184</v>
      </c>
      <c r="C2567">
        <v>80</v>
      </c>
      <c r="D2567">
        <v>79.956260681000003</v>
      </c>
      <c r="E2567">
        <v>50</v>
      </c>
      <c r="F2567">
        <v>38.396785735999998</v>
      </c>
      <c r="G2567">
        <v>1255.828125</v>
      </c>
      <c r="H2567">
        <v>1224.1936035000001</v>
      </c>
      <c r="I2567">
        <v>1518.0891113</v>
      </c>
      <c r="J2567">
        <v>1459.2014160000001</v>
      </c>
      <c r="K2567">
        <v>0</v>
      </c>
      <c r="L2567">
        <v>2400</v>
      </c>
      <c r="M2567">
        <v>2400</v>
      </c>
      <c r="N2567">
        <v>0</v>
      </c>
    </row>
    <row r="2568" spans="1:14" x14ac:dyDescent="0.25">
      <c r="A2568">
        <v>1645.079381</v>
      </c>
      <c r="B2568" s="1">
        <f>DATE(2014,11,1) + TIME(1,54,18)</f>
        <v>41944.079375000001</v>
      </c>
      <c r="C2568">
        <v>80</v>
      </c>
      <c r="D2568">
        <v>79.952758789000001</v>
      </c>
      <c r="E2568">
        <v>50</v>
      </c>
      <c r="F2568">
        <v>39.218559265000003</v>
      </c>
      <c r="G2568">
        <v>1252.2703856999999</v>
      </c>
      <c r="H2568">
        <v>1220.6352539</v>
      </c>
      <c r="I2568">
        <v>1523.0733643000001</v>
      </c>
      <c r="J2568">
        <v>1465.0649414</v>
      </c>
      <c r="K2568">
        <v>0</v>
      </c>
      <c r="L2568">
        <v>2400</v>
      </c>
      <c r="M2568">
        <v>2400</v>
      </c>
      <c r="N2568">
        <v>0</v>
      </c>
    </row>
    <row r="2569" spans="1:14" x14ac:dyDescent="0.25">
      <c r="A2569">
        <v>1645.106961</v>
      </c>
      <c r="B2569" s="1">
        <f>DATE(2014,11,1) + TIME(2,34,1)</f>
        <v>41944.106956018521</v>
      </c>
      <c r="C2569">
        <v>80</v>
      </c>
      <c r="D2569">
        <v>79.949211121000005</v>
      </c>
      <c r="E2569">
        <v>50</v>
      </c>
      <c r="F2569">
        <v>40.032722473</v>
      </c>
      <c r="G2569">
        <v>1250.8676757999999</v>
      </c>
      <c r="H2569">
        <v>1219.2318115</v>
      </c>
      <c r="I2569">
        <v>1524.5041504000001</v>
      </c>
      <c r="J2569">
        <v>1467.3460693</v>
      </c>
      <c r="K2569">
        <v>0</v>
      </c>
      <c r="L2569">
        <v>2400</v>
      </c>
      <c r="M2569">
        <v>2400</v>
      </c>
      <c r="N2569">
        <v>0</v>
      </c>
    </row>
    <row r="2570" spans="1:14" x14ac:dyDescent="0.25">
      <c r="A2570">
        <v>1645.136628</v>
      </c>
      <c r="B2570" s="1">
        <f>DATE(2014,11,1) + TIME(3,16,44)</f>
        <v>41944.136620370373</v>
      </c>
      <c r="C2570">
        <v>80</v>
      </c>
      <c r="D2570">
        <v>79.945419311999999</v>
      </c>
      <c r="E2570">
        <v>50</v>
      </c>
      <c r="F2570">
        <v>40.838565826</v>
      </c>
      <c r="G2570">
        <v>1250.3558350000001</v>
      </c>
      <c r="H2570">
        <v>1218.7193603999999</v>
      </c>
      <c r="I2570">
        <v>1524.4016113</v>
      </c>
      <c r="J2570">
        <v>1468.0648193</v>
      </c>
      <c r="K2570">
        <v>0</v>
      </c>
      <c r="L2570">
        <v>2400</v>
      </c>
      <c r="M2570">
        <v>2400</v>
      </c>
      <c r="N2570">
        <v>0</v>
      </c>
    </row>
    <row r="2571" spans="1:14" x14ac:dyDescent="0.25">
      <c r="A2571">
        <v>1645.1687119999999</v>
      </c>
      <c r="B2571" s="1">
        <f>DATE(2014,11,1) + TIME(4,2,56)</f>
        <v>41944.168703703705</v>
      </c>
      <c r="C2571">
        <v>80</v>
      </c>
      <c r="D2571">
        <v>79.941268921000002</v>
      </c>
      <c r="E2571">
        <v>50</v>
      </c>
      <c r="F2571">
        <v>41.635105133000003</v>
      </c>
      <c r="G2571">
        <v>1250.1920166</v>
      </c>
      <c r="H2571">
        <v>1218.5548096</v>
      </c>
      <c r="I2571">
        <v>1523.6477050999999</v>
      </c>
      <c r="J2571">
        <v>1468.1029053</v>
      </c>
      <c r="K2571">
        <v>0</v>
      </c>
      <c r="L2571">
        <v>2400</v>
      </c>
      <c r="M2571">
        <v>2400</v>
      </c>
      <c r="N2571">
        <v>0</v>
      </c>
    </row>
    <row r="2572" spans="1:14" x14ac:dyDescent="0.25">
      <c r="A2572">
        <v>1645.203638</v>
      </c>
      <c r="B2572" s="1">
        <f>DATE(2014,11,1) + TIME(4,53,14)</f>
        <v>41944.203634259262</v>
      </c>
      <c r="C2572">
        <v>80</v>
      </c>
      <c r="D2572">
        <v>79.936668396000002</v>
      </c>
      <c r="E2572">
        <v>50</v>
      </c>
      <c r="F2572">
        <v>42.421440124999997</v>
      </c>
      <c r="G2572">
        <v>1250.1516113</v>
      </c>
      <c r="H2572">
        <v>1218.5136719</v>
      </c>
      <c r="I2572">
        <v>1522.6307373</v>
      </c>
      <c r="J2572">
        <v>1467.8492432</v>
      </c>
      <c r="K2572">
        <v>0</v>
      </c>
      <c r="L2572">
        <v>2400</v>
      </c>
      <c r="M2572">
        <v>2400</v>
      </c>
      <c r="N2572">
        <v>0</v>
      </c>
    </row>
    <row r="2573" spans="1:14" x14ac:dyDescent="0.25">
      <c r="A2573">
        <v>1645.2419400000001</v>
      </c>
      <c r="B2573" s="1">
        <f>DATE(2014,11,1) + TIME(5,48,23)</f>
        <v>41944.241932870369</v>
      </c>
      <c r="C2573">
        <v>80</v>
      </c>
      <c r="D2573">
        <v>79.931541443</v>
      </c>
      <c r="E2573">
        <v>50</v>
      </c>
      <c r="F2573">
        <v>43.196323395</v>
      </c>
      <c r="G2573">
        <v>1250.1478271000001</v>
      </c>
      <c r="H2573">
        <v>1218.5089111</v>
      </c>
      <c r="I2573">
        <v>1521.5197754000001</v>
      </c>
      <c r="J2573">
        <v>1467.4727783000001</v>
      </c>
      <c r="K2573">
        <v>0</v>
      </c>
      <c r="L2573">
        <v>2400</v>
      </c>
      <c r="M2573">
        <v>2400</v>
      </c>
      <c r="N2573">
        <v>0</v>
      </c>
    </row>
    <row r="2574" spans="1:14" x14ac:dyDescent="0.25">
      <c r="A2574">
        <v>1645.2843339999999</v>
      </c>
      <c r="B2574" s="1">
        <f>DATE(2014,11,1) + TIME(6,49,26)</f>
        <v>41944.284328703703</v>
      </c>
      <c r="C2574">
        <v>80</v>
      </c>
      <c r="D2574">
        <v>79.925796508999994</v>
      </c>
      <c r="E2574">
        <v>50</v>
      </c>
      <c r="F2574">
        <v>43.958557128999999</v>
      </c>
      <c r="G2574">
        <v>1250.1507568</v>
      </c>
      <c r="H2574">
        <v>1218.5107422000001</v>
      </c>
      <c r="I2574">
        <v>1520.3861084</v>
      </c>
      <c r="J2574">
        <v>1467.0451660000001</v>
      </c>
      <c r="K2574">
        <v>0</v>
      </c>
      <c r="L2574">
        <v>2400</v>
      </c>
      <c r="M2574">
        <v>2400</v>
      </c>
      <c r="N2574">
        <v>0</v>
      </c>
    </row>
    <row r="2575" spans="1:14" x14ac:dyDescent="0.25">
      <c r="A2575">
        <v>1645.3317730000001</v>
      </c>
      <c r="B2575" s="1">
        <f>DATE(2014,11,1) + TIME(7,57,45)</f>
        <v>41944.331770833334</v>
      </c>
      <c r="C2575">
        <v>80</v>
      </c>
      <c r="D2575">
        <v>79.919303893999995</v>
      </c>
      <c r="E2575">
        <v>50</v>
      </c>
      <c r="F2575">
        <v>44.706428528000004</v>
      </c>
      <c r="G2575">
        <v>1250.1519774999999</v>
      </c>
      <c r="H2575">
        <v>1218.5106201000001</v>
      </c>
      <c r="I2575">
        <v>1519.2590332</v>
      </c>
      <c r="J2575">
        <v>1466.5957031</v>
      </c>
      <c r="K2575">
        <v>0</v>
      </c>
      <c r="L2575">
        <v>2400</v>
      </c>
      <c r="M2575">
        <v>2400</v>
      </c>
      <c r="N2575">
        <v>0</v>
      </c>
    </row>
    <row r="2576" spans="1:14" x14ac:dyDescent="0.25">
      <c r="A2576">
        <v>1645.3855619999999</v>
      </c>
      <c r="B2576" s="1">
        <f>DATE(2014,11,1) + TIME(9,15,12)</f>
        <v>41944.385555555556</v>
      </c>
      <c r="C2576">
        <v>80</v>
      </c>
      <c r="D2576">
        <v>79.911918639999996</v>
      </c>
      <c r="E2576">
        <v>50</v>
      </c>
      <c r="F2576">
        <v>45.437702178999999</v>
      </c>
      <c r="G2576">
        <v>1250.1499022999999</v>
      </c>
      <c r="H2576">
        <v>1218.5070800999999</v>
      </c>
      <c r="I2576">
        <v>1518.1501464999999</v>
      </c>
      <c r="J2576">
        <v>1466.1352539</v>
      </c>
      <c r="K2576">
        <v>0</v>
      </c>
      <c r="L2576">
        <v>2400</v>
      </c>
      <c r="M2576">
        <v>2400</v>
      </c>
      <c r="N2576">
        <v>0</v>
      </c>
    </row>
    <row r="2577" spans="1:14" x14ac:dyDescent="0.25">
      <c r="A2577">
        <v>1645.4475629999999</v>
      </c>
      <c r="B2577" s="1">
        <f>DATE(2014,11,1) + TIME(10,44,29)</f>
        <v>41944.447557870371</v>
      </c>
      <c r="C2577">
        <v>80</v>
      </c>
      <c r="D2577">
        <v>79.903427124000004</v>
      </c>
      <c r="E2577">
        <v>50</v>
      </c>
      <c r="F2577">
        <v>46.149372100999997</v>
      </c>
      <c r="G2577">
        <v>1250.1453856999999</v>
      </c>
      <c r="H2577">
        <v>1218.5007324000001</v>
      </c>
      <c r="I2577">
        <v>1517.0632324000001</v>
      </c>
      <c r="J2577">
        <v>1465.6665039</v>
      </c>
      <c r="K2577">
        <v>0</v>
      </c>
      <c r="L2577">
        <v>2400</v>
      </c>
      <c r="M2577">
        <v>2400</v>
      </c>
      <c r="N2577">
        <v>0</v>
      </c>
    </row>
    <row r="2578" spans="1:14" x14ac:dyDescent="0.25">
      <c r="A2578">
        <v>1645.520532</v>
      </c>
      <c r="B2578" s="1">
        <f>DATE(2014,11,1) + TIME(12,29,33)</f>
        <v>41944.520520833335</v>
      </c>
      <c r="C2578">
        <v>80</v>
      </c>
      <c r="D2578">
        <v>79.893547057999996</v>
      </c>
      <c r="E2578">
        <v>50</v>
      </c>
      <c r="F2578">
        <v>46.837337494000003</v>
      </c>
      <c r="G2578">
        <v>1250.1387939000001</v>
      </c>
      <c r="H2578">
        <v>1218.4920654</v>
      </c>
      <c r="I2578">
        <v>1515.9990233999999</v>
      </c>
      <c r="J2578">
        <v>1465.1883545000001</v>
      </c>
      <c r="K2578">
        <v>0</v>
      </c>
      <c r="L2578">
        <v>2400</v>
      </c>
      <c r="M2578">
        <v>2400</v>
      </c>
      <c r="N2578">
        <v>0</v>
      </c>
    </row>
    <row r="2579" spans="1:14" x14ac:dyDescent="0.25">
      <c r="A2579">
        <v>1645.608772</v>
      </c>
      <c r="B2579" s="1">
        <f>DATE(2014,11,1) + TIME(14,36,37)</f>
        <v>41944.608761574076</v>
      </c>
      <c r="C2579">
        <v>80</v>
      </c>
      <c r="D2579">
        <v>79.881843567000004</v>
      </c>
      <c r="E2579">
        <v>50</v>
      </c>
      <c r="F2579">
        <v>47.495796204000001</v>
      </c>
      <c r="G2579">
        <v>1250.1303711</v>
      </c>
      <c r="H2579">
        <v>1218.4812012</v>
      </c>
      <c r="I2579">
        <v>1514.956543</v>
      </c>
      <c r="J2579">
        <v>1464.6968993999999</v>
      </c>
      <c r="K2579">
        <v>0</v>
      </c>
      <c r="L2579">
        <v>2400</v>
      </c>
      <c r="M2579">
        <v>2400</v>
      </c>
      <c r="N2579">
        <v>0</v>
      </c>
    </row>
    <row r="2580" spans="1:14" x14ac:dyDescent="0.25">
      <c r="A2580">
        <v>1645.7037499999999</v>
      </c>
      <c r="B2580" s="1">
        <f>DATE(2014,11,1) + TIME(16,53,24)</f>
        <v>41944.703750000001</v>
      </c>
      <c r="C2580">
        <v>80</v>
      </c>
      <c r="D2580">
        <v>79.869232178000004</v>
      </c>
      <c r="E2580">
        <v>50</v>
      </c>
      <c r="F2580">
        <v>48.047794342000003</v>
      </c>
      <c r="G2580">
        <v>1250.1201172000001</v>
      </c>
      <c r="H2580">
        <v>1218.4682617000001</v>
      </c>
      <c r="I2580">
        <v>1514.0236815999999</v>
      </c>
      <c r="J2580">
        <v>1464.2182617000001</v>
      </c>
      <c r="K2580">
        <v>0</v>
      </c>
      <c r="L2580">
        <v>2400</v>
      </c>
      <c r="M2580">
        <v>2400</v>
      </c>
      <c r="N2580">
        <v>0</v>
      </c>
    </row>
    <row r="2581" spans="1:14" x14ac:dyDescent="0.25">
      <c r="A2581">
        <v>1645.800943</v>
      </c>
      <c r="B2581" s="1">
        <f>DATE(2014,11,1) + TIME(19,13,21)</f>
        <v>41944.800937499997</v>
      </c>
      <c r="C2581">
        <v>80</v>
      </c>
      <c r="D2581">
        <v>79.856254578000005</v>
      </c>
      <c r="E2581">
        <v>50</v>
      </c>
      <c r="F2581">
        <v>48.485351561999998</v>
      </c>
      <c r="G2581">
        <v>1250.1090088000001</v>
      </c>
      <c r="H2581">
        <v>1218.4543457</v>
      </c>
      <c r="I2581">
        <v>1513.2280272999999</v>
      </c>
      <c r="J2581">
        <v>1463.7785644999999</v>
      </c>
      <c r="K2581">
        <v>0</v>
      </c>
      <c r="L2581">
        <v>2400</v>
      </c>
      <c r="M2581">
        <v>2400</v>
      </c>
      <c r="N2581">
        <v>0</v>
      </c>
    </row>
    <row r="2582" spans="1:14" x14ac:dyDescent="0.25">
      <c r="A2582">
        <v>1645.9024710000001</v>
      </c>
      <c r="B2582" s="1">
        <f>DATE(2014,11,1) + TIME(21,39,33)</f>
        <v>41944.902465277781</v>
      </c>
      <c r="C2582">
        <v>80</v>
      </c>
      <c r="D2582">
        <v>79.842803954999994</v>
      </c>
      <c r="E2582">
        <v>50</v>
      </c>
      <c r="F2582">
        <v>48.835811614999997</v>
      </c>
      <c r="G2582">
        <v>1250.0975341999999</v>
      </c>
      <c r="H2582">
        <v>1218.4400635</v>
      </c>
      <c r="I2582">
        <v>1512.5446777</v>
      </c>
      <c r="J2582">
        <v>1463.378418</v>
      </c>
      <c r="K2582">
        <v>0</v>
      </c>
      <c r="L2582">
        <v>2400</v>
      </c>
      <c r="M2582">
        <v>2400</v>
      </c>
      <c r="N2582">
        <v>0</v>
      </c>
    </row>
    <row r="2583" spans="1:14" x14ac:dyDescent="0.25">
      <c r="A2583">
        <v>1646.0098</v>
      </c>
      <c r="B2583" s="1">
        <f>DATE(2014,11,2) + TIME(0,14,6)</f>
        <v>41945.009791666664</v>
      </c>
      <c r="C2583">
        <v>80</v>
      </c>
      <c r="D2583">
        <v>79.828819275000001</v>
      </c>
      <c r="E2583">
        <v>50</v>
      </c>
      <c r="F2583">
        <v>49.116107941000003</v>
      </c>
      <c r="G2583">
        <v>1250.0855713000001</v>
      </c>
      <c r="H2583">
        <v>1218.4251709</v>
      </c>
      <c r="I2583">
        <v>1511.9467772999999</v>
      </c>
      <c r="J2583">
        <v>1463.0063477000001</v>
      </c>
      <c r="K2583">
        <v>0</v>
      </c>
      <c r="L2583">
        <v>2400</v>
      </c>
      <c r="M2583">
        <v>2400</v>
      </c>
      <c r="N2583">
        <v>0</v>
      </c>
    </row>
    <row r="2584" spans="1:14" x14ac:dyDescent="0.25">
      <c r="A2584">
        <v>1646.1247229999999</v>
      </c>
      <c r="B2584" s="1">
        <f>DATE(2014,11,2) + TIME(2,59,36)</f>
        <v>41945.124722222223</v>
      </c>
      <c r="C2584">
        <v>80</v>
      </c>
      <c r="D2584">
        <v>79.814186096</v>
      </c>
      <c r="E2584">
        <v>50</v>
      </c>
      <c r="F2584">
        <v>49.339309692</v>
      </c>
      <c r="G2584">
        <v>1250.0729980000001</v>
      </c>
      <c r="H2584">
        <v>1218.4095459</v>
      </c>
      <c r="I2584">
        <v>1511.4152832</v>
      </c>
      <c r="J2584">
        <v>1462.6547852000001</v>
      </c>
      <c r="K2584">
        <v>0</v>
      </c>
      <c r="L2584">
        <v>2400</v>
      </c>
      <c r="M2584">
        <v>2400</v>
      </c>
      <c r="N2584">
        <v>0</v>
      </c>
    </row>
    <row r="2585" spans="1:14" x14ac:dyDescent="0.25">
      <c r="A2585">
        <v>1646.2494099999999</v>
      </c>
      <c r="B2585" s="1">
        <f>DATE(2014,11,2) + TIME(5,59,9)</f>
        <v>41945.249409722222</v>
      </c>
      <c r="C2585">
        <v>80</v>
      </c>
      <c r="D2585">
        <v>79.798736571999996</v>
      </c>
      <c r="E2585">
        <v>50</v>
      </c>
      <c r="F2585">
        <v>49.515583038000003</v>
      </c>
      <c r="G2585">
        <v>1250.0596923999999</v>
      </c>
      <c r="H2585">
        <v>1218.3929443</v>
      </c>
      <c r="I2585">
        <v>1510.9348144999999</v>
      </c>
      <c r="J2585">
        <v>1462.3170166</v>
      </c>
      <c r="K2585">
        <v>0</v>
      </c>
      <c r="L2585">
        <v>2400</v>
      </c>
      <c r="M2585">
        <v>2400</v>
      </c>
      <c r="N2585">
        <v>0</v>
      </c>
    </row>
    <row r="2586" spans="1:14" x14ac:dyDescent="0.25">
      <c r="A2586">
        <v>1646.3866499999999</v>
      </c>
      <c r="B2586" s="1">
        <f>DATE(2014,11,2) + TIME(9,16,46)</f>
        <v>41945.386643518519</v>
      </c>
      <c r="C2586">
        <v>80</v>
      </c>
      <c r="D2586">
        <v>79.782279967999997</v>
      </c>
      <c r="E2586">
        <v>50</v>
      </c>
      <c r="F2586">
        <v>49.653060912999997</v>
      </c>
      <c r="G2586">
        <v>1250.0452881000001</v>
      </c>
      <c r="H2586">
        <v>1218.3751221</v>
      </c>
      <c r="I2586">
        <v>1510.4925536999999</v>
      </c>
      <c r="J2586">
        <v>1461.9871826000001</v>
      </c>
      <c r="K2586">
        <v>0</v>
      </c>
      <c r="L2586">
        <v>2400</v>
      </c>
      <c r="M2586">
        <v>2400</v>
      </c>
      <c r="N2586">
        <v>0</v>
      </c>
    </row>
    <row r="2587" spans="1:14" x14ac:dyDescent="0.25">
      <c r="A2587">
        <v>1646.5388359999999</v>
      </c>
      <c r="B2587" s="1">
        <f>DATE(2014,11,2) + TIME(12,55,55)</f>
        <v>41945.538831018515</v>
      </c>
      <c r="C2587">
        <v>80</v>
      </c>
      <c r="D2587">
        <v>79.764633179</v>
      </c>
      <c r="E2587">
        <v>50</v>
      </c>
      <c r="F2587">
        <v>49.757793427000003</v>
      </c>
      <c r="G2587">
        <v>1250.0295410000001</v>
      </c>
      <c r="H2587">
        <v>1218.3557129000001</v>
      </c>
      <c r="I2587">
        <v>1510.0780029</v>
      </c>
      <c r="J2587">
        <v>1461.6599120999999</v>
      </c>
      <c r="K2587">
        <v>0</v>
      </c>
      <c r="L2587">
        <v>2400</v>
      </c>
      <c r="M2587">
        <v>2400</v>
      </c>
      <c r="N2587">
        <v>0</v>
      </c>
    </row>
    <row r="2588" spans="1:14" x14ac:dyDescent="0.25">
      <c r="A2588">
        <v>1646.7083029999999</v>
      </c>
      <c r="B2588" s="1">
        <f>DATE(2014,11,2) + TIME(16,59,57)</f>
        <v>41945.708298611113</v>
      </c>
      <c r="C2588">
        <v>80</v>
      </c>
      <c r="D2588">
        <v>79.745613098000007</v>
      </c>
      <c r="E2588">
        <v>50</v>
      </c>
      <c r="F2588">
        <v>49.835205078000001</v>
      </c>
      <c r="G2588">
        <v>1250.0120850000001</v>
      </c>
      <c r="H2588">
        <v>1218.3343506000001</v>
      </c>
      <c r="I2588">
        <v>1509.6834716999999</v>
      </c>
      <c r="J2588">
        <v>1461.3317870999999</v>
      </c>
      <c r="K2588">
        <v>0</v>
      </c>
      <c r="L2588">
        <v>2400</v>
      </c>
      <c r="M2588">
        <v>2400</v>
      </c>
      <c r="N2588">
        <v>0</v>
      </c>
    </row>
    <row r="2589" spans="1:14" x14ac:dyDescent="0.25">
      <c r="A2589">
        <v>1646.9005979999999</v>
      </c>
      <c r="B2589" s="1">
        <f>DATE(2014,11,2) + TIME(21,36,51)</f>
        <v>41945.900590277779</v>
      </c>
      <c r="C2589">
        <v>80</v>
      </c>
      <c r="D2589">
        <v>79.724800110000004</v>
      </c>
      <c r="E2589">
        <v>50</v>
      </c>
      <c r="F2589">
        <v>49.891029357999997</v>
      </c>
      <c r="G2589">
        <v>1249.9926757999999</v>
      </c>
      <c r="H2589">
        <v>1218.3107910000001</v>
      </c>
      <c r="I2589">
        <v>1509.3020019999999</v>
      </c>
      <c r="J2589">
        <v>1461.0003661999999</v>
      </c>
      <c r="K2589">
        <v>0</v>
      </c>
      <c r="L2589">
        <v>2400</v>
      </c>
      <c r="M2589">
        <v>2400</v>
      </c>
      <c r="N2589">
        <v>0</v>
      </c>
    </row>
    <row r="2590" spans="1:14" x14ac:dyDescent="0.25">
      <c r="A2590">
        <v>1647.1005379999999</v>
      </c>
      <c r="B2590" s="1">
        <f>DATE(2014,11,3) + TIME(2,24,46)</f>
        <v>41946.100532407407</v>
      </c>
      <c r="C2590">
        <v>80</v>
      </c>
      <c r="D2590">
        <v>79.703094481999997</v>
      </c>
      <c r="E2590">
        <v>50</v>
      </c>
      <c r="F2590">
        <v>49.927433014000002</v>
      </c>
      <c r="G2590">
        <v>1249.9707031</v>
      </c>
      <c r="H2590">
        <v>1218.2845459</v>
      </c>
      <c r="I2590">
        <v>1508.9262695</v>
      </c>
      <c r="J2590">
        <v>1460.6602783000001</v>
      </c>
      <c r="K2590">
        <v>0</v>
      </c>
      <c r="L2590">
        <v>2400</v>
      </c>
      <c r="M2590">
        <v>2400</v>
      </c>
      <c r="N2590">
        <v>0</v>
      </c>
    </row>
    <row r="2591" spans="1:14" x14ac:dyDescent="0.25">
      <c r="A2591">
        <v>1647.3032940000001</v>
      </c>
      <c r="B2591" s="1">
        <f>DATE(2014,11,3) + TIME(7,16,44)</f>
        <v>41946.303287037037</v>
      </c>
      <c r="C2591">
        <v>80</v>
      </c>
      <c r="D2591">
        <v>79.680931091000005</v>
      </c>
      <c r="E2591">
        <v>50</v>
      </c>
      <c r="F2591">
        <v>49.950492859000001</v>
      </c>
      <c r="G2591">
        <v>1249.947876</v>
      </c>
      <c r="H2591">
        <v>1218.2574463000001</v>
      </c>
      <c r="I2591">
        <v>1508.5791016000001</v>
      </c>
      <c r="J2591">
        <v>1460.3382568</v>
      </c>
      <c r="K2591">
        <v>0</v>
      </c>
      <c r="L2591">
        <v>2400</v>
      </c>
      <c r="M2591">
        <v>2400</v>
      </c>
      <c r="N2591">
        <v>0</v>
      </c>
    </row>
    <row r="2592" spans="1:14" x14ac:dyDescent="0.25">
      <c r="A2592">
        <v>1647.5126</v>
      </c>
      <c r="B2592" s="1">
        <f>DATE(2014,11,3) + TIME(12,18,8)</f>
        <v>41946.512592592589</v>
      </c>
      <c r="C2592">
        <v>80</v>
      </c>
      <c r="D2592">
        <v>79.658180236999996</v>
      </c>
      <c r="E2592">
        <v>50</v>
      </c>
      <c r="F2592">
        <v>49.965221405000001</v>
      </c>
      <c r="G2592">
        <v>1249.9246826000001</v>
      </c>
      <c r="H2592">
        <v>1218.2298584</v>
      </c>
      <c r="I2592">
        <v>1508.2613524999999</v>
      </c>
      <c r="J2592">
        <v>1460.0390625</v>
      </c>
      <c r="K2592">
        <v>0</v>
      </c>
      <c r="L2592">
        <v>2400</v>
      </c>
      <c r="M2592">
        <v>2400</v>
      </c>
      <c r="N2592">
        <v>0</v>
      </c>
    </row>
    <row r="2593" spans="1:14" x14ac:dyDescent="0.25">
      <c r="A2593">
        <v>1647.7319050000001</v>
      </c>
      <c r="B2593" s="1">
        <f>DATE(2014,11,3) + TIME(17,33,56)</f>
        <v>41946.731898148151</v>
      </c>
      <c r="C2593">
        <v>80</v>
      </c>
      <c r="D2593">
        <v>79.634628296000002</v>
      </c>
      <c r="E2593">
        <v>50</v>
      </c>
      <c r="F2593">
        <v>49.974620819000002</v>
      </c>
      <c r="G2593">
        <v>1249.9007568</v>
      </c>
      <c r="H2593">
        <v>1218.2014160000001</v>
      </c>
      <c r="I2593">
        <v>1507.9621582</v>
      </c>
      <c r="J2593">
        <v>1459.7541504000001</v>
      </c>
      <c r="K2593">
        <v>0</v>
      </c>
      <c r="L2593">
        <v>2400</v>
      </c>
      <c r="M2593">
        <v>2400</v>
      </c>
      <c r="N2593">
        <v>0</v>
      </c>
    </row>
    <row r="2594" spans="1:14" x14ac:dyDescent="0.25">
      <c r="A2594">
        <v>1647.964976</v>
      </c>
      <c r="B2594" s="1">
        <f>DATE(2014,11,3) + TIME(23,9,33)</f>
        <v>41946.964965277781</v>
      </c>
      <c r="C2594">
        <v>80</v>
      </c>
      <c r="D2594">
        <v>79.609962463000002</v>
      </c>
      <c r="E2594">
        <v>50</v>
      </c>
      <c r="F2594">
        <v>49.980583191000001</v>
      </c>
      <c r="G2594">
        <v>1249.8758545000001</v>
      </c>
      <c r="H2594">
        <v>1218.1716309000001</v>
      </c>
      <c r="I2594">
        <v>1507.6743164</v>
      </c>
      <c r="J2594">
        <v>1459.4780272999999</v>
      </c>
      <c r="K2594">
        <v>0</v>
      </c>
      <c r="L2594">
        <v>2400</v>
      </c>
      <c r="M2594">
        <v>2400</v>
      </c>
      <c r="N2594">
        <v>0</v>
      </c>
    </row>
    <row r="2595" spans="1:14" x14ac:dyDescent="0.25">
      <c r="A2595">
        <v>1648.2162269999999</v>
      </c>
      <c r="B2595" s="1">
        <f>DATE(2014,11,4) + TIME(5,11,21)</f>
        <v>41947.216215277775</v>
      </c>
      <c r="C2595">
        <v>80</v>
      </c>
      <c r="D2595">
        <v>79.583808899000005</v>
      </c>
      <c r="E2595">
        <v>50</v>
      </c>
      <c r="F2595">
        <v>49.984321594000001</v>
      </c>
      <c r="G2595">
        <v>1249.8493652</v>
      </c>
      <c r="H2595">
        <v>1218.1400146000001</v>
      </c>
      <c r="I2595">
        <v>1507.3919678</v>
      </c>
      <c r="J2595">
        <v>1459.2056885</v>
      </c>
      <c r="K2595">
        <v>0</v>
      </c>
      <c r="L2595">
        <v>2400</v>
      </c>
      <c r="M2595">
        <v>2400</v>
      </c>
      <c r="N2595">
        <v>0</v>
      </c>
    </row>
    <row r="2596" spans="1:14" x14ac:dyDescent="0.25">
      <c r="A2596">
        <v>1648.491282</v>
      </c>
      <c r="B2596" s="1">
        <f>DATE(2014,11,4) + TIME(11,47,26)</f>
        <v>41947.491273148145</v>
      </c>
      <c r="C2596">
        <v>80</v>
      </c>
      <c r="D2596">
        <v>79.555679321</v>
      </c>
      <c r="E2596">
        <v>50</v>
      </c>
      <c r="F2596">
        <v>49.986629485999998</v>
      </c>
      <c r="G2596">
        <v>1249.8208007999999</v>
      </c>
      <c r="H2596">
        <v>1218.105957</v>
      </c>
      <c r="I2596">
        <v>1507.1102295000001</v>
      </c>
      <c r="J2596">
        <v>1458.9329834</v>
      </c>
      <c r="K2596">
        <v>0</v>
      </c>
      <c r="L2596">
        <v>2400</v>
      </c>
      <c r="M2596">
        <v>2400</v>
      </c>
      <c r="N2596">
        <v>0</v>
      </c>
    </row>
    <row r="2597" spans="1:14" x14ac:dyDescent="0.25">
      <c r="A2597">
        <v>1648.797757</v>
      </c>
      <c r="B2597" s="1">
        <f>DATE(2014,11,4) + TIME(19,8,46)</f>
        <v>41947.797754629632</v>
      </c>
      <c r="C2597">
        <v>80</v>
      </c>
      <c r="D2597">
        <v>79.524948120000005</v>
      </c>
      <c r="E2597">
        <v>50</v>
      </c>
      <c r="F2597">
        <v>49.988029480000002</v>
      </c>
      <c r="G2597">
        <v>1249.7895507999999</v>
      </c>
      <c r="H2597">
        <v>1218.0687256000001</v>
      </c>
      <c r="I2597">
        <v>1506.8243408000001</v>
      </c>
      <c r="J2597">
        <v>1458.6555175999999</v>
      </c>
      <c r="K2597">
        <v>0</v>
      </c>
      <c r="L2597">
        <v>2400</v>
      </c>
      <c r="M2597">
        <v>2400</v>
      </c>
      <c r="N2597">
        <v>0</v>
      </c>
    </row>
    <row r="2598" spans="1:14" x14ac:dyDescent="0.25">
      <c r="A2598">
        <v>1649.124431</v>
      </c>
      <c r="B2598" s="1">
        <f>DATE(2014,11,5) + TIME(2,59,10)</f>
        <v>41948.124421296299</v>
      </c>
      <c r="C2598">
        <v>80</v>
      </c>
      <c r="D2598">
        <v>79.491828917999996</v>
      </c>
      <c r="E2598">
        <v>50</v>
      </c>
      <c r="F2598">
        <v>49.988830565999997</v>
      </c>
      <c r="G2598">
        <v>1249.7547606999999</v>
      </c>
      <c r="H2598">
        <v>1218.0273437999999</v>
      </c>
      <c r="I2598">
        <v>1506.5290527</v>
      </c>
      <c r="J2598">
        <v>1458.3686522999999</v>
      </c>
      <c r="K2598">
        <v>0</v>
      </c>
      <c r="L2598">
        <v>2400</v>
      </c>
      <c r="M2598">
        <v>2400</v>
      </c>
      <c r="N2598">
        <v>0</v>
      </c>
    </row>
    <row r="2599" spans="1:14" x14ac:dyDescent="0.25">
      <c r="A2599">
        <v>1649.453137</v>
      </c>
      <c r="B2599" s="1">
        <f>DATE(2014,11,5) + TIME(10,52,31)</f>
        <v>41948.453136574077</v>
      </c>
      <c r="C2599">
        <v>80</v>
      </c>
      <c r="D2599">
        <v>79.457366942999997</v>
      </c>
      <c r="E2599">
        <v>50</v>
      </c>
      <c r="F2599">
        <v>49.989265441999997</v>
      </c>
      <c r="G2599">
        <v>1249.7176514</v>
      </c>
      <c r="H2599">
        <v>1217.9835204999999</v>
      </c>
      <c r="I2599">
        <v>1506.2374268000001</v>
      </c>
      <c r="J2599">
        <v>1458.0852050999999</v>
      </c>
      <c r="K2599">
        <v>0</v>
      </c>
      <c r="L2599">
        <v>2400</v>
      </c>
      <c r="M2599">
        <v>2400</v>
      </c>
      <c r="N2599">
        <v>0</v>
      </c>
    </row>
    <row r="2600" spans="1:14" x14ac:dyDescent="0.25">
      <c r="A2600">
        <v>1649.78988</v>
      </c>
      <c r="B2600" s="1">
        <f>DATE(2014,11,5) + TIME(18,57,25)</f>
        <v>41948.789872685185</v>
      </c>
      <c r="C2600">
        <v>80</v>
      </c>
      <c r="D2600">
        <v>79.421836853000002</v>
      </c>
      <c r="E2600">
        <v>50</v>
      </c>
      <c r="F2600">
        <v>49.989509583</v>
      </c>
      <c r="G2600">
        <v>1249.6802978999999</v>
      </c>
      <c r="H2600">
        <v>1217.9390868999999</v>
      </c>
      <c r="I2600">
        <v>1505.9649658000001</v>
      </c>
      <c r="J2600">
        <v>1457.8203125</v>
      </c>
      <c r="K2600">
        <v>0</v>
      </c>
      <c r="L2600">
        <v>2400</v>
      </c>
      <c r="M2600">
        <v>2400</v>
      </c>
      <c r="N2600">
        <v>0</v>
      </c>
    </row>
    <row r="2601" spans="1:14" x14ac:dyDescent="0.25">
      <c r="A2601">
        <v>1650.140451</v>
      </c>
      <c r="B2601" s="1">
        <f>DATE(2014,11,6) + TIME(3,22,14)</f>
        <v>41949.140439814815</v>
      </c>
      <c r="C2601">
        <v>80</v>
      </c>
      <c r="D2601">
        <v>79.385101317999997</v>
      </c>
      <c r="E2601">
        <v>50</v>
      </c>
      <c r="F2601">
        <v>49.989654541</v>
      </c>
      <c r="G2601">
        <v>1249.6419678</v>
      </c>
      <c r="H2601">
        <v>1217.8934326000001</v>
      </c>
      <c r="I2601">
        <v>1505.7042236</v>
      </c>
      <c r="J2601">
        <v>1457.5668945</v>
      </c>
      <c r="K2601">
        <v>0</v>
      </c>
      <c r="L2601">
        <v>2400</v>
      </c>
      <c r="M2601">
        <v>2400</v>
      </c>
      <c r="N2601">
        <v>0</v>
      </c>
    </row>
    <row r="2602" spans="1:14" x14ac:dyDescent="0.25">
      <c r="A2602">
        <v>1650.5110520000001</v>
      </c>
      <c r="B2602" s="1">
        <f>DATE(2014,11,6) + TIME(12,15,54)</f>
        <v>41949.511041666665</v>
      </c>
      <c r="C2602">
        <v>80</v>
      </c>
      <c r="D2602">
        <v>79.346778869999994</v>
      </c>
      <c r="E2602">
        <v>50</v>
      </c>
      <c r="F2602">
        <v>49.989738463999998</v>
      </c>
      <c r="G2602">
        <v>1249.6021728999999</v>
      </c>
      <c r="H2602">
        <v>1217.8458252</v>
      </c>
      <c r="I2602">
        <v>1505.4500731999999</v>
      </c>
      <c r="J2602">
        <v>1457.3195800999999</v>
      </c>
      <c r="K2602">
        <v>0</v>
      </c>
      <c r="L2602">
        <v>2400</v>
      </c>
      <c r="M2602">
        <v>2400</v>
      </c>
      <c r="N2602">
        <v>0</v>
      </c>
    </row>
    <row r="2603" spans="1:14" x14ac:dyDescent="0.25">
      <c r="A2603">
        <v>1650.9088790000001</v>
      </c>
      <c r="B2603" s="1">
        <f>DATE(2014,11,6) + TIME(21,48,47)</f>
        <v>41949.908877314818</v>
      </c>
      <c r="C2603">
        <v>80</v>
      </c>
      <c r="D2603">
        <v>79.306327820000007</v>
      </c>
      <c r="E2603">
        <v>50</v>
      </c>
      <c r="F2603">
        <v>49.989791869999998</v>
      </c>
      <c r="G2603">
        <v>1249.5601807</v>
      </c>
      <c r="H2603">
        <v>1217.7955322</v>
      </c>
      <c r="I2603">
        <v>1505.1976318</v>
      </c>
      <c r="J2603">
        <v>1457.0740966999999</v>
      </c>
      <c r="K2603">
        <v>0</v>
      </c>
      <c r="L2603">
        <v>2400</v>
      </c>
      <c r="M2603">
        <v>2400</v>
      </c>
      <c r="N2603">
        <v>0</v>
      </c>
    </row>
    <row r="2604" spans="1:14" x14ac:dyDescent="0.25">
      <c r="A2604">
        <v>1651.3430719999999</v>
      </c>
      <c r="B2604" s="1">
        <f>DATE(2014,11,7) + TIME(8,14,1)</f>
        <v>41950.34306712963</v>
      </c>
      <c r="C2604">
        <v>80</v>
      </c>
      <c r="D2604">
        <v>79.263053893999995</v>
      </c>
      <c r="E2604">
        <v>50</v>
      </c>
      <c r="F2604">
        <v>49.989822388</v>
      </c>
      <c r="G2604">
        <v>1249.5150146000001</v>
      </c>
      <c r="H2604">
        <v>1217.7416992000001</v>
      </c>
      <c r="I2604">
        <v>1504.9429932</v>
      </c>
      <c r="J2604">
        <v>1456.8264160000001</v>
      </c>
      <c r="K2604">
        <v>0</v>
      </c>
      <c r="L2604">
        <v>2400</v>
      </c>
      <c r="M2604">
        <v>2400</v>
      </c>
      <c r="N2604">
        <v>0</v>
      </c>
    </row>
    <row r="2605" spans="1:14" x14ac:dyDescent="0.25">
      <c r="A2605">
        <v>1651.7922149999999</v>
      </c>
      <c r="B2605" s="1">
        <f>DATE(2014,11,7) + TIME(19,0,47)</f>
        <v>41950.792210648149</v>
      </c>
      <c r="C2605">
        <v>80</v>
      </c>
      <c r="D2605">
        <v>79.217399596999996</v>
      </c>
      <c r="E2605">
        <v>50</v>
      </c>
      <c r="F2605">
        <v>49.989841460999997</v>
      </c>
      <c r="G2605">
        <v>1249.4656981999999</v>
      </c>
      <c r="H2605">
        <v>1217.6831055</v>
      </c>
      <c r="I2605">
        <v>1504.6817627</v>
      </c>
      <c r="J2605">
        <v>1456.5722656</v>
      </c>
      <c r="K2605">
        <v>0</v>
      </c>
      <c r="L2605">
        <v>2400</v>
      </c>
      <c r="M2605">
        <v>2400</v>
      </c>
      <c r="N2605">
        <v>0</v>
      </c>
    </row>
    <row r="2606" spans="1:14" x14ac:dyDescent="0.25">
      <c r="A2606">
        <v>1652.245621</v>
      </c>
      <c r="B2606" s="1">
        <f>DATE(2014,11,8) + TIME(5,53,41)</f>
        <v>41951.245613425926</v>
      </c>
      <c r="C2606">
        <v>80</v>
      </c>
      <c r="D2606">
        <v>79.170417786000002</v>
      </c>
      <c r="E2606">
        <v>50</v>
      </c>
      <c r="F2606">
        <v>49.989856719999999</v>
      </c>
      <c r="G2606">
        <v>1249.4146728999999</v>
      </c>
      <c r="H2606">
        <v>1217.6225586</v>
      </c>
      <c r="I2606">
        <v>1504.4279785000001</v>
      </c>
      <c r="J2606">
        <v>1456.3253173999999</v>
      </c>
      <c r="K2606">
        <v>0</v>
      </c>
      <c r="L2606">
        <v>2400</v>
      </c>
      <c r="M2606">
        <v>2400</v>
      </c>
      <c r="N2606">
        <v>0</v>
      </c>
    </row>
    <row r="2607" spans="1:14" x14ac:dyDescent="0.25">
      <c r="A2607">
        <v>1652.7111460000001</v>
      </c>
      <c r="B2607" s="1">
        <f>DATE(2014,11,8) + TIME(17,4,3)</f>
        <v>41951.711145833331</v>
      </c>
      <c r="C2607">
        <v>80</v>
      </c>
      <c r="D2607">
        <v>79.122428893999995</v>
      </c>
      <c r="E2607">
        <v>50</v>
      </c>
      <c r="F2607">
        <v>49.989864349000001</v>
      </c>
      <c r="G2607">
        <v>1249.3632812000001</v>
      </c>
      <c r="H2607">
        <v>1217.5612793</v>
      </c>
      <c r="I2607">
        <v>1504.1866454999999</v>
      </c>
      <c r="J2607">
        <v>1456.0904541</v>
      </c>
      <c r="K2607">
        <v>0</v>
      </c>
      <c r="L2607">
        <v>2400</v>
      </c>
      <c r="M2607">
        <v>2400</v>
      </c>
      <c r="N2607">
        <v>0</v>
      </c>
    </row>
    <row r="2608" spans="1:14" x14ac:dyDescent="0.25">
      <c r="A2608">
        <v>1653.1966159999999</v>
      </c>
      <c r="B2608" s="1">
        <f>DATE(2014,11,9) + TIME(4,43,7)</f>
        <v>41952.196608796294</v>
      </c>
      <c r="C2608">
        <v>80</v>
      </c>
      <c r="D2608">
        <v>79.073104857999994</v>
      </c>
      <c r="E2608">
        <v>50</v>
      </c>
      <c r="F2608">
        <v>49.989871979</v>
      </c>
      <c r="G2608">
        <v>1249.3104248</v>
      </c>
      <c r="H2608">
        <v>1217.4981689000001</v>
      </c>
      <c r="I2608">
        <v>1503.9526367000001</v>
      </c>
      <c r="J2608">
        <v>1455.8625488</v>
      </c>
      <c r="K2608">
        <v>0</v>
      </c>
      <c r="L2608">
        <v>2400</v>
      </c>
      <c r="M2608">
        <v>2400</v>
      </c>
      <c r="N2608">
        <v>0</v>
      </c>
    </row>
    <row r="2609" spans="1:14" x14ac:dyDescent="0.25">
      <c r="A2609">
        <v>1653.7106759999999</v>
      </c>
      <c r="B2609" s="1">
        <f>DATE(2014,11,9) + TIME(17,3,22)</f>
        <v>41952.7106712963</v>
      </c>
      <c r="C2609">
        <v>80</v>
      </c>
      <c r="D2609">
        <v>79.021827697999996</v>
      </c>
      <c r="E2609">
        <v>50</v>
      </c>
      <c r="F2609">
        <v>49.989879608000003</v>
      </c>
      <c r="G2609">
        <v>1249.2553711</v>
      </c>
      <c r="H2609">
        <v>1217.4324951000001</v>
      </c>
      <c r="I2609">
        <v>1503.7216797000001</v>
      </c>
      <c r="J2609">
        <v>1455.6376952999999</v>
      </c>
      <c r="K2609">
        <v>0</v>
      </c>
      <c r="L2609">
        <v>2400</v>
      </c>
      <c r="M2609">
        <v>2400</v>
      </c>
      <c r="N2609">
        <v>0</v>
      </c>
    </row>
    <row r="2610" spans="1:14" x14ac:dyDescent="0.25">
      <c r="A2610">
        <v>1654.2636869999999</v>
      </c>
      <c r="B2610" s="1">
        <f>DATE(2014,11,10) + TIME(6,19,42)</f>
        <v>41953.263680555552</v>
      </c>
      <c r="C2610">
        <v>80</v>
      </c>
      <c r="D2610">
        <v>78.967796325999998</v>
      </c>
      <c r="E2610">
        <v>50</v>
      </c>
      <c r="F2610">
        <v>49.989883423000002</v>
      </c>
      <c r="G2610">
        <v>1249.1970214999999</v>
      </c>
      <c r="H2610">
        <v>1217.3630370999999</v>
      </c>
      <c r="I2610">
        <v>1503.4899902</v>
      </c>
      <c r="J2610">
        <v>1455.4119873</v>
      </c>
      <c r="K2610">
        <v>0</v>
      </c>
      <c r="L2610">
        <v>2400</v>
      </c>
      <c r="M2610">
        <v>2400</v>
      </c>
      <c r="N2610">
        <v>0</v>
      </c>
    </row>
    <row r="2611" spans="1:14" x14ac:dyDescent="0.25">
      <c r="A2611">
        <v>1654.865994</v>
      </c>
      <c r="B2611" s="1">
        <f>DATE(2014,11,10) + TIME(20,47,1)</f>
        <v>41953.865983796299</v>
      </c>
      <c r="C2611">
        <v>80</v>
      </c>
      <c r="D2611">
        <v>78.910072326999995</v>
      </c>
      <c r="E2611">
        <v>50</v>
      </c>
      <c r="F2611">
        <v>49.989891051999997</v>
      </c>
      <c r="G2611">
        <v>1249.1343993999999</v>
      </c>
      <c r="H2611">
        <v>1217.2883300999999</v>
      </c>
      <c r="I2611">
        <v>1503.2540283000001</v>
      </c>
      <c r="J2611">
        <v>1455.1821289</v>
      </c>
      <c r="K2611">
        <v>0</v>
      </c>
      <c r="L2611">
        <v>2400</v>
      </c>
      <c r="M2611">
        <v>2400</v>
      </c>
      <c r="N2611">
        <v>0</v>
      </c>
    </row>
    <row r="2612" spans="1:14" x14ac:dyDescent="0.25">
      <c r="A2612">
        <v>1655.468509</v>
      </c>
      <c r="B2612" s="1">
        <f>DATE(2014,11,11) + TIME(11,14,39)</f>
        <v>41954.468506944446</v>
      </c>
      <c r="C2612">
        <v>80</v>
      </c>
      <c r="D2612">
        <v>78.849662781000006</v>
      </c>
      <c r="E2612">
        <v>50</v>
      </c>
      <c r="F2612">
        <v>49.989894866999997</v>
      </c>
      <c r="G2612">
        <v>1249.0660399999999</v>
      </c>
      <c r="H2612">
        <v>1217.2073975000001</v>
      </c>
      <c r="I2612">
        <v>1503.0108643000001</v>
      </c>
      <c r="J2612">
        <v>1454.9450684000001</v>
      </c>
      <c r="K2612">
        <v>0</v>
      </c>
      <c r="L2612">
        <v>2400</v>
      </c>
      <c r="M2612">
        <v>2400</v>
      </c>
      <c r="N2612">
        <v>0</v>
      </c>
    </row>
    <row r="2613" spans="1:14" x14ac:dyDescent="0.25">
      <c r="A2613">
        <v>1656.0814559999999</v>
      </c>
      <c r="B2613" s="1">
        <f>DATE(2014,11,12) + TIME(1,57,17)</f>
        <v>41955.081446759257</v>
      </c>
      <c r="C2613">
        <v>80</v>
      </c>
      <c r="D2613">
        <v>78.788139342999997</v>
      </c>
      <c r="E2613">
        <v>50</v>
      </c>
      <c r="F2613">
        <v>49.989902495999999</v>
      </c>
      <c r="G2613">
        <v>1248.9975586</v>
      </c>
      <c r="H2613">
        <v>1217.1260986</v>
      </c>
      <c r="I2613">
        <v>1502.7807617000001</v>
      </c>
      <c r="J2613">
        <v>1454.7207031</v>
      </c>
      <c r="K2613">
        <v>0</v>
      </c>
      <c r="L2613">
        <v>2400</v>
      </c>
      <c r="M2613">
        <v>2400</v>
      </c>
      <c r="N2613">
        <v>0</v>
      </c>
    </row>
    <row r="2614" spans="1:14" x14ac:dyDescent="0.25">
      <c r="A2614">
        <v>1656.7153109999999</v>
      </c>
      <c r="B2614" s="1">
        <f>DATE(2014,11,12) + TIME(17,10,2)</f>
        <v>41955.715300925927</v>
      </c>
      <c r="C2614">
        <v>80</v>
      </c>
      <c r="D2614">
        <v>78.725387573000006</v>
      </c>
      <c r="E2614">
        <v>50</v>
      </c>
      <c r="F2614">
        <v>49.989906310999999</v>
      </c>
      <c r="G2614">
        <v>1248.9279785000001</v>
      </c>
      <c r="H2614">
        <v>1217.0432129000001</v>
      </c>
      <c r="I2614">
        <v>1502.5588379000001</v>
      </c>
      <c r="J2614">
        <v>1454.5042725000001</v>
      </c>
      <c r="K2614">
        <v>0</v>
      </c>
      <c r="L2614">
        <v>2400</v>
      </c>
      <c r="M2614">
        <v>2400</v>
      </c>
      <c r="N2614">
        <v>0</v>
      </c>
    </row>
    <row r="2615" spans="1:14" x14ac:dyDescent="0.25">
      <c r="A2615">
        <v>1657.3812290000001</v>
      </c>
      <c r="B2615" s="1">
        <f>DATE(2014,11,13) + TIME(9,8,58)</f>
        <v>41956.381226851852</v>
      </c>
      <c r="C2615">
        <v>80</v>
      </c>
      <c r="D2615">
        <v>78.660690308</v>
      </c>
      <c r="E2615">
        <v>50</v>
      </c>
      <c r="F2615">
        <v>49.989913940000001</v>
      </c>
      <c r="G2615">
        <v>1248.855957</v>
      </c>
      <c r="H2615">
        <v>1216.9573975000001</v>
      </c>
      <c r="I2615">
        <v>1502.3409423999999</v>
      </c>
      <c r="J2615">
        <v>1454.291626</v>
      </c>
      <c r="K2615">
        <v>0</v>
      </c>
      <c r="L2615">
        <v>2400</v>
      </c>
      <c r="M2615">
        <v>2400</v>
      </c>
      <c r="N2615">
        <v>0</v>
      </c>
    </row>
    <row r="2616" spans="1:14" x14ac:dyDescent="0.25">
      <c r="A2616">
        <v>1658.0918830000001</v>
      </c>
      <c r="B2616" s="1">
        <f>DATE(2014,11,14) + TIME(2,12,18)</f>
        <v>41957.091874999998</v>
      </c>
      <c r="C2616">
        <v>80</v>
      </c>
      <c r="D2616">
        <v>78.593032836999996</v>
      </c>
      <c r="E2616">
        <v>50</v>
      </c>
      <c r="F2616">
        <v>49.989917755</v>
      </c>
      <c r="G2616">
        <v>1248.7802733999999</v>
      </c>
      <c r="H2616">
        <v>1216.8673096</v>
      </c>
      <c r="I2616">
        <v>1502.1232910000001</v>
      </c>
      <c r="J2616">
        <v>1454.0791016000001</v>
      </c>
      <c r="K2616">
        <v>0</v>
      </c>
      <c r="L2616">
        <v>2400</v>
      </c>
      <c r="M2616">
        <v>2400</v>
      </c>
      <c r="N2616">
        <v>0</v>
      </c>
    </row>
    <row r="2617" spans="1:14" x14ac:dyDescent="0.25">
      <c r="A2617">
        <v>1658.839203</v>
      </c>
      <c r="B2617" s="1">
        <f>DATE(2014,11,14) + TIME(20,8,27)</f>
        <v>41957.839201388888</v>
      </c>
      <c r="C2617">
        <v>80</v>
      </c>
      <c r="D2617">
        <v>78.521881104000002</v>
      </c>
      <c r="E2617">
        <v>50</v>
      </c>
      <c r="F2617">
        <v>49.989925384999999</v>
      </c>
      <c r="G2617">
        <v>1248.6995850000001</v>
      </c>
      <c r="H2617">
        <v>1216.7713623</v>
      </c>
      <c r="I2617">
        <v>1501.9024658000001</v>
      </c>
      <c r="J2617">
        <v>1453.8634033000001</v>
      </c>
      <c r="K2617">
        <v>0</v>
      </c>
      <c r="L2617">
        <v>2400</v>
      </c>
      <c r="M2617">
        <v>2400</v>
      </c>
      <c r="N2617">
        <v>0</v>
      </c>
    </row>
    <row r="2618" spans="1:14" x14ac:dyDescent="0.25">
      <c r="A2618">
        <v>1659.589481</v>
      </c>
      <c r="B2618" s="1">
        <f>DATE(2014,11,15) + TIME(14,8,51)</f>
        <v>41958.589479166665</v>
      </c>
      <c r="C2618">
        <v>80</v>
      </c>
      <c r="D2618">
        <v>78.448371886999993</v>
      </c>
      <c r="E2618">
        <v>50</v>
      </c>
      <c r="F2618">
        <v>49.989933014000002</v>
      </c>
      <c r="G2618">
        <v>1248.6143798999999</v>
      </c>
      <c r="H2618">
        <v>1216.6705322</v>
      </c>
      <c r="I2618">
        <v>1501.6817627</v>
      </c>
      <c r="J2618">
        <v>1453.6477050999999</v>
      </c>
      <c r="K2618">
        <v>0</v>
      </c>
      <c r="L2618">
        <v>2400</v>
      </c>
      <c r="M2618">
        <v>2400</v>
      </c>
      <c r="N2618">
        <v>0</v>
      </c>
    </row>
    <row r="2619" spans="1:14" x14ac:dyDescent="0.25">
      <c r="A2619">
        <v>1660.3552</v>
      </c>
      <c r="B2619" s="1">
        <f>DATE(2014,11,16) + TIME(8,31,29)</f>
        <v>41959.355196759258</v>
      </c>
      <c r="C2619">
        <v>80</v>
      </c>
      <c r="D2619">
        <v>78.373832703000005</v>
      </c>
      <c r="E2619">
        <v>50</v>
      </c>
      <c r="F2619">
        <v>49.989936829000001</v>
      </c>
      <c r="G2619">
        <v>1248.5289307</v>
      </c>
      <c r="H2619">
        <v>1216.5687256000001</v>
      </c>
      <c r="I2619">
        <v>1501.4710693</v>
      </c>
      <c r="J2619">
        <v>1453.4417725000001</v>
      </c>
      <c r="K2619">
        <v>0</v>
      </c>
      <c r="L2619">
        <v>2400</v>
      </c>
      <c r="M2619">
        <v>2400</v>
      </c>
      <c r="N2619">
        <v>0</v>
      </c>
    </row>
    <row r="2620" spans="1:14" x14ac:dyDescent="0.25">
      <c r="A2620">
        <v>1661.149019</v>
      </c>
      <c r="B2620" s="1">
        <f>DATE(2014,11,17) + TIME(3,34,35)</f>
        <v>41960.149016203701</v>
      </c>
      <c r="C2620">
        <v>80</v>
      </c>
      <c r="D2620">
        <v>78.297836304</v>
      </c>
      <c r="E2620">
        <v>50</v>
      </c>
      <c r="F2620">
        <v>49.989944457999997</v>
      </c>
      <c r="G2620">
        <v>1248.4415283000001</v>
      </c>
      <c r="H2620">
        <v>1216.4648437999999</v>
      </c>
      <c r="I2620">
        <v>1501.2662353999999</v>
      </c>
      <c r="J2620">
        <v>1453.2413329999999</v>
      </c>
      <c r="K2620">
        <v>0</v>
      </c>
      <c r="L2620">
        <v>2400</v>
      </c>
      <c r="M2620">
        <v>2400</v>
      </c>
      <c r="N2620">
        <v>0</v>
      </c>
    </row>
    <row r="2621" spans="1:14" x14ac:dyDescent="0.25">
      <c r="A2621">
        <v>1661.984864</v>
      </c>
      <c r="B2621" s="1">
        <f>DATE(2014,11,17) + TIME(23,38,12)</f>
        <v>41960.984861111108</v>
      </c>
      <c r="C2621">
        <v>80</v>
      </c>
      <c r="D2621">
        <v>78.21937561</v>
      </c>
      <c r="E2621">
        <v>50</v>
      </c>
      <c r="F2621">
        <v>49.989952086999999</v>
      </c>
      <c r="G2621">
        <v>1248.3509521000001</v>
      </c>
      <c r="H2621">
        <v>1216.3569336</v>
      </c>
      <c r="I2621">
        <v>1501.0637207</v>
      </c>
      <c r="J2621">
        <v>1453.0430908000001</v>
      </c>
      <c r="K2621">
        <v>0</v>
      </c>
      <c r="L2621">
        <v>2400</v>
      </c>
      <c r="M2621">
        <v>2400</v>
      </c>
      <c r="N2621">
        <v>0</v>
      </c>
    </row>
    <row r="2622" spans="1:14" x14ac:dyDescent="0.25">
      <c r="A2622">
        <v>1662.879199</v>
      </c>
      <c r="B2622" s="1">
        <f>DATE(2014,11,18) + TIME(21,6,2)</f>
        <v>41961.879189814812</v>
      </c>
      <c r="C2622">
        <v>80</v>
      </c>
      <c r="D2622">
        <v>78.137191771999994</v>
      </c>
      <c r="E2622">
        <v>50</v>
      </c>
      <c r="F2622">
        <v>49.989959716999998</v>
      </c>
      <c r="G2622">
        <v>1248.2553711</v>
      </c>
      <c r="H2622">
        <v>1216.2431641000001</v>
      </c>
      <c r="I2622">
        <v>1500.8599853999999</v>
      </c>
      <c r="J2622">
        <v>1452.8436279</v>
      </c>
      <c r="K2622">
        <v>0</v>
      </c>
      <c r="L2622">
        <v>2400</v>
      </c>
      <c r="M2622">
        <v>2400</v>
      </c>
      <c r="N2622">
        <v>0</v>
      </c>
    </row>
    <row r="2623" spans="1:14" x14ac:dyDescent="0.25">
      <c r="A2623">
        <v>1663.798704</v>
      </c>
      <c r="B2623" s="1">
        <f>DATE(2014,11,19) + TIME(19,10,8)</f>
        <v>41962.798703703702</v>
      </c>
      <c r="C2623">
        <v>80</v>
      </c>
      <c r="D2623">
        <v>78.051040649000001</v>
      </c>
      <c r="E2623">
        <v>50</v>
      </c>
      <c r="F2623">
        <v>49.989967346</v>
      </c>
      <c r="G2623">
        <v>1248.1529541</v>
      </c>
      <c r="H2623">
        <v>1216.1217041</v>
      </c>
      <c r="I2623">
        <v>1500.6520995999999</v>
      </c>
      <c r="J2623">
        <v>1452.6398925999999</v>
      </c>
      <c r="K2623">
        <v>0</v>
      </c>
      <c r="L2623">
        <v>2400</v>
      </c>
      <c r="M2623">
        <v>2400</v>
      </c>
      <c r="N2623">
        <v>0</v>
      </c>
    </row>
    <row r="2624" spans="1:14" x14ac:dyDescent="0.25">
      <c r="A2624">
        <v>1664.7272720000001</v>
      </c>
      <c r="B2624" s="1">
        <f>DATE(2014,11,20) + TIME(17,27,16)</f>
        <v>41963.727268518516</v>
      </c>
      <c r="C2624">
        <v>80</v>
      </c>
      <c r="D2624">
        <v>77.962783813000001</v>
      </c>
      <c r="E2624">
        <v>50</v>
      </c>
      <c r="F2624">
        <v>49.989974975999999</v>
      </c>
      <c r="G2624">
        <v>1248.0474853999999</v>
      </c>
      <c r="H2624">
        <v>1215.9963379000001</v>
      </c>
      <c r="I2624">
        <v>1500.4479980000001</v>
      </c>
      <c r="J2624">
        <v>1452.4399414</v>
      </c>
      <c r="K2624">
        <v>0</v>
      </c>
      <c r="L2624">
        <v>2400</v>
      </c>
      <c r="M2624">
        <v>2400</v>
      </c>
      <c r="N2624">
        <v>0</v>
      </c>
    </row>
    <row r="2625" spans="1:14" x14ac:dyDescent="0.25">
      <c r="A2625">
        <v>1665.6805039999999</v>
      </c>
      <c r="B2625" s="1">
        <f>DATE(2014,11,21) + TIME(16,19,55)</f>
        <v>41964.680497685185</v>
      </c>
      <c r="C2625">
        <v>80</v>
      </c>
      <c r="D2625">
        <v>77.873321532999995</v>
      </c>
      <c r="E2625">
        <v>50</v>
      </c>
      <c r="F2625">
        <v>49.989982605000002</v>
      </c>
      <c r="G2625">
        <v>1247.9406738</v>
      </c>
      <c r="H2625">
        <v>1215.8692627</v>
      </c>
      <c r="I2625">
        <v>1500.2512207</v>
      </c>
      <c r="J2625">
        <v>1452.2468262</v>
      </c>
      <c r="K2625">
        <v>0</v>
      </c>
      <c r="L2625">
        <v>2400</v>
      </c>
      <c r="M2625">
        <v>2400</v>
      </c>
      <c r="N2625">
        <v>0</v>
      </c>
    </row>
    <row r="2626" spans="1:14" x14ac:dyDescent="0.25">
      <c r="A2626">
        <v>1666.6747339999999</v>
      </c>
      <c r="B2626" s="1">
        <f>DATE(2014,11,22) + TIME(16,11,37)</f>
        <v>41965.674733796295</v>
      </c>
      <c r="C2626">
        <v>80</v>
      </c>
      <c r="D2626">
        <v>77.781799316000004</v>
      </c>
      <c r="E2626">
        <v>50</v>
      </c>
      <c r="F2626">
        <v>49.989990233999997</v>
      </c>
      <c r="G2626">
        <v>1247.8308105000001</v>
      </c>
      <c r="H2626">
        <v>1215.7386475000001</v>
      </c>
      <c r="I2626">
        <v>1500.0577393000001</v>
      </c>
      <c r="J2626">
        <v>1452.0570068</v>
      </c>
      <c r="K2626">
        <v>0</v>
      </c>
      <c r="L2626">
        <v>2400</v>
      </c>
      <c r="M2626">
        <v>2400</v>
      </c>
      <c r="N2626">
        <v>0</v>
      </c>
    </row>
    <row r="2627" spans="1:14" x14ac:dyDescent="0.25">
      <c r="A2627">
        <v>1667.7241140000001</v>
      </c>
      <c r="B2627" s="1">
        <f>DATE(2014,11,23) + TIME(17,22,43)</f>
        <v>41966.724108796298</v>
      </c>
      <c r="C2627">
        <v>80</v>
      </c>
      <c r="D2627">
        <v>77.686943053999997</v>
      </c>
      <c r="E2627">
        <v>50</v>
      </c>
      <c r="F2627">
        <v>49.990001677999999</v>
      </c>
      <c r="G2627">
        <v>1247.7159423999999</v>
      </c>
      <c r="H2627">
        <v>1215.6019286999999</v>
      </c>
      <c r="I2627">
        <v>1499.864624</v>
      </c>
      <c r="J2627">
        <v>1451.8673096</v>
      </c>
      <c r="K2627">
        <v>0</v>
      </c>
      <c r="L2627">
        <v>2400</v>
      </c>
      <c r="M2627">
        <v>2400</v>
      </c>
      <c r="N2627">
        <v>0</v>
      </c>
    </row>
    <row r="2628" spans="1:14" x14ac:dyDescent="0.25">
      <c r="A2628">
        <v>1668.8084719999999</v>
      </c>
      <c r="B2628" s="1">
        <f>DATE(2014,11,24) + TIME(19,24,12)</f>
        <v>41967.808472222219</v>
      </c>
      <c r="C2628">
        <v>80</v>
      </c>
      <c r="D2628">
        <v>77.588211060000006</v>
      </c>
      <c r="E2628">
        <v>50</v>
      </c>
      <c r="F2628">
        <v>49.990009307999998</v>
      </c>
      <c r="G2628">
        <v>1247.5944824000001</v>
      </c>
      <c r="H2628">
        <v>1215.4576416</v>
      </c>
      <c r="I2628">
        <v>1499.6691894999999</v>
      </c>
      <c r="J2628">
        <v>1451.6754149999999</v>
      </c>
      <c r="K2628">
        <v>0</v>
      </c>
      <c r="L2628">
        <v>2400</v>
      </c>
      <c r="M2628">
        <v>2400</v>
      </c>
      <c r="N2628">
        <v>0</v>
      </c>
    </row>
    <row r="2629" spans="1:14" x14ac:dyDescent="0.25">
      <c r="A2629">
        <v>1669.9002909999999</v>
      </c>
      <c r="B2629" s="1">
        <f>DATE(2014,11,25) + TIME(21,36,25)</f>
        <v>41968.900289351855</v>
      </c>
      <c r="C2629">
        <v>80</v>
      </c>
      <c r="D2629">
        <v>77.487098693999997</v>
      </c>
      <c r="E2629">
        <v>50</v>
      </c>
      <c r="F2629">
        <v>49.990020752</v>
      </c>
      <c r="G2629">
        <v>1247.4683838000001</v>
      </c>
      <c r="H2629">
        <v>1215.3079834</v>
      </c>
      <c r="I2629">
        <v>1499.4755858999999</v>
      </c>
      <c r="J2629">
        <v>1451.4851074000001</v>
      </c>
      <c r="K2629">
        <v>0</v>
      </c>
      <c r="L2629">
        <v>2400</v>
      </c>
      <c r="M2629">
        <v>2400</v>
      </c>
      <c r="N2629">
        <v>0</v>
      </c>
    </row>
    <row r="2630" spans="1:14" x14ac:dyDescent="0.25">
      <c r="A2630">
        <v>1671.0174039999999</v>
      </c>
      <c r="B2630" s="1">
        <f>DATE(2014,11,27) + TIME(0,25,3)</f>
        <v>41970.017395833333</v>
      </c>
      <c r="C2630">
        <v>80</v>
      </c>
      <c r="D2630">
        <v>77.384979247999993</v>
      </c>
      <c r="E2630">
        <v>50</v>
      </c>
      <c r="F2630">
        <v>49.990028381000002</v>
      </c>
      <c r="G2630">
        <v>1247.3410644999999</v>
      </c>
      <c r="H2630">
        <v>1215.1564940999999</v>
      </c>
      <c r="I2630">
        <v>1499.2886963000001</v>
      </c>
      <c r="J2630">
        <v>1451.3012695</v>
      </c>
      <c r="K2630">
        <v>0</v>
      </c>
      <c r="L2630">
        <v>2400</v>
      </c>
      <c r="M2630">
        <v>2400</v>
      </c>
      <c r="N2630">
        <v>0</v>
      </c>
    </row>
    <row r="2631" spans="1:14" x14ac:dyDescent="0.25">
      <c r="A2631">
        <v>1672.1782679999999</v>
      </c>
      <c r="B2631" s="1">
        <f>DATE(2014,11,28) + TIME(4,16,42)</f>
        <v>41971.178263888891</v>
      </c>
      <c r="C2631">
        <v>80</v>
      </c>
      <c r="D2631">
        <v>77.280921935999999</v>
      </c>
      <c r="E2631">
        <v>50</v>
      </c>
      <c r="F2631">
        <v>49.990039824999997</v>
      </c>
      <c r="G2631">
        <v>1247.2103271000001</v>
      </c>
      <c r="H2631">
        <v>1215.0009766000001</v>
      </c>
      <c r="I2631">
        <v>1499.1048584</v>
      </c>
      <c r="J2631">
        <v>1451.1204834</v>
      </c>
      <c r="K2631">
        <v>0</v>
      </c>
      <c r="L2631">
        <v>2400</v>
      </c>
      <c r="M2631">
        <v>2400</v>
      </c>
      <c r="N2631">
        <v>0</v>
      </c>
    </row>
    <row r="2632" spans="1:14" x14ac:dyDescent="0.25">
      <c r="A2632">
        <v>1673.403859</v>
      </c>
      <c r="B2632" s="1">
        <f>DATE(2014,11,29) + TIME(9,41,33)</f>
        <v>41972.403854166667</v>
      </c>
      <c r="C2632">
        <v>80</v>
      </c>
      <c r="D2632">
        <v>77.173423767000003</v>
      </c>
      <c r="E2632">
        <v>50</v>
      </c>
      <c r="F2632">
        <v>49.990047455000003</v>
      </c>
      <c r="G2632">
        <v>1247.0740966999999</v>
      </c>
      <c r="H2632">
        <v>1214.8387451000001</v>
      </c>
      <c r="I2632">
        <v>1498.9211425999999</v>
      </c>
      <c r="J2632">
        <v>1450.9395752</v>
      </c>
      <c r="K2632">
        <v>0</v>
      </c>
      <c r="L2632">
        <v>2400</v>
      </c>
      <c r="M2632">
        <v>2400</v>
      </c>
      <c r="N2632">
        <v>0</v>
      </c>
    </row>
    <row r="2633" spans="1:14" x14ac:dyDescent="0.25">
      <c r="A2633">
        <v>1674.6885159999999</v>
      </c>
      <c r="B2633" s="1">
        <f>DATE(2014,11,30) + TIME(16,31,27)</f>
        <v>41973.688506944447</v>
      </c>
      <c r="C2633">
        <v>80</v>
      </c>
      <c r="D2633">
        <v>77.061195373999993</v>
      </c>
      <c r="E2633">
        <v>50</v>
      </c>
      <c r="F2633">
        <v>49.990058898999997</v>
      </c>
      <c r="G2633">
        <v>1246.9295654</v>
      </c>
      <c r="H2633">
        <v>1214.6669922000001</v>
      </c>
      <c r="I2633">
        <v>1498.7346190999999</v>
      </c>
      <c r="J2633">
        <v>1450.7557373</v>
      </c>
      <c r="K2633">
        <v>0</v>
      </c>
      <c r="L2633">
        <v>2400</v>
      </c>
      <c r="M2633">
        <v>2400</v>
      </c>
      <c r="N2633">
        <v>0</v>
      </c>
    </row>
    <row r="2634" spans="1:14" x14ac:dyDescent="0.25">
      <c r="A2634">
        <v>1675</v>
      </c>
      <c r="B2634" s="1">
        <f>DATE(2014,12,1) + TIME(0,0,0)</f>
        <v>41974</v>
      </c>
      <c r="C2634">
        <v>80</v>
      </c>
      <c r="D2634">
        <v>76.990608214999995</v>
      </c>
      <c r="E2634">
        <v>50</v>
      </c>
      <c r="F2634">
        <v>49.990051270000002</v>
      </c>
      <c r="G2634">
        <v>1246.7773437999999</v>
      </c>
      <c r="H2634">
        <v>1214.5001221</v>
      </c>
      <c r="I2634">
        <v>1498.5491943</v>
      </c>
      <c r="J2634">
        <v>1450.5731201000001</v>
      </c>
      <c r="K2634">
        <v>0</v>
      </c>
      <c r="L2634">
        <v>2400</v>
      </c>
      <c r="M2634">
        <v>2400</v>
      </c>
      <c r="N2634">
        <v>0</v>
      </c>
    </row>
    <row r="2635" spans="1:14" x14ac:dyDescent="0.25">
      <c r="A2635">
        <v>1676.289223</v>
      </c>
      <c r="B2635" s="1">
        <f>DATE(2014,12,2) + TIME(6,56,28)</f>
        <v>41975.289212962962</v>
      </c>
      <c r="C2635">
        <v>80</v>
      </c>
      <c r="D2635">
        <v>76.908401488999999</v>
      </c>
      <c r="E2635">
        <v>50</v>
      </c>
      <c r="F2635">
        <v>49.990074157999999</v>
      </c>
      <c r="G2635">
        <v>1246.7392577999999</v>
      </c>
      <c r="H2635">
        <v>1214.4381103999999</v>
      </c>
      <c r="I2635">
        <v>1498.5013428</v>
      </c>
      <c r="J2635">
        <v>1450.5257568</v>
      </c>
      <c r="K2635">
        <v>0</v>
      </c>
      <c r="L2635">
        <v>2400</v>
      </c>
      <c r="M2635">
        <v>2400</v>
      </c>
      <c r="N2635">
        <v>0</v>
      </c>
    </row>
    <row r="2636" spans="1:14" x14ac:dyDescent="0.25">
      <c r="A2636">
        <v>1677.6143460000001</v>
      </c>
      <c r="B2636" s="1">
        <f>DATE(2014,12,3) + TIME(14,44,39)</f>
        <v>41976.614340277774</v>
      </c>
      <c r="C2636">
        <v>80</v>
      </c>
      <c r="D2636">
        <v>76.798500060999999</v>
      </c>
      <c r="E2636">
        <v>50</v>
      </c>
      <c r="F2636">
        <v>49.990085602000001</v>
      </c>
      <c r="G2636">
        <v>1246.5864257999999</v>
      </c>
      <c r="H2636">
        <v>1214.2585449000001</v>
      </c>
      <c r="I2636">
        <v>1498.3218993999999</v>
      </c>
      <c r="J2636">
        <v>1450.348999</v>
      </c>
      <c r="K2636">
        <v>0</v>
      </c>
      <c r="L2636">
        <v>2400</v>
      </c>
      <c r="M2636">
        <v>2400</v>
      </c>
      <c r="N2636">
        <v>0</v>
      </c>
    </row>
    <row r="2637" spans="1:14" x14ac:dyDescent="0.25">
      <c r="A2637">
        <v>1678.99072</v>
      </c>
      <c r="B2637" s="1">
        <f>DATE(2014,12,4) + TIME(23,46,38)</f>
        <v>41977.990717592591</v>
      </c>
      <c r="C2637">
        <v>80</v>
      </c>
      <c r="D2637">
        <v>76.680686950999998</v>
      </c>
      <c r="E2637">
        <v>50</v>
      </c>
      <c r="F2637">
        <v>49.990097046000002</v>
      </c>
      <c r="G2637">
        <v>1246.4276123</v>
      </c>
      <c r="H2637">
        <v>1214.0700684000001</v>
      </c>
      <c r="I2637">
        <v>1498.1433105000001</v>
      </c>
      <c r="J2637">
        <v>1450.1727295000001</v>
      </c>
      <c r="K2637">
        <v>0</v>
      </c>
      <c r="L2637">
        <v>2400</v>
      </c>
      <c r="M2637">
        <v>2400</v>
      </c>
      <c r="N2637">
        <v>0</v>
      </c>
    </row>
    <row r="2638" spans="1:14" x14ac:dyDescent="0.25">
      <c r="A2638">
        <v>1680.4431729999999</v>
      </c>
      <c r="B2638" s="1">
        <f>DATE(2014,12,6) + TIME(10,38,10)</f>
        <v>41979.443171296298</v>
      </c>
      <c r="C2638">
        <v>80</v>
      </c>
      <c r="D2638">
        <v>76.557846068999993</v>
      </c>
      <c r="E2638">
        <v>50</v>
      </c>
      <c r="F2638">
        <v>49.990108489999997</v>
      </c>
      <c r="G2638">
        <v>1246.2615966999999</v>
      </c>
      <c r="H2638">
        <v>1213.8726807</v>
      </c>
      <c r="I2638">
        <v>1497.9643555</v>
      </c>
      <c r="J2638">
        <v>1449.9959716999999</v>
      </c>
      <c r="K2638">
        <v>0</v>
      </c>
      <c r="L2638">
        <v>2400</v>
      </c>
      <c r="M2638">
        <v>2400</v>
      </c>
      <c r="N2638">
        <v>0</v>
      </c>
    </row>
    <row r="2639" spans="1:14" x14ac:dyDescent="0.25">
      <c r="A2639">
        <v>1681.957711</v>
      </c>
      <c r="B2639" s="1">
        <f>DATE(2014,12,7) + TIME(22,59,6)</f>
        <v>41980.957708333335</v>
      </c>
      <c r="C2639">
        <v>80</v>
      </c>
      <c r="D2639">
        <v>76.429504394999995</v>
      </c>
      <c r="E2639">
        <v>50</v>
      </c>
      <c r="F2639">
        <v>49.990119933999999</v>
      </c>
      <c r="G2639">
        <v>1246.0854492000001</v>
      </c>
      <c r="H2639">
        <v>1213.6630858999999</v>
      </c>
      <c r="I2639">
        <v>1497.7819824000001</v>
      </c>
      <c r="J2639">
        <v>1449.815918</v>
      </c>
      <c r="K2639">
        <v>0</v>
      </c>
      <c r="L2639">
        <v>2400</v>
      </c>
      <c r="M2639">
        <v>2400</v>
      </c>
      <c r="N2639">
        <v>0</v>
      </c>
    </row>
    <row r="2640" spans="1:14" x14ac:dyDescent="0.25">
      <c r="A2640">
        <v>1683.485377</v>
      </c>
      <c r="B2640" s="1">
        <f>DATE(2014,12,9) + TIME(11,38,56)</f>
        <v>41982.48537037037</v>
      </c>
      <c r="C2640">
        <v>80</v>
      </c>
      <c r="D2640">
        <v>76.297164917000003</v>
      </c>
      <c r="E2640">
        <v>50</v>
      </c>
      <c r="F2640">
        <v>49.990131378000001</v>
      </c>
      <c r="G2640">
        <v>1245.9002685999999</v>
      </c>
      <c r="H2640">
        <v>1213.4431152</v>
      </c>
      <c r="I2640">
        <v>1497.5983887</v>
      </c>
      <c r="J2640">
        <v>1449.6345214999999</v>
      </c>
      <c r="K2640">
        <v>0</v>
      </c>
      <c r="L2640">
        <v>2400</v>
      </c>
      <c r="M2640">
        <v>2400</v>
      </c>
      <c r="N2640">
        <v>0</v>
      </c>
    </row>
    <row r="2641" spans="1:14" x14ac:dyDescent="0.25">
      <c r="A2641">
        <v>1685.0438799999999</v>
      </c>
      <c r="B2641" s="1">
        <f>DATE(2014,12,11) + TIME(1,3,11)</f>
        <v>41984.043877314813</v>
      </c>
      <c r="C2641">
        <v>80</v>
      </c>
      <c r="D2641">
        <v>76.163619995000005</v>
      </c>
      <c r="E2641">
        <v>50</v>
      </c>
      <c r="F2641">
        <v>49.990146637000002</v>
      </c>
      <c r="G2641">
        <v>1245.7121582</v>
      </c>
      <c r="H2641">
        <v>1213.2191161999999</v>
      </c>
      <c r="I2641">
        <v>1497.4196777</v>
      </c>
      <c r="J2641">
        <v>1449.4577637</v>
      </c>
      <c r="K2641">
        <v>0</v>
      </c>
      <c r="L2641">
        <v>2400</v>
      </c>
      <c r="M2641">
        <v>2400</v>
      </c>
      <c r="N2641">
        <v>0</v>
      </c>
    </row>
    <row r="2642" spans="1:14" x14ac:dyDescent="0.25">
      <c r="A2642">
        <v>1686.6582539999999</v>
      </c>
      <c r="B2642" s="1">
        <f>DATE(2014,12,12) + TIME(15,47,53)</f>
        <v>41985.658252314817</v>
      </c>
      <c r="C2642">
        <v>80</v>
      </c>
      <c r="D2642">
        <v>76.028030396000005</v>
      </c>
      <c r="E2642">
        <v>50</v>
      </c>
      <c r="F2642">
        <v>49.990158080999997</v>
      </c>
      <c r="G2642">
        <v>1245.5186768000001</v>
      </c>
      <c r="H2642">
        <v>1212.9885254000001</v>
      </c>
      <c r="I2642">
        <v>1497.2432861</v>
      </c>
      <c r="J2642">
        <v>1449.2834473</v>
      </c>
      <c r="K2642">
        <v>0</v>
      </c>
      <c r="L2642">
        <v>2400</v>
      </c>
      <c r="M2642">
        <v>2400</v>
      </c>
      <c r="N2642">
        <v>0</v>
      </c>
    </row>
    <row r="2643" spans="1:14" x14ac:dyDescent="0.25">
      <c r="A2643">
        <v>1688.3564120000001</v>
      </c>
      <c r="B2643" s="1">
        <f>DATE(2014,12,14) + TIME(8,33,13)</f>
        <v>41987.356400462966</v>
      </c>
      <c r="C2643">
        <v>80</v>
      </c>
      <c r="D2643">
        <v>75.888465881000002</v>
      </c>
      <c r="E2643">
        <v>50</v>
      </c>
      <c r="F2643">
        <v>49.990173339999998</v>
      </c>
      <c r="G2643">
        <v>1245.3166504000001</v>
      </c>
      <c r="H2643">
        <v>1212.7476807</v>
      </c>
      <c r="I2643">
        <v>1497.0666504000001</v>
      </c>
      <c r="J2643">
        <v>1449.1086425999999</v>
      </c>
      <c r="K2643">
        <v>0</v>
      </c>
      <c r="L2643">
        <v>2400</v>
      </c>
      <c r="M2643">
        <v>2400</v>
      </c>
      <c r="N2643">
        <v>0</v>
      </c>
    </row>
    <row r="2644" spans="1:14" x14ac:dyDescent="0.25">
      <c r="A2644">
        <v>1690.1032170000001</v>
      </c>
      <c r="B2644" s="1">
        <f>DATE(2014,12,16) + TIME(2,28,37)</f>
        <v>41989.103206018517</v>
      </c>
      <c r="C2644">
        <v>80</v>
      </c>
      <c r="D2644">
        <v>75.743515015</v>
      </c>
      <c r="E2644">
        <v>50</v>
      </c>
      <c r="F2644">
        <v>49.990188599</v>
      </c>
      <c r="G2644">
        <v>1245.1020507999999</v>
      </c>
      <c r="H2644">
        <v>1212.4920654</v>
      </c>
      <c r="I2644">
        <v>1496.8868408000001</v>
      </c>
      <c r="J2644">
        <v>1448.9306641000001</v>
      </c>
      <c r="K2644">
        <v>0</v>
      </c>
      <c r="L2644">
        <v>2400</v>
      </c>
      <c r="M2644">
        <v>2400</v>
      </c>
      <c r="N2644">
        <v>0</v>
      </c>
    </row>
    <row r="2645" spans="1:14" x14ac:dyDescent="0.25">
      <c r="A2645">
        <v>1691.8749459999999</v>
      </c>
      <c r="B2645" s="1">
        <f>DATE(2014,12,17) + TIME(20,59,55)</f>
        <v>41990.874942129631</v>
      </c>
      <c r="C2645">
        <v>80</v>
      </c>
      <c r="D2645">
        <v>75.595298767000003</v>
      </c>
      <c r="E2645">
        <v>50</v>
      </c>
      <c r="F2645">
        <v>49.990200043000002</v>
      </c>
      <c r="G2645">
        <v>1244.8790283000001</v>
      </c>
      <c r="H2645">
        <v>1212.2260742000001</v>
      </c>
      <c r="I2645">
        <v>1496.7078856999999</v>
      </c>
      <c r="J2645">
        <v>1448.753418</v>
      </c>
      <c r="K2645">
        <v>0</v>
      </c>
      <c r="L2645">
        <v>2400</v>
      </c>
      <c r="M2645">
        <v>2400</v>
      </c>
      <c r="N2645">
        <v>0</v>
      </c>
    </row>
    <row r="2646" spans="1:14" x14ac:dyDescent="0.25">
      <c r="A2646">
        <v>1693.699206</v>
      </c>
      <c r="B2646" s="1">
        <f>DATE(2014,12,19) + TIME(16,46,51)</f>
        <v>41992.699201388888</v>
      </c>
      <c r="C2646">
        <v>80</v>
      </c>
      <c r="D2646">
        <v>75.445159911999994</v>
      </c>
      <c r="E2646">
        <v>50</v>
      </c>
      <c r="F2646">
        <v>49.990215302000003</v>
      </c>
      <c r="G2646">
        <v>1244.6502685999999</v>
      </c>
      <c r="H2646">
        <v>1211.9527588000001</v>
      </c>
      <c r="I2646">
        <v>1496.5321045000001</v>
      </c>
      <c r="J2646">
        <v>1448.5792236</v>
      </c>
      <c r="K2646">
        <v>0</v>
      </c>
      <c r="L2646">
        <v>2400</v>
      </c>
      <c r="M2646">
        <v>2400</v>
      </c>
      <c r="N2646">
        <v>0</v>
      </c>
    </row>
    <row r="2647" spans="1:14" x14ac:dyDescent="0.25">
      <c r="A2647">
        <v>1695.59157</v>
      </c>
      <c r="B2647" s="1">
        <f>DATE(2014,12,21) + TIME(14,11,51)</f>
        <v>41994.591562499998</v>
      </c>
      <c r="C2647">
        <v>80</v>
      </c>
      <c r="D2647">
        <v>75.291526794000006</v>
      </c>
      <c r="E2647">
        <v>50</v>
      </c>
      <c r="F2647">
        <v>49.990230560000001</v>
      </c>
      <c r="G2647">
        <v>1244.4118652</v>
      </c>
      <c r="H2647">
        <v>1211.6677245999999</v>
      </c>
      <c r="I2647">
        <v>1496.3568115</v>
      </c>
      <c r="J2647">
        <v>1448.4055175999999</v>
      </c>
      <c r="K2647">
        <v>0</v>
      </c>
      <c r="L2647">
        <v>2400</v>
      </c>
      <c r="M2647">
        <v>2400</v>
      </c>
      <c r="N2647">
        <v>0</v>
      </c>
    </row>
    <row r="2648" spans="1:14" x14ac:dyDescent="0.25">
      <c r="A2648">
        <v>1697.577601</v>
      </c>
      <c r="B2648" s="1">
        <f>DATE(2014,12,23) + TIME(13,51,44)</f>
        <v>41996.577592592592</v>
      </c>
      <c r="C2648">
        <v>80</v>
      </c>
      <c r="D2648">
        <v>75.132896423000005</v>
      </c>
      <c r="E2648">
        <v>50</v>
      </c>
      <c r="F2648">
        <v>49.990245819000002</v>
      </c>
      <c r="G2648">
        <v>1244.161499</v>
      </c>
      <c r="H2648">
        <v>1211.3677978999999</v>
      </c>
      <c r="I2648">
        <v>1496.1805420000001</v>
      </c>
      <c r="J2648">
        <v>1448.2307129000001</v>
      </c>
      <c r="K2648">
        <v>0</v>
      </c>
      <c r="L2648">
        <v>2400</v>
      </c>
      <c r="M2648">
        <v>2400</v>
      </c>
      <c r="N2648">
        <v>0</v>
      </c>
    </row>
    <row r="2649" spans="1:14" x14ac:dyDescent="0.25">
      <c r="A2649">
        <v>1699.578765</v>
      </c>
      <c r="B2649" s="1">
        <f>DATE(2014,12,25) + TIME(13,53,25)</f>
        <v>41998.578761574077</v>
      </c>
      <c r="C2649">
        <v>80</v>
      </c>
      <c r="D2649">
        <v>74.968421935999999</v>
      </c>
      <c r="E2649">
        <v>50</v>
      </c>
      <c r="F2649">
        <v>49.990261078000003</v>
      </c>
      <c r="G2649">
        <v>1243.8948975000001</v>
      </c>
      <c r="H2649">
        <v>1211.0484618999999</v>
      </c>
      <c r="I2649">
        <v>1496.0012207</v>
      </c>
      <c r="J2649">
        <v>1448.0527344</v>
      </c>
      <c r="K2649">
        <v>0</v>
      </c>
      <c r="L2649">
        <v>2400</v>
      </c>
      <c r="M2649">
        <v>2400</v>
      </c>
      <c r="N2649">
        <v>0</v>
      </c>
    </row>
    <row r="2650" spans="1:14" x14ac:dyDescent="0.25">
      <c r="A2650">
        <v>1701.61103</v>
      </c>
      <c r="B2650" s="1">
        <f>DATE(2014,12,27) + TIME(14,39,53)</f>
        <v>42000.611030092594</v>
      </c>
      <c r="C2650">
        <v>80</v>
      </c>
      <c r="D2650">
        <v>74.802513122999997</v>
      </c>
      <c r="E2650">
        <v>50</v>
      </c>
      <c r="F2650">
        <v>49.990280151</v>
      </c>
      <c r="G2650">
        <v>1243.6220702999999</v>
      </c>
      <c r="H2650">
        <v>1210.7205810999999</v>
      </c>
      <c r="I2650">
        <v>1495.8259277</v>
      </c>
      <c r="J2650">
        <v>1447.8789062000001</v>
      </c>
      <c r="K2650">
        <v>0</v>
      </c>
      <c r="L2650">
        <v>2400</v>
      </c>
      <c r="M2650">
        <v>2400</v>
      </c>
      <c r="N2650">
        <v>0</v>
      </c>
    </row>
    <row r="2651" spans="1:14" x14ac:dyDescent="0.25">
      <c r="A2651">
        <v>1703.7045680000001</v>
      </c>
      <c r="B2651" s="1">
        <f>DATE(2014,12,29) + TIME(16,54,34)</f>
        <v>42002.704560185186</v>
      </c>
      <c r="C2651">
        <v>80</v>
      </c>
      <c r="D2651">
        <v>74.634071349999999</v>
      </c>
      <c r="E2651">
        <v>50</v>
      </c>
      <c r="F2651">
        <v>49.990295410000002</v>
      </c>
      <c r="G2651">
        <v>1243.3404541</v>
      </c>
      <c r="H2651">
        <v>1210.3812256000001</v>
      </c>
      <c r="I2651">
        <v>1495.6531981999999</v>
      </c>
      <c r="J2651">
        <v>1447.7073975000001</v>
      </c>
      <c r="K2651">
        <v>0</v>
      </c>
      <c r="L2651">
        <v>2400</v>
      </c>
      <c r="M2651">
        <v>2400</v>
      </c>
      <c r="N2651">
        <v>0</v>
      </c>
    </row>
    <row r="2652" spans="1:14" x14ac:dyDescent="0.25">
      <c r="A2652">
        <v>1705.889109</v>
      </c>
      <c r="B2652" s="1">
        <f>DATE(2014,12,31) + TIME(21,20,19)</f>
        <v>42004.889108796298</v>
      </c>
      <c r="C2652">
        <v>80</v>
      </c>
      <c r="D2652">
        <v>74.460792541999993</v>
      </c>
      <c r="E2652">
        <v>50</v>
      </c>
      <c r="F2652">
        <v>49.990310669000003</v>
      </c>
      <c r="G2652">
        <v>1243.0454102000001</v>
      </c>
      <c r="H2652">
        <v>1210.0247803</v>
      </c>
      <c r="I2652">
        <v>1495.4804687999999</v>
      </c>
      <c r="J2652">
        <v>1447.5358887</v>
      </c>
      <c r="K2652">
        <v>0</v>
      </c>
      <c r="L2652">
        <v>2400</v>
      </c>
      <c r="M2652">
        <v>2400</v>
      </c>
      <c r="N2652">
        <v>0</v>
      </c>
    </row>
    <row r="2653" spans="1:14" x14ac:dyDescent="0.25">
      <c r="A2653">
        <v>1706</v>
      </c>
      <c r="B2653" s="1">
        <f>DATE(2015,1,1) + TIME(0,0,0)</f>
        <v>42005</v>
      </c>
      <c r="C2653">
        <v>80</v>
      </c>
      <c r="D2653">
        <v>74.409332274999997</v>
      </c>
      <c r="E2653">
        <v>50</v>
      </c>
      <c r="F2653">
        <v>49.990299225000001</v>
      </c>
      <c r="G2653">
        <v>1242.7498779</v>
      </c>
      <c r="H2653">
        <v>1209.7111815999999</v>
      </c>
      <c r="I2653">
        <v>1495.3222656</v>
      </c>
      <c r="J2653">
        <v>1447.3787841999999</v>
      </c>
      <c r="K2653">
        <v>0</v>
      </c>
      <c r="L2653">
        <v>2400</v>
      </c>
      <c r="M2653">
        <v>2400</v>
      </c>
      <c r="N2653">
        <v>0</v>
      </c>
    </row>
    <row r="2654" spans="1:14" x14ac:dyDescent="0.25">
      <c r="A2654">
        <v>1708.231252</v>
      </c>
      <c r="B2654" s="1">
        <f>DATE(2015,1,3) + TIME(5,33,0)</f>
        <v>42007.231249999997</v>
      </c>
      <c r="C2654">
        <v>80</v>
      </c>
      <c r="D2654">
        <v>74.266098021999994</v>
      </c>
      <c r="E2654">
        <v>50</v>
      </c>
      <c r="F2654">
        <v>49.990329742</v>
      </c>
      <c r="G2654">
        <v>1242.7136230000001</v>
      </c>
      <c r="H2654">
        <v>1209.6207274999999</v>
      </c>
      <c r="I2654">
        <v>1495.2957764</v>
      </c>
      <c r="J2654">
        <v>1447.3524170000001</v>
      </c>
      <c r="K2654">
        <v>0</v>
      </c>
      <c r="L2654">
        <v>2400</v>
      </c>
      <c r="M2654">
        <v>2400</v>
      </c>
      <c r="N2654">
        <v>0</v>
      </c>
    </row>
    <row r="2655" spans="1:14" x14ac:dyDescent="0.25">
      <c r="A2655">
        <v>1710.5095209999999</v>
      </c>
      <c r="B2655" s="1">
        <f>DATE(2015,1,5) + TIME(12,13,42)</f>
        <v>42009.509513888886</v>
      </c>
      <c r="C2655">
        <v>80</v>
      </c>
      <c r="D2655">
        <v>74.086341857999997</v>
      </c>
      <c r="E2655">
        <v>50</v>
      </c>
      <c r="F2655">
        <v>49.990348816000001</v>
      </c>
      <c r="G2655">
        <v>1242.3878173999999</v>
      </c>
      <c r="H2655">
        <v>1209.2268065999999</v>
      </c>
      <c r="I2655">
        <v>1495.1231689000001</v>
      </c>
      <c r="J2655">
        <v>1447.1809082</v>
      </c>
      <c r="K2655">
        <v>0</v>
      </c>
      <c r="L2655">
        <v>2400</v>
      </c>
      <c r="M2655">
        <v>2400</v>
      </c>
      <c r="N2655">
        <v>0</v>
      </c>
    </row>
    <row r="2656" spans="1:14" x14ac:dyDescent="0.25">
      <c r="A2656">
        <v>1712.828706</v>
      </c>
      <c r="B2656" s="1">
        <f>DATE(2015,1,7) + TIME(19,53,20)</f>
        <v>42011.828703703701</v>
      </c>
      <c r="C2656">
        <v>80</v>
      </c>
      <c r="D2656">
        <v>73.897987365999995</v>
      </c>
      <c r="E2656">
        <v>50</v>
      </c>
      <c r="F2656">
        <v>49.990367888999998</v>
      </c>
      <c r="G2656">
        <v>1242.0462646000001</v>
      </c>
      <c r="H2656">
        <v>1208.8104248</v>
      </c>
      <c r="I2656">
        <v>1494.9510498</v>
      </c>
      <c r="J2656">
        <v>1447.0097656</v>
      </c>
      <c r="K2656">
        <v>0</v>
      </c>
      <c r="L2656">
        <v>2400</v>
      </c>
      <c r="M2656">
        <v>2400</v>
      </c>
      <c r="N2656">
        <v>0</v>
      </c>
    </row>
    <row r="2657" spans="1:14" x14ac:dyDescent="0.25">
      <c r="A2657">
        <v>1715.2051469999999</v>
      </c>
      <c r="B2657" s="1">
        <f>DATE(2015,1,10) + TIME(4,55,24)</f>
        <v>42014.205138888887</v>
      </c>
      <c r="C2657">
        <v>80</v>
      </c>
      <c r="D2657">
        <v>73.704216002999999</v>
      </c>
      <c r="E2657">
        <v>50</v>
      </c>
      <c r="F2657">
        <v>49.990383147999999</v>
      </c>
      <c r="G2657">
        <v>1241.6905518000001</v>
      </c>
      <c r="H2657">
        <v>1208.3745117000001</v>
      </c>
      <c r="I2657">
        <v>1494.7806396000001</v>
      </c>
      <c r="J2657">
        <v>1446.8402100000001</v>
      </c>
      <c r="K2657">
        <v>0</v>
      </c>
      <c r="L2657">
        <v>2400</v>
      </c>
      <c r="M2657">
        <v>2400</v>
      </c>
      <c r="N2657">
        <v>0</v>
      </c>
    </row>
    <row r="2658" spans="1:14" x14ac:dyDescent="0.25">
      <c r="A2658">
        <v>1717.634511</v>
      </c>
      <c r="B2658" s="1">
        <f>DATE(2015,1,12) + TIME(15,13,41)</f>
        <v>42016.634502314817</v>
      </c>
      <c r="C2658">
        <v>80</v>
      </c>
      <c r="D2658">
        <v>73.504516601999995</v>
      </c>
      <c r="E2658">
        <v>50</v>
      </c>
      <c r="F2658">
        <v>49.990402222</v>
      </c>
      <c r="G2658">
        <v>1241.3171387</v>
      </c>
      <c r="H2658">
        <v>1207.9149170000001</v>
      </c>
      <c r="I2658">
        <v>1494.6105957</v>
      </c>
      <c r="J2658">
        <v>1446.6711425999999</v>
      </c>
      <c r="K2658">
        <v>0</v>
      </c>
      <c r="L2658">
        <v>2400</v>
      </c>
      <c r="M2658">
        <v>2400</v>
      </c>
      <c r="N2658">
        <v>0</v>
      </c>
    </row>
    <row r="2659" spans="1:14" x14ac:dyDescent="0.25">
      <c r="A2659">
        <v>1720.1154429999999</v>
      </c>
      <c r="B2659" s="1">
        <f>DATE(2015,1,15) + TIME(2,46,14)</f>
        <v>42019.115439814814</v>
      </c>
      <c r="C2659">
        <v>80</v>
      </c>
      <c r="D2659">
        <v>73.297859192000004</v>
      </c>
      <c r="E2659">
        <v>50</v>
      </c>
      <c r="F2659">
        <v>49.990421294999997</v>
      </c>
      <c r="G2659">
        <v>1240.9256591999999</v>
      </c>
      <c r="H2659">
        <v>1207.4306641000001</v>
      </c>
      <c r="I2659">
        <v>1494.4415283000001</v>
      </c>
      <c r="J2659">
        <v>1446.5029297000001</v>
      </c>
      <c r="K2659">
        <v>0</v>
      </c>
      <c r="L2659">
        <v>2400</v>
      </c>
      <c r="M2659">
        <v>2400</v>
      </c>
      <c r="N2659">
        <v>0</v>
      </c>
    </row>
    <row r="2660" spans="1:14" x14ac:dyDescent="0.25">
      <c r="A2660">
        <v>1722.628598</v>
      </c>
      <c r="B2660" s="1">
        <f>DATE(2015,1,17) + TIME(15,5,10)</f>
        <v>42021.628587962965</v>
      </c>
      <c r="C2660">
        <v>80</v>
      </c>
      <c r="D2660">
        <v>73.084907532000003</v>
      </c>
      <c r="E2660">
        <v>50</v>
      </c>
      <c r="F2660">
        <v>49.990440368999998</v>
      </c>
      <c r="G2660">
        <v>1240.5152588000001</v>
      </c>
      <c r="H2660">
        <v>1206.9204102000001</v>
      </c>
      <c r="I2660">
        <v>1494.2734375</v>
      </c>
      <c r="J2660">
        <v>1446.3355713000001</v>
      </c>
      <c r="K2660">
        <v>0</v>
      </c>
      <c r="L2660">
        <v>2400</v>
      </c>
      <c r="M2660">
        <v>2400</v>
      </c>
      <c r="N2660">
        <v>0</v>
      </c>
    </row>
    <row r="2661" spans="1:14" x14ac:dyDescent="0.25">
      <c r="A2661">
        <v>1725.185921</v>
      </c>
      <c r="B2661" s="1">
        <f>DATE(2015,1,20) + TIME(4,27,43)</f>
        <v>42024.185914351852</v>
      </c>
      <c r="C2661">
        <v>80</v>
      </c>
      <c r="D2661">
        <v>72.864509583</v>
      </c>
      <c r="E2661">
        <v>50</v>
      </c>
      <c r="F2661">
        <v>49.990459442000002</v>
      </c>
      <c r="G2661">
        <v>1240.0877685999999</v>
      </c>
      <c r="H2661">
        <v>1206.3856201000001</v>
      </c>
      <c r="I2661">
        <v>1494.1074219</v>
      </c>
      <c r="J2661">
        <v>1446.1702881000001</v>
      </c>
      <c r="K2661">
        <v>0</v>
      </c>
      <c r="L2661">
        <v>2400</v>
      </c>
      <c r="M2661">
        <v>2400</v>
      </c>
      <c r="N2661">
        <v>0</v>
      </c>
    </row>
    <row r="2662" spans="1:14" x14ac:dyDescent="0.25">
      <c r="A2662">
        <v>1727.8269330000001</v>
      </c>
      <c r="B2662" s="1">
        <f>DATE(2015,1,22) + TIME(19,50,47)</f>
        <v>42026.826932870368</v>
      </c>
      <c r="C2662">
        <v>80</v>
      </c>
      <c r="D2662">
        <v>72.637496948000006</v>
      </c>
      <c r="E2662">
        <v>50</v>
      </c>
      <c r="F2662">
        <v>49.990478516000003</v>
      </c>
      <c r="G2662">
        <v>1239.640625</v>
      </c>
      <c r="H2662">
        <v>1205.8231201000001</v>
      </c>
      <c r="I2662">
        <v>1493.9428711</v>
      </c>
      <c r="J2662">
        <v>1446.0064697</v>
      </c>
      <c r="K2662">
        <v>0</v>
      </c>
      <c r="L2662">
        <v>2400</v>
      </c>
      <c r="M2662">
        <v>2400</v>
      </c>
      <c r="N2662">
        <v>0</v>
      </c>
    </row>
    <row r="2663" spans="1:14" x14ac:dyDescent="0.25">
      <c r="A2663">
        <v>1730.478102</v>
      </c>
      <c r="B2663" s="1">
        <f>DATE(2015,1,25) + TIME(11,28,28)</f>
        <v>42029.478101851855</v>
      </c>
      <c r="C2663">
        <v>80</v>
      </c>
      <c r="D2663">
        <v>72.396331786999994</v>
      </c>
      <c r="E2663">
        <v>50</v>
      </c>
      <c r="F2663">
        <v>49.990497589</v>
      </c>
      <c r="G2663">
        <v>1239.1649170000001</v>
      </c>
      <c r="H2663">
        <v>1205.2209473</v>
      </c>
      <c r="I2663">
        <v>1493.7769774999999</v>
      </c>
      <c r="J2663">
        <v>1445.8413086</v>
      </c>
      <c r="K2663">
        <v>0</v>
      </c>
      <c r="L2663">
        <v>2400</v>
      </c>
      <c r="M2663">
        <v>2400</v>
      </c>
      <c r="N2663">
        <v>0</v>
      </c>
    </row>
    <row r="2664" spans="1:14" x14ac:dyDescent="0.25">
      <c r="A2664">
        <v>1733.1769139999999</v>
      </c>
      <c r="B2664" s="1">
        <f>DATE(2015,1,28) + TIME(4,14,45)</f>
        <v>42032.17690972222</v>
      </c>
      <c r="C2664">
        <v>80</v>
      </c>
      <c r="D2664">
        <v>72.152770996000001</v>
      </c>
      <c r="E2664">
        <v>50</v>
      </c>
      <c r="F2664">
        <v>49.990520476999997</v>
      </c>
      <c r="G2664">
        <v>1238.6733397999999</v>
      </c>
      <c r="H2664">
        <v>1204.5952147999999</v>
      </c>
      <c r="I2664">
        <v>1493.6148682</v>
      </c>
      <c r="J2664">
        <v>1445.6798096</v>
      </c>
      <c r="K2664">
        <v>0</v>
      </c>
      <c r="L2664">
        <v>2400</v>
      </c>
      <c r="M2664">
        <v>2400</v>
      </c>
      <c r="N2664">
        <v>0</v>
      </c>
    </row>
    <row r="2665" spans="1:14" x14ac:dyDescent="0.25">
      <c r="A2665">
        <v>1735.939758</v>
      </c>
      <c r="B2665" s="1">
        <f>DATE(2015,1,30) + TIME(22,33,15)</f>
        <v>42034.939756944441</v>
      </c>
      <c r="C2665">
        <v>80</v>
      </c>
      <c r="D2665">
        <v>71.888397217000005</v>
      </c>
      <c r="E2665">
        <v>50</v>
      </c>
      <c r="F2665">
        <v>49.990531920999999</v>
      </c>
      <c r="G2665">
        <v>1238.15625</v>
      </c>
      <c r="H2665">
        <v>1203.9307861</v>
      </c>
      <c r="I2665">
        <v>1493.4532471</v>
      </c>
      <c r="J2665">
        <v>1445.5189209</v>
      </c>
      <c r="K2665">
        <v>0</v>
      </c>
      <c r="L2665">
        <v>2400</v>
      </c>
      <c r="M2665">
        <v>2400</v>
      </c>
      <c r="N2665">
        <v>0</v>
      </c>
    </row>
    <row r="2666" spans="1:14" x14ac:dyDescent="0.25">
      <c r="A2666">
        <v>1737</v>
      </c>
      <c r="B2666" s="1">
        <f>DATE(2015,2,1) + TIME(0,0,0)</f>
        <v>42036</v>
      </c>
      <c r="C2666">
        <v>80</v>
      </c>
      <c r="D2666">
        <v>71.667442321999999</v>
      </c>
      <c r="E2666">
        <v>50</v>
      </c>
      <c r="F2666">
        <v>49.990539550999998</v>
      </c>
      <c r="G2666">
        <v>1237.6153564000001</v>
      </c>
      <c r="H2666">
        <v>1203.2543945</v>
      </c>
      <c r="I2666">
        <v>1493.2935791</v>
      </c>
      <c r="J2666">
        <v>1445.3597411999999</v>
      </c>
      <c r="K2666">
        <v>0</v>
      </c>
      <c r="L2666">
        <v>2400</v>
      </c>
      <c r="M2666">
        <v>2400</v>
      </c>
      <c r="N2666">
        <v>0</v>
      </c>
    </row>
    <row r="2667" spans="1:14" x14ac:dyDescent="0.25">
      <c r="A2667">
        <v>1739.8037770000001</v>
      </c>
      <c r="B2667" s="1">
        <f>DATE(2015,2,3) + TIME(19,17,26)</f>
        <v>42038.803773148145</v>
      </c>
      <c r="C2667">
        <v>80</v>
      </c>
      <c r="D2667">
        <v>71.499008179</v>
      </c>
      <c r="E2667">
        <v>50</v>
      </c>
      <c r="F2667">
        <v>49.990562439000001</v>
      </c>
      <c r="G2667">
        <v>1237.3916016000001</v>
      </c>
      <c r="H2667">
        <v>1202.934082</v>
      </c>
      <c r="I2667">
        <v>1493.230957</v>
      </c>
      <c r="J2667">
        <v>1445.2972411999999</v>
      </c>
      <c r="K2667">
        <v>0</v>
      </c>
      <c r="L2667">
        <v>2400</v>
      </c>
      <c r="M2667">
        <v>2400</v>
      </c>
      <c r="N2667">
        <v>0</v>
      </c>
    </row>
    <row r="2668" spans="1:14" x14ac:dyDescent="0.25">
      <c r="A2668">
        <v>1742.6551959999999</v>
      </c>
      <c r="B2668" s="1">
        <f>DATE(2015,2,6) + TIME(15,43,28)</f>
        <v>42041.655185185184</v>
      </c>
      <c r="C2668">
        <v>80</v>
      </c>
      <c r="D2668">
        <v>71.225502014</v>
      </c>
      <c r="E2668">
        <v>50</v>
      </c>
      <c r="F2668">
        <v>49.990585326999998</v>
      </c>
      <c r="G2668">
        <v>1236.8194579999999</v>
      </c>
      <c r="H2668">
        <v>1202.1967772999999</v>
      </c>
      <c r="I2668">
        <v>1493.0734863</v>
      </c>
      <c r="J2668">
        <v>1445.1403809000001</v>
      </c>
      <c r="K2668">
        <v>0</v>
      </c>
      <c r="L2668">
        <v>2400</v>
      </c>
      <c r="M2668">
        <v>2400</v>
      </c>
      <c r="N2668">
        <v>0</v>
      </c>
    </row>
    <row r="2669" spans="1:14" x14ac:dyDescent="0.25">
      <c r="A2669">
        <v>1745.521986</v>
      </c>
      <c r="B2669" s="1">
        <f>DATE(2015,2,9) + TIME(12,31,39)</f>
        <v>42044.521979166668</v>
      </c>
      <c r="C2669">
        <v>80</v>
      </c>
      <c r="D2669">
        <v>70.917411803999997</v>
      </c>
      <c r="E2669">
        <v>50</v>
      </c>
      <c r="F2669">
        <v>49.990600585999999</v>
      </c>
      <c r="G2669">
        <v>1236.2128906</v>
      </c>
      <c r="H2669">
        <v>1201.4000243999999</v>
      </c>
      <c r="I2669">
        <v>1492.9158935999999</v>
      </c>
      <c r="J2669">
        <v>1444.9832764</v>
      </c>
      <c r="K2669">
        <v>0</v>
      </c>
      <c r="L2669">
        <v>2400</v>
      </c>
      <c r="M2669">
        <v>2400</v>
      </c>
      <c r="N2669">
        <v>0</v>
      </c>
    </row>
    <row r="2670" spans="1:14" x14ac:dyDescent="0.25">
      <c r="A2670">
        <v>1748.410106</v>
      </c>
      <c r="B2670" s="1">
        <f>DATE(2015,2,12) + TIME(9,50,33)</f>
        <v>42047.410104166665</v>
      </c>
      <c r="C2670">
        <v>80</v>
      </c>
      <c r="D2670">
        <v>70.615112304999997</v>
      </c>
      <c r="E2670">
        <v>50</v>
      </c>
      <c r="F2670">
        <v>49.990634917999998</v>
      </c>
      <c r="G2670">
        <v>1235.5877685999999</v>
      </c>
      <c r="H2670">
        <v>1200.5787353999999</v>
      </c>
      <c r="I2670">
        <v>1492.7619629000001</v>
      </c>
      <c r="J2670">
        <v>1444.8297118999999</v>
      </c>
      <c r="K2670">
        <v>0</v>
      </c>
      <c r="L2670">
        <v>2400</v>
      </c>
      <c r="M2670">
        <v>2400</v>
      </c>
      <c r="N2670">
        <v>0</v>
      </c>
    </row>
    <row r="2671" spans="1:14" x14ac:dyDescent="0.25">
      <c r="A2671">
        <v>1751.3202510000001</v>
      </c>
      <c r="B2671" s="1">
        <f>DATE(2015,2,15) + TIME(7,41,9)</f>
        <v>42050.320243055554</v>
      </c>
      <c r="C2671">
        <v>80</v>
      </c>
      <c r="D2671">
        <v>70.256431579999997</v>
      </c>
      <c r="E2671">
        <v>50</v>
      </c>
      <c r="F2671">
        <v>49.990623474000003</v>
      </c>
      <c r="G2671">
        <v>1234.9289550999999</v>
      </c>
      <c r="H2671">
        <v>1199.6934814000001</v>
      </c>
      <c r="I2671">
        <v>1492.6082764</v>
      </c>
      <c r="J2671">
        <v>1444.6765137</v>
      </c>
      <c r="K2671">
        <v>0</v>
      </c>
      <c r="L2671">
        <v>2400</v>
      </c>
      <c r="M2671">
        <v>2400</v>
      </c>
      <c r="N2671">
        <v>0</v>
      </c>
    </row>
    <row r="2672" spans="1:14" x14ac:dyDescent="0.25">
      <c r="A2672">
        <v>1752.7824149999999</v>
      </c>
      <c r="B2672" s="1">
        <f>DATE(2015,2,16) + TIME(18,46,40)</f>
        <v>42051.782407407409</v>
      </c>
      <c r="C2672">
        <v>80</v>
      </c>
      <c r="D2672">
        <v>69.998039246000005</v>
      </c>
      <c r="E2672">
        <v>50</v>
      </c>
      <c r="F2672">
        <v>49.990657806000002</v>
      </c>
      <c r="G2672">
        <v>1234.2635498</v>
      </c>
      <c r="H2672">
        <v>1198.8328856999999</v>
      </c>
      <c r="I2672">
        <v>1492.4614257999999</v>
      </c>
      <c r="J2672">
        <v>1444.5299072</v>
      </c>
      <c r="K2672">
        <v>0</v>
      </c>
      <c r="L2672">
        <v>2400</v>
      </c>
      <c r="M2672">
        <v>2400</v>
      </c>
      <c r="N2672">
        <v>0</v>
      </c>
    </row>
    <row r="2673" spans="1:14" x14ac:dyDescent="0.25">
      <c r="A2673">
        <v>1754.1346470000001</v>
      </c>
      <c r="B2673" s="1">
        <f>DATE(2015,2,18) + TIME(3,13,53)</f>
        <v>42053.134641203702</v>
      </c>
      <c r="C2673">
        <v>80</v>
      </c>
      <c r="D2673">
        <v>69.743499756000006</v>
      </c>
      <c r="E2673">
        <v>50</v>
      </c>
      <c r="F2673">
        <v>49.990657806000002</v>
      </c>
      <c r="G2673">
        <v>1233.8973389</v>
      </c>
      <c r="H2673">
        <v>1198.3172606999999</v>
      </c>
      <c r="I2673">
        <v>1492.3828125</v>
      </c>
      <c r="J2673">
        <v>1444.4516602000001</v>
      </c>
      <c r="K2673">
        <v>0</v>
      </c>
      <c r="L2673">
        <v>2400</v>
      </c>
      <c r="M2673">
        <v>2400</v>
      </c>
      <c r="N2673">
        <v>0</v>
      </c>
    </row>
    <row r="2674" spans="1:14" x14ac:dyDescent="0.25">
      <c r="A2674">
        <v>1755.4868779999999</v>
      </c>
      <c r="B2674" s="1">
        <f>DATE(2015,2,19) + TIME(11,41,6)</f>
        <v>42054.486875000002</v>
      </c>
      <c r="C2674">
        <v>80</v>
      </c>
      <c r="D2674">
        <v>69.588554381999998</v>
      </c>
      <c r="E2674">
        <v>50</v>
      </c>
      <c r="F2674">
        <v>49.990673065000003</v>
      </c>
      <c r="G2674">
        <v>1233.5737305</v>
      </c>
      <c r="H2674">
        <v>1197.8786620999999</v>
      </c>
      <c r="I2674">
        <v>1492.3166504000001</v>
      </c>
      <c r="J2674">
        <v>1444.3856201000001</v>
      </c>
      <c r="K2674">
        <v>0</v>
      </c>
      <c r="L2674">
        <v>2400</v>
      </c>
      <c r="M2674">
        <v>2400</v>
      </c>
      <c r="N2674">
        <v>0</v>
      </c>
    </row>
    <row r="2675" spans="1:14" x14ac:dyDescent="0.25">
      <c r="A2675">
        <v>1756.839109</v>
      </c>
      <c r="B2675" s="1">
        <f>DATE(2015,2,20) + TIME(20,8,19)</f>
        <v>42055.839108796295</v>
      </c>
      <c r="C2675">
        <v>80</v>
      </c>
      <c r="D2675">
        <v>69.401779175000001</v>
      </c>
      <c r="E2675">
        <v>50</v>
      </c>
      <c r="F2675">
        <v>49.990680695000002</v>
      </c>
      <c r="G2675">
        <v>1233.2382812000001</v>
      </c>
      <c r="H2675">
        <v>1197.4216309000001</v>
      </c>
      <c r="I2675">
        <v>1492.2485352000001</v>
      </c>
      <c r="J2675">
        <v>1444.3175048999999</v>
      </c>
      <c r="K2675">
        <v>0</v>
      </c>
      <c r="L2675">
        <v>2400</v>
      </c>
      <c r="M2675">
        <v>2400</v>
      </c>
      <c r="N2675">
        <v>0</v>
      </c>
    </row>
    <row r="2676" spans="1:14" x14ac:dyDescent="0.25">
      <c r="A2676">
        <v>1758.1913400000001</v>
      </c>
      <c r="B2676" s="1">
        <f>DATE(2015,2,22) + TIME(4,35,31)</f>
        <v>42057.191331018519</v>
      </c>
      <c r="C2676">
        <v>80</v>
      </c>
      <c r="D2676">
        <v>69.229118346999996</v>
      </c>
      <c r="E2676">
        <v>50</v>
      </c>
      <c r="F2676">
        <v>49.990692138999997</v>
      </c>
      <c r="G2676">
        <v>1232.9031981999999</v>
      </c>
      <c r="H2676">
        <v>1196.9667969</v>
      </c>
      <c r="I2676">
        <v>1492.1821289</v>
      </c>
      <c r="J2676">
        <v>1444.2513428</v>
      </c>
      <c r="K2676">
        <v>0</v>
      </c>
      <c r="L2676">
        <v>2400</v>
      </c>
      <c r="M2676">
        <v>2400</v>
      </c>
      <c r="N2676">
        <v>0</v>
      </c>
    </row>
    <row r="2677" spans="1:14" x14ac:dyDescent="0.25">
      <c r="A2677">
        <v>1759.543572</v>
      </c>
      <c r="B2677" s="1">
        <f>DATE(2015,2,23) + TIME(13,2,44)</f>
        <v>42058.543564814812</v>
      </c>
      <c r="C2677">
        <v>80</v>
      </c>
      <c r="D2677">
        <v>69.045509338000002</v>
      </c>
      <c r="E2677">
        <v>50</v>
      </c>
      <c r="F2677">
        <v>49.990699767999999</v>
      </c>
      <c r="G2677">
        <v>1232.5618896000001</v>
      </c>
      <c r="H2677">
        <v>1196.5010986</v>
      </c>
      <c r="I2677">
        <v>1492.1158447</v>
      </c>
      <c r="J2677">
        <v>1444.1853027</v>
      </c>
      <c r="K2677">
        <v>0</v>
      </c>
      <c r="L2677">
        <v>2400</v>
      </c>
      <c r="M2677">
        <v>2400</v>
      </c>
      <c r="N2677">
        <v>0</v>
      </c>
    </row>
    <row r="2678" spans="1:14" x14ac:dyDescent="0.25">
      <c r="A2678">
        <v>1760.8958029999999</v>
      </c>
      <c r="B2678" s="1">
        <f>DATE(2015,2,24) + TIME(21,29,57)</f>
        <v>42059.895798611113</v>
      </c>
      <c r="C2678">
        <v>80</v>
      </c>
      <c r="D2678">
        <v>68.862236022999994</v>
      </c>
      <c r="E2678">
        <v>50</v>
      </c>
      <c r="F2678">
        <v>49.990707397000001</v>
      </c>
      <c r="G2678">
        <v>1232.2175293</v>
      </c>
      <c r="H2678">
        <v>1196.0306396000001</v>
      </c>
      <c r="I2678">
        <v>1492.0505370999999</v>
      </c>
      <c r="J2678">
        <v>1444.1199951000001</v>
      </c>
      <c r="K2678">
        <v>0</v>
      </c>
      <c r="L2678">
        <v>2400</v>
      </c>
      <c r="M2678">
        <v>2400</v>
      </c>
      <c r="N2678">
        <v>0</v>
      </c>
    </row>
    <row r="2679" spans="1:14" x14ac:dyDescent="0.25">
      <c r="A2679">
        <v>1762.248034</v>
      </c>
      <c r="B2679" s="1">
        <f>DATE(2015,2,26) + TIME(5,57,10)</f>
        <v>42061.248032407406</v>
      </c>
      <c r="C2679">
        <v>80</v>
      </c>
      <c r="D2679">
        <v>68.673698424999998</v>
      </c>
      <c r="E2679">
        <v>50</v>
      </c>
      <c r="F2679">
        <v>49.990715027</v>
      </c>
      <c r="G2679">
        <v>1231.8685303</v>
      </c>
      <c r="H2679">
        <v>1195.552124</v>
      </c>
      <c r="I2679">
        <v>1491.9854736</v>
      </c>
      <c r="J2679">
        <v>1444.0551757999999</v>
      </c>
      <c r="K2679">
        <v>0</v>
      </c>
      <c r="L2679">
        <v>2400</v>
      </c>
      <c r="M2679">
        <v>2400</v>
      </c>
      <c r="N2679">
        <v>0</v>
      </c>
    </row>
    <row r="2680" spans="1:14" x14ac:dyDescent="0.25">
      <c r="A2680">
        <v>1763.6240170000001</v>
      </c>
      <c r="B2680" s="1">
        <f>DATE(2015,2,27) + TIME(14,58,35)</f>
        <v>42062.624016203707</v>
      </c>
      <c r="C2680">
        <v>80</v>
      </c>
      <c r="D2680">
        <v>68.481849670000003</v>
      </c>
      <c r="E2680">
        <v>50</v>
      </c>
      <c r="F2680">
        <v>49.990726471000002</v>
      </c>
      <c r="G2680">
        <v>1231.5155029</v>
      </c>
      <c r="H2680">
        <v>1195.0667725000001</v>
      </c>
      <c r="I2680">
        <v>1491.9211425999999</v>
      </c>
      <c r="J2680">
        <v>1443.9909668</v>
      </c>
      <c r="K2680">
        <v>0</v>
      </c>
      <c r="L2680">
        <v>2400</v>
      </c>
      <c r="M2680">
        <v>2400</v>
      </c>
      <c r="N2680">
        <v>0</v>
      </c>
    </row>
    <row r="2681" spans="1:14" x14ac:dyDescent="0.25">
      <c r="A2681">
        <v>1765</v>
      </c>
      <c r="B2681" s="1">
        <f>DATE(2015,3,1) + TIME(0,0,0)</f>
        <v>42064</v>
      </c>
      <c r="C2681">
        <v>80</v>
      </c>
      <c r="D2681">
        <v>68.283828735</v>
      </c>
      <c r="E2681">
        <v>50</v>
      </c>
      <c r="F2681">
        <v>49.990734099999997</v>
      </c>
      <c r="G2681">
        <v>1231.1595459</v>
      </c>
      <c r="H2681">
        <v>1194.5841064000001</v>
      </c>
      <c r="I2681">
        <v>1491.8562012</v>
      </c>
      <c r="J2681">
        <v>1443.9261475000001</v>
      </c>
      <c r="K2681">
        <v>0</v>
      </c>
      <c r="L2681">
        <v>2400</v>
      </c>
      <c r="M2681">
        <v>2400</v>
      </c>
      <c r="N2681">
        <v>0</v>
      </c>
    </row>
    <row r="2682" spans="1:14" x14ac:dyDescent="0.25">
      <c r="A2682">
        <v>1767.751966</v>
      </c>
      <c r="B2682" s="1">
        <f>DATE(2015,3,3) + TIME(18,2,49)</f>
        <v>42066.751956018517</v>
      </c>
      <c r="C2682">
        <v>80</v>
      </c>
      <c r="D2682">
        <v>68.059608459000003</v>
      </c>
      <c r="E2682">
        <v>50</v>
      </c>
      <c r="F2682">
        <v>49.990753173999998</v>
      </c>
      <c r="G2682">
        <v>1230.7810059000001</v>
      </c>
      <c r="H2682">
        <v>1194.0375977000001</v>
      </c>
      <c r="I2682">
        <v>1491.7921143000001</v>
      </c>
      <c r="J2682">
        <v>1443.8621826000001</v>
      </c>
      <c r="K2682">
        <v>0</v>
      </c>
      <c r="L2682">
        <v>2400</v>
      </c>
      <c r="M2682">
        <v>2400</v>
      </c>
      <c r="N2682">
        <v>0</v>
      </c>
    </row>
    <row r="2683" spans="1:14" x14ac:dyDescent="0.25">
      <c r="A2683">
        <v>1769.2725929999999</v>
      </c>
      <c r="B2683" s="1">
        <f>DATE(2015,3,5) + TIME(6,32,32)</f>
        <v>42068.272592592592</v>
      </c>
      <c r="C2683">
        <v>80</v>
      </c>
      <c r="D2683">
        <v>67.699768066000004</v>
      </c>
      <c r="E2683">
        <v>50</v>
      </c>
      <c r="F2683">
        <v>49.990760803000001</v>
      </c>
      <c r="G2683">
        <v>1230.0488281</v>
      </c>
      <c r="H2683">
        <v>1193.0585937999999</v>
      </c>
      <c r="I2683">
        <v>1491.6656493999999</v>
      </c>
      <c r="J2683">
        <v>1443.7358397999999</v>
      </c>
      <c r="K2683">
        <v>0</v>
      </c>
      <c r="L2683">
        <v>2400</v>
      </c>
      <c r="M2683">
        <v>2400</v>
      </c>
      <c r="N2683">
        <v>0</v>
      </c>
    </row>
    <row r="2684" spans="1:14" x14ac:dyDescent="0.25">
      <c r="A2684">
        <v>1770.525578</v>
      </c>
      <c r="B2684" s="1">
        <f>DATE(2015,3,6) + TIME(12,36,49)</f>
        <v>42069.525567129633</v>
      </c>
      <c r="C2684">
        <v>80</v>
      </c>
      <c r="D2684">
        <v>67.448707580999994</v>
      </c>
      <c r="E2684">
        <v>50</v>
      </c>
      <c r="F2684">
        <v>49.990772247000002</v>
      </c>
      <c r="G2684">
        <v>1229.6240233999999</v>
      </c>
      <c r="H2684">
        <v>1192.4586182</v>
      </c>
      <c r="I2684">
        <v>1491.5955810999999</v>
      </c>
      <c r="J2684">
        <v>1443.6660156</v>
      </c>
      <c r="K2684">
        <v>0</v>
      </c>
      <c r="L2684">
        <v>2400</v>
      </c>
      <c r="M2684">
        <v>2400</v>
      </c>
      <c r="N2684">
        <v>0</v>
      </c>
    </row>
    <row r="2685" spans="1:14" x14ac:dyDescent="0.25">
      <c r="A2685">
        <v>1771.7785630000001</v>
      </c>
      <c r="B2685" s="1">
        <f>DATE(2015,3,7) + TIME(18,41,7)</f>
        <v>42070.778553240743</v>
      </c>
      <c r="C2685">
        <v>80</v>
      </c>
      <c r="D2685">
        <v>67.239822387999993</v>
      </c>
      <c r="E2685">
        <v>50</v>
      </c>
      <c r="F2685">
        <v>49.990779877000001</v>
      </c>
      <c r="G2685">
        <v>1229.2716064000001</v>
      </c>
      <c r="H2685">
        <v>1191.9594727000001</v>
      </c>
      <c r="I2685">
        <v>1491.5388184000001</v>
      </c>
      <c r="J2685">
        <v>1443.6092529</v>
      </c>
      <c r="K2685">
        <v>0</v>
      </c>
      <c r="L2685">
        <v>2400</v>
      </c>
      <c r="M2685">
        <v>2400</v>
      </c>
      <c r="N2685">
        <v>0</v>
      </c>
    </row>
    <row r="2686" spans="1:14" x14ac:dyDescent="0.25">
      <c r="A2686">
        <v>1773.031549</v>
      </c>
      <c r="B2686" s="1">
        <f>DATE(2015,3,9) + TIME(0,45,25)</f>
        <v>42072.031539351854</v>
      </c>
      <c r="C2686">
        <v>80</v>
      </c>
      <c r="D2686">
        <v>67.035972595000004</v>
      </c>
      <c r="E2686">
        <v>50</v>
      </c>
      <c r="F2686">
        <v>49.990787505999997</v>
      </c>
      <c r="G2686">
        <v>1228.9180908000001</v>
      </c>
      <c r="H2686">
        <v>1191.4631348</v>
      </c>
      <c r="I2686">
        <v>1491.4825439000001</v>
      </c>
      <c r="J2686">
        <v>1443.5531006000001</v>
      </c>
      <c r="K2686">
        <v>0</v>
      </c>
      <c r="L2686">
        <v>2400</v>
      </c>
      <c r="M2686">
        <v>2400</v>
      </c>
      <c r="N2686">
        <v>0</v>
      </c>
    </row>
    <row r="2687" spans="1:14" x14ac:dyDescent="0.25">
      <c r="A2687">
        <v>1774.2845339999999</v>
      </c>
      <c r="B2687" s="1">
        <f>DATE(2015,3,10) + TIME(6,49,43)</f>
        <v>42073.284525462965</v>
      </c>
      <c r="C2687">
        <v>80</v>
      </c>
      <c r="D2687">
        <v>66.831153869999994</v>
      </c>
      <c r="E2687">
        <v>50</v>
      </c>
      <c r="F2687">
        <v>49.990795134999999</v>
      </c>
      <c r="G2687">
        <v>1228.5620117000001</v>
      </c>
      <c r="H2687">
        <v>1190.963501</v>
      </c>
      <c r="I2687">
        <v>1491.4267577999999</v>
      </c>
      <c r="J2687">
        <v>1443.4974365</v>
      </c>
      <c r="K2687">
        <v>0</v>
      </c>
      <c r="L2687">
        <v>2400</v>
      </c>
      <c r="M2687">
        <v>2400</v>
      </c>
      <c r="N2687">
        <v>0</v>
      </c>
    </row>
    <row r="2688" spans="1:14" x14ac:dyDescent="0.25">
      <c r="A2688">
        <v>1775.537519</v>
      </c>
      <c r="B2688" s="1">
        <f>DATE(2015,3,11) + TIME(12,54,1)</f>
        <v>42074.537511574075</v>
      </c>
      <c r="C2688">
        <v>80</v>
      </c>
      <c r="D2688">
        <v>66.623481749999996</v>
      </c>
      <c r="E2688">
        <v>50</v>
      </c>
      <c r="F2688">
        <v>49.990802764999998</v>
      </c>
      <c r="G2688">
        <v>1228.2028809000001</v>
      </c>
      <c r="H2688">
        <v>1190.4589844</v>
      </c>
      <c r="I2688">
        <v>1491.3713379000001</v>
      </c>
      <c r="J2688">
        <v>1443.4421387</v>
      </c>
      <c r="K2688">
        <v>0</v>
      </c>
      <c r="L2688">
        <v>2400</v>
      </c>
      <c r="M2688">
        <v>2400</v>
      </c>
      <c r="N2688">
        <v>0</v>
      </c>
    </row>
    <row r="2689" spans="1:14" x14ac:dyDescent="0.25">
      <c r="A2689">
        <v>1776.7905040000001</v>
      </c>
      <c r="B2689" s="1">
        <f>DATE(2015,3,12) + TIME(18,58,19)</f>
        <v>42075.790497685186</v>
      </c>
      <c r="C2689">
        <v>80</v>
      </c>
      <c r="D2689">
        <v>66.412834167</v>
      </c>
      <c r="E2689">
        <v>50</v>
      </c>
      <c r="F2689">
        <v>49.990810394</v>
      </c>
      <c r="G2689">
        <v>1227.8408202999999</v>
      </c>
      <c r="H2689">
        <v>1189.9493408000001</v>
      </c>
      <c r="I2689">
        <v>1491.3162841999999</v>
      </c>
      <c r="J2689">
        <v>1443.3870850000001</v>
      </c>
      <c r="K2689">
        <v>0</v>
      </c>
      <c r="L2689">
        <v>2400</v>
      </c>
      <c r="M2689">
        <v>2400</v>
      </c>
      <c r="N2689">
        <v>0</v>
      </c>
    </row>
    <row r="2690" spans="1:14" x14ac:dyDescent="0.25">
      <c r="A2690">
        <v>1778.04349</v>
      </c>
      <c r="B2690" s="1">
        <f>DATE(2015,3,14) + TIME(1,2,37)</f>
        <v>42077.043483796297</v>
      </c>
      <c r="C2690">
        <v>80</v>
      </c>
      <c r="D2690">
        <v>66.199104309000006</v>
      </c>
      <c r="E2690">
        <v>50</v>
      </c>
      <c r="F2690">
        <v>49.990818023999999</v>
      </c>
      <c r="G2690">
        <v>1227.4757079999999</v>
      </c>
      <c r="H2690">
        <v>1189.4342041</v>
      </c>
      <c r="I2690">
        <v>1491.2615966999999</v>
      </c>
      <c r="J2690">
        <v>1443.3325195</v>
      </c>
      <c r="K2690">
        <v>0</v>
      </c>
      <c r="L2690">
        <v>2400</v>
      </c>
      <c r="M2690">
        <v>2400</v>
      </c>
      <c r="N2690">
        <v>0</v>
      </c>
    </row>
    <row r="2691" spans="1:14" x14ac:dyDescent="0.25">
      <c r="A2691">
        <v>1779.2964750000001</v>
      </c>
      <c r="B2691" s="1">
        <f>DATE(2015,3,15) + TIME(7,6,55)</f>
        <v>42078.296469907407</v>
      </c>
      <c r="C2691">
        <v>80</v>
      </c>
      <c r="D2691">
        <v>65.982322693</v>
      </c>
      <c r="E2691">
        <v>50</v>
      </c>
      <c r="F2691">
        <v>49.990825653000002</v>
      </c>
      <c r="G2691">
        <v>1227.1076660000001</v>
      </c>
      <c r="H2691">
        <v>1188.9140625</v>
      </c>
      <c r="I2691">
        <v>1491.2072754000001</v>
      </c>
      <c r="J2691">
        <v>1443.2783202999999</v>
      </c>
      <c r="K2691">
        <v>0</v>
      </c>
      <c r="L2691">
        <v>2400</v>
      </c>
      <c r="M2691">
        <v>2400</v>
      </c>
      <c r="N2691">
        <v>0</v>
      </c>
    </row>
    <row r="2692" spans="1:14" x14ac:dyDescent="0.25">
      <c r="A2692">
        <v>1780.54946</v>
      </c>
      <c r="B2692" s="1">
        <f>DATE(2015,3,16) + TIME(13,11,13)</f>
        <v>42079.549456018518</v>
      </c>
      <c r="C2692">
        <v>80</v>
      </c>
      <c r="D2692">
        <v>65.762504578000005</v>
      </c>
      <c r="E2692">
        <v>50</v>
      </c>
      <c r="F2692">
        <v>49.990833281999997</v>
      </c>
      <c r="G2692">
        <v>1226.7366943</v>
      </c>
      <c r="H2692">
        <v>1188.3886719</v>
      </c>
      <c r="I2692">
        <v>1491.1533202999999</v>
      </c>
      <c r="J2692">
        <v>1443.2244873</v>
      </c>
      <c r="K2692">
        <v>0</v>
      </c>
      <c r="L2692">
        <v>2400</v>
      </c>
      <c r="M2692">
        <v>2400</v>
      </c>
      <c r="N2692">
        <v>0</v>
      </c>
    </row>
    <row r="2693" spans="1:14" x14ac:dyDescent="0.25">
      <c r="A2693">
        <v>1781.802445</v>
      </c>
      <c r="B2693" s="1">
        <f>DATE(2015,3,17) + TIME(19,15,31)</f>
        <v>42080.802442129629</v>
      </c>
      <c r="C2693">
        <v>80</v>
      </c>
      <c r="D2693">
        <v>65.539726256999998</v>
      </c>
      <c r="E2693">
        <v>50</v>
      </c>
      <c r="F2693">
        <v>49.990840912000003</v>
      </c>
      <c r="G2693">
        <v>1226.3629149999999</v>
      </c>
      <c r="H2693">
        <v>1187.8581543</v>
      </c>
      <c r="I2693">
        <v>1491.0997314000001</v>
      </c>
      <c r="J2693">
        <v>1443.1710204999999</v>
      </c>
      <c r="K2693">
        <v>0</v>
      </c>
      <c r="L2693">
        <v>2400</v>
      </c>
      <c r="M2693">
        <v>2400</v>
      </c>
      <c r="N2693">
        <v>0</v>
      </c>
    </row>
    <row r="2694" spans="1:14" x14ac:dyDescent="0.25">
      <c r="A2694">
        <v>1783.0554299999999</v>
      </c>
      <c r="B2694" s="1">
        <f>DATE(2015,3,19) + TIME(1,19,49)</f>
        <v>42082.055428240739</v>
      </c>
      <c r="C2694">
        <v>80</v>
      </c>
      <c r="D2694">
        <v>65.314002990999995</v>
      </c>
      <c r="E2694">
        <v>50</v>
      </c>
      <c r="F2694">
        <v>49.990852355999998</v>
      </c>
      <c r="G2694">
        <v>1225.9864502</v>
      </c>
      <c r="H2694">
        <v>1187.3227539</v>
      </c>
      <c r="I2694">
        <v>1491.0465088000001</v>
      </c>
      <c r="J2694">
        <v>1443.1177978999999</v>
      </c>
      <c r="K2694">
        <v>0</v>
      </c>
      <c r="L2694">
        <v>2400</v>
      </c>
      <c r="M2694">
        <v>2400</v>
      </c>
      <c r="N2694">
        <v>0</v>
      </c>
    </row>
    <row r="2695" spans="1:14" x14ac:dyDescent="0.25">
      <c r="A2695">
        <v>1784.3084160000001</v>
      </c>
      <c r="B2695" s="1">
        <f>DATE(2015,3,20) + TIME(7,24,7)</f>
        <v>42083.30841435185</v>
      </c>
      <c r="C2695">
        <v>80</v>
      </c>
      <c r="D2695">
        <v>65.085380553999997</v>
      </c>
      <c r="E2695">
        <v>50</v>
      </c>
      <c r="F2695">
        <v>49.990859985</v>
      </c>
      <c r="G2695">
        <v>1225.6071777</v>
      </c>
      <c r="H2695">
        <v>1186.7825928</v>
      </c>
      <c r="I2695">
        <v>1490.9936522999999</v>
      </c>
      <c r="J2695">
        <v>1443.0650635</v>
      </c>
      <c r="K2695">
        <v>0</v>
      </c>
      <c r="L2695">
        <v>2400</v>
      </c>
      <c r="M2695">
        <v>2400</v>
      </c>
      <c r="N2695">
        <v>0</v>
      </c>
    </row>
    <row r="2696" spans="1:14" x14ac:dyDescent="0.25">
      <c r="A2696">
        <v>1785.5614009999999</v>
      </c>
      <c r="B2696" s="1">
        <f>DATE(2015,3,21) + TIME(13,28,25)</f>
        <v>42084.561400462961</v>
      </c>
      <c r="C2696">
        <v>80</v>
      </c>
      <c r="D2696">
        <v>64.853950499999996</v>
      </c>
      <c r="E2696">
        <v>50</v>
      </c>
      <c r="F2696">
        <v>49.990867614999999</v>
      </c>
      <c r="G2696">
        <v>1225.2253418</v>
      </c>
      <c r="H2696">
        <v>1186.2375488</v>
      </c>
      <c r="I2696">
        <v>1490.9410399999999</v>
      </c>
      <c r="J2696">
        <v>1443.0125731999999</v>
      </c>
      <c r="K2696">
        <v>0</v>
      </c>
      <c r="L2696">
        <v>2400</v>
      </c>
      <c r="M2696">
        <v>2400</v>
      </c>
      <c r="N2696">
        <v>0</v>
      </c>
    </row>
    <row r="2697" spans="1:14" x14ac:dyDescent="0.25">
      <c r="A2697">
        <v>1786.814386</v>
      </c>
      <c r="B2697" s="1">
        <f>DATE(2015,3,22) + TIME(19,32,42)</f>
        <v>42085.814375000002</v>
      </c>
      <c r="C2697">
        <v>80</v>
      </c>
      <c r="D2697">
        <v>64.619781493999994</v>
      </c>
      <c r="E2697">
        <v>50</v>
      </c>
      <c r="F2697">
        <v>49.990875244000001</v>
      </c>
      <c r="G2697">
        <v>1224.8409423999999</v>
      </c>
      <c r="H2697">
        <v>1185.6877440999999</v>
      </c>
      <c r="I2697">
        <v>1490.8887939000001</v>
      </c>
      <c r="J2697">
        <v>1442.9603271000001</v>
      </c>
      <c r="K2697">
        <v>0</v>
      </c>
      <c r="L2697">
        <v>2400</v>
      </c>
      <c r="M2697">
        <v>2400</v>
      </c>
      <c r="N2697">
        <v>0</v>
      </c>
    </row>
    <row r="2698" spans="1:14" x14ac:dyDescent="0.25">
      <c r="A2698">
        <v>1788.0673710000001</v>
      </c>
      <c r="B2698" s="1">
        <f>DATE(2015,3,24) + TIME(1,37,0)</f>
        <v>42087.067361111112</v>
      </c>
      <c r="C2698">
        <v>80</v>
      </c>
      <c r="D2698">
        <v>64.382888793999996</v>
      </c>
      <c r="E2698">
        <v>50</v>
      </c>
      <c r="F2698">
        <v>49.990882874</v>
      </c>
      <c r="G2698">
        <v>1224.4541016000001</v>
      </c>
      <c r="H2698">
        <v>1185.1334228999999</v>
      </c>
      <c r="I2698">
        <v>1490.8369141000001</v>
      </c>
      <c r="J2698">
        <v>1442.9085693</v>
      </c>
      <c r="K2698">
        <v>0</v>
      </c>
      <c r="L2698">
        <v>2400</v>
      </c>
      <c r="M2698">
        <v>2400</v>
      </c>
      <c r="N2698">
        <v>0</v>
      </c>
    </row>
    <row r="2699" spans="1:14" x14ac:dyDescent="0.25">
      <c r="A2699">
        <v>1789.3203570000001</v>
      </c>
      <c r="B2699" s="1">
        <f>DATE(2015,3,25) + TIME(7,41,18)</f>
        <v>42088.320347222223</v>
      </c>
      <c r="C2699">
        <v>80</v>
      </c>
      <c r="D2699">
        <v>64.143341063999998</v>
      </c>
      <c r="E2699">
        <v>50</v>
      </c>
      <c r="F2699">
        <v>49.990890503000003</v>
      </c>
      <c r="G2699">
        <v>1224.0646973</v>
      </c>
      <c r="H2699">
        <v>1184.5745850000001</v>
      </c>
      <c r="I2699">
        <v>1490.7852783000001</v>
      </c>
      <c r="J2699">
        <v>1442.8569336</v>
      </c>
      <c r="K2699">
        <v>0</v>
      </c>
      <c r="L2699">
        <v>2400</v>
      </c>
      <c r="M2699">
        <v>2400</v>
      </c>
      <c r="N2699">
        <v>0</v>
      </c>
    </row>
    <row r="2700" spans="1:14" x14ac:dyDescent="0.25">
      <c r="A2700">
        <v>1790.5733419999999</v>
      </c>
      <c r="B2700" s="1">
        <f>DATE(2015,3,26) + TIME(13,45,36)</f>
        <v>42089.573333333334</v>
      </c>
      <c r="C2700">
        <v>80</v>
      </c>
      <c r="D2700">
        <v>63.901206969999997</v>
      </c>
      <c r="E2700">
        <v>50</v>
      </c>
      <c r="F2700">
        <v>49.990898131999998</v>
      </c>
      <c r="G2700">
        <v>1223.6730957</v>
      </c>
      <c r="H2700">
        <v>1184.0113524999999</v>
      </c>
      <c r="I2700">
        <v>1490.7340088000001</v>
      </c>
      <c r="J2700">
        <v>1442.8057861</v>
      </c>
      <c r="K2700">
        <v>0</v>
      </c>
      <c r="L2700">
        <v>2400</v>
      </c>
      <c r="M2700">
        <v>2400</v>
      </c>
      <c r="N2700">
        <v>0</v>
      </c>
    </row>
    <row r="2701" spans="1:14" x14ac:dyDescent="0.25">
      <c r="A2701">
        <v>1791.826327</v>
      </c>
      <c r="B2701" s="1">
        <f>DATE(2015,3,27) + TIME(19,49,54)</f>
        <v>42090.826319444444</v>
      </c>
      <c r="C2701">
        <v>80</v>
      </c>
      <c r="D2701">
        <v>63.656555175999998</v>
      </c>
      <c r="E2701">
        <v>50</v>
      </c>
      <c r="F2701">
        <v>49.990905761999997</v>
      </c>
      <c r="G2701">
        <v>1223.2791748</v>
      </c>
      <c r="H2701">
        <v>1183.4438477000001</v>
      </c>
      <c r="I2701">
        <v>1490.6829834</v>
      </c>
      <c r="J2701">
        <v>1442.7548827999999</v>
      </c>
      <c r="K2701">
        <v>0</v>
      </c>
      <c r="L2701">
        <v>2400</v>
      </c>
      <c r="M2701">
        <v>2400</v>
      </c>
      <c r="N2701">
        <v>0</v>
      </c>
    </row>
    <row r="2702" spans="1:14" x14ac:dyDescent="0.25">
      <c r="A2702">
        <v>1793.0793120000001</v>
      </c>
      <c r="B2702" s="1">
        <f>DATE(2015,3,29) + TIME(1,54,12)</f>
        <v>42092.079305555555</v>
      </c>
      <c r="C2702">
        <v>80</v>
      </c>
      <c r="D2702">
        <v>63.409465789999999</v>
      </c>
      <c r="E2702">
        <v>50</v>
      </c>
      <c r="F2702">
        <v>49.990913390999999</v>
      </c>
      <c r="G2702">
        <v>1222.8829346</v>
      </c>
      <c r="H2702">
        <v>1182.8721923999999</v>
      </c>
      <c r="I2702">
        <v>1490.6323242000001</v>
      </c>
      <c r="J2702">
        <v>1442.7042236</v>
      </c>
      <c r="K2702">
        <v>0</v>
      </c>
      <c r="L2702">
        <v>2400</v>
      </c>
      <c r="M2702">
        <v>2400</v>
      </c>
      <c r="N2702">
        <v>0</v>
      </c>
    </row>
    <row r="2703" spans="1:14" x14ac:dyDescent="0.25">
      <c r="A2703">
        <v>1794.332298</v>
      </c>
      <c r="B2703" s="1">
        <f>DATE(2015,3,30) + TIME(7,58,30)</f>
        <v>42093.332291666666</v>
      </c>
      <c r="C2703">
        <v>80</v>
      </c>
      <c r="D2703">
        <v>63.159999847000002</v>
      </c>
      <c r="E2703">
        <v>50</v>
      </c>
      <c r="F2703">
        <v>49.990921020999998</v>
      </c>
      <c r="G2703">
        <v>1222.4846190999999</v>
      </c>
      <c r="H2703">
        <v>1182.2963867000001</v>
      </c>
      <c r="I2703">
        <v>1490.5819091999999</v>
      </c>
      <c r="J2703">
        <v>1442.6539307</v>
      </c>
      <c r="K2703">
        <v>0</v>
      </c>
      <c r="L2703">
        <v>2400</v>
      </c>
      <c r="M2703">
        <v>2400</v>
      </c>
      <c r="N2703">
        <v>0</v>
      </c>
    </row>
    <row r="2704" spans="1:14" x14ac:dyDescent="0.25">
      <c r="A2704">
        <v>1795.1661489999999</v>
      </c>
      <c r="B2704" s="1">
        <f>DATE(2015,3,31) + TIME(3,59,15)</f>
        <v>42094.166145833333</v>
      </c>
      <c r="C2704">
        <v>80</v>
      </c>
      <c r="D2704">
        <v>62.931766510000003</v>
      </c>
      <c r="E2704">
        <v>50</v>
      </c>
      <c r="F2704">
        <v>49.990924835000001</v>
      </c>
      <c r="G2704">
        <v>1222.0874022999999</v>
      </c>
      <c r="H2704">
        <v>1181.7373047000001</v>
      </c>
      <c r="I2704">
        <v>1490.5321045000001</v>
      </c>
      <c r="J2704">
        <v>1442.604126</v>
      </c>
      <c r="K2704">
        <v>0</v>
      </c>
      <c r="L2704">
        <v>2400</v>
      </c>
      <c r="M2704">
        <v>2400</v>
      </c>
      <c r="N2704">
        <v>0</v>
      </c>
    </row>
    <row r="2705" spans="1:14" x14ac:dyDescent="0.25">
      <c r="A2705">
        <v>1796</v>
      </c>
      <c r="B2705" s="1">
        <f>DATE(2015,4,1) + TIME(0,0,0)</f>
        <v>42095</v>
      </c>
      <c r="C2705">
        <v>80</v>
      </c>
      <c r="D2705">
        <v>62.745918273999997</v>
      </c>
      <c r="E2705">
        <v>50</v>
      </c>
      <c r="F2705">
        <v>49.990928650000001</v>
      </c>
      <c r="G2705">
        <v>1221.8238524999999</v>
      </c>
      <c r="H2705">
        <v>1181.3507079999999</v>
      </c>
      <c r="I2705">
        <v>1490.4984131000001</v>
      </c>
      <c r="J2705">
        <v>1442.5704346</v>
      </c>
      <c r="K2705">
        <v>0</v>
      </c>
      <c r="L2705">
        <v>2400</v>
      </c>
      <c r="M2705">
        <v>2400</v>
      </c>
      <c r="N270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2022-05-31T12:19:29Z</dcterms:created>
  <dcterms:modified xsi:type="dcterms:W3CDTF">2022-05-31T12:20:19Z</dcterms:modified>
</cp:coreProperties>
</file>