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15_high_aquifer_thickness/"/>
    </mc:Choice>
  </mc:AlternateContent>
  <xr:revisionPtr revIDLastSave="0" documentId="8_{31CFEE18-7B9A-4756-B022-3700692717D1}" xr6:coauthVersionLast="47" xr6:coauthVersionMax="47" xr10:uidLastSave="{00000000-0000-0000-0000-000000000000}"/>
  <bookViews>
    <workbookView xWindow="1575" yWindow="465" windowWidth="18915" windowHeight="9960" xr2:uid="{9C75FBF9-0CAF-4EC4-B9CA-1B29FCD563E5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74" i="1" l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<sst xmlns="http://schemas.openxmlformats.org/spreadsheetml/2006/main" count="15" uniqueCount="15">
  <si>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MODEL\SCENARIOS\2022\S15_high_aquifer_thickness\S15_high_aquifer_thickness.sr3</t>
  </si>
  <si>
    <t>Time (day)</t>
  </si>
  <si>
    <t>Date</t>
  </si>
  <si>
    <t>Hot well INJ-Fluid Rate SC (m³/day)</t>
  </si>
  <si>
    <t>Hot well PROD-Fluid Rate SC (m³/day)</t>
  </si>
  <si>
    <t>Warm well INJ-Fluid Rate SC (m³/day)</t>
  </si>
  <si>
    <t>Warm well PROD-Fluid Rate SC (m³/day)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</si>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</sst>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AD42C8-6619-4591-B9DA-1A043C6DF8B6}" name="Table1" displayName="Table1" ref="A3:N1874" totalsRowShown="0">
  <autoFilter ref="A3:N1874" xr:uid="{B7AD42C8-6619-4591-B9DA-1A043C6DF8B6}"/>
  <tableColumns count="14">
    <tableColumn id="1" xr3:uid="{D0310AA4-92D9-4CBD-8E08-B1AC86346253}" name="Time (day)"/>
    <tableColumn id="2" xr3:uid="{38277061-F635-4DC6-844C-B29001A202B8}" name="Date" dataDxfId="0"/>
    <tableColumn id="3" xr3:uid="{7FF2FD26-76CA-4D92-9F70-FE041039C174}" name="Hot well INJ-Fluid Rate SC (m³/day)"/>
    <tableColumn id="4" xr3:uid="{0FF72592-CA68-4CF6-9F27-1B979075E412}" name="Hot well PROD-Fluid Rate SC (m³/day)"/>
    <tableColumn id="5" xr3:uid="{1D5F111D-3AB1-4372-B61B-BD5880D26D22}" name="Warm well INJ-Fluid Rate SC (m³/day)"/>
    <tableColumn id="6" xr3:uid="{A598FF14-2421-44DD-86F3-6720BB0459BB}" name="Warm well PROD-Fluid Rate SC (m³/day)"/>
    <tableColumn id="7" xr3:uid="{E91B26CD-E384-4E1B-A4B8-8C8D90245C4B}" name="Hot well INJ-Well Bottom-hole Pressure (kPa)"/>
    <tableColumn id="8" xr3:uid="{4FDBC541-0104-4682-A6D0-883200AC574B}" name="Hot well PROD-Well Bottom-hole Pressure (kPa)"/>
    <tableColumn id="9" xr3:uid="{94F01633-B54D-4A2C-B49F-13ACC67D0C51}" name="Warm well INJ-Well Bottom-hole Pressure (kPa)"/>
    <tableColumn id="10" xr3:uid="{F2E9F5ED-9845-402F-8F52-0030ED4786CD}" name="Warm well PROD-Well Bottom-hole Pressure (kPa)"/>
    <tableColumn id="11" xr3:uid="{284E3F6B-6D89-4D94-8590-8655482DF022}" name="Hot well INJ-Well bottom hole temperature (C)"/>
    <tableColumn id="12" xr3:uid="{1A0E6BBF-DA05-4CE5-A87B-D96E4AFE82DE}" name="Hot well PROD-Well bottom hole temperature (C)"/>
    <tableColumn id="13" xr3:uid="{83866CFB-0157-4282-A4DC-D5732834B117}" name="Warm well INJ-Well bottom hole temperature (C)"/>
    <tableColumn id="14" xr3:uid="{94463B4F-E795-4FE4-94E3-0296630AC3CE}" name="Warm well PROD-Well bottom hole temperature (C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2D10-2ED5-4146-AF83-1EBDE39490AB}">
  <dimension ref="A1:N1874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34.140625" customWidth="1"/>
    <col min="4" max="5" width="36.42578125" customWidth="1"/>
    <col min="6" max="6" width="38.7109375" customWidth="1"/>
    <col min="7" max="7" width="43.5703125" customWidth="1"/>
    <col min="8" max="9" width="45.85546875" customWidth="1"/>
    <col min="10" max="10" width="48.140625" customWidth="1"/>
    <col min="11" max="11" width="44.85546875" customWidth="1"/>
    <col min="12" max="13" width="47.140625" customWidth="1"/>
    <col min="14" max="14" width="49.4257812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2400</v>
      </c>
      <c r="D4">
        <v>0</v>
      </c>
      <c r="E4">
        <v>0</v>
      </c>
      <c r="F4">
        <v>2400</v>
      </c>
      <c r="G4">
        <v>1349.3377685999999</v>
      </c>
      <c r="H4">
        <v>1329.6292725000001</v>
      </c>
      <c r="I4">
        <v>1329.1910399999999</v>
      </c>
      <c r="J4">
        <v>1309.4810791</v>
      </c>
      <c r="K4">
        <v>80</v>
      </c>
      <c r="L4">
        <v>15.000059128</v>
      </c>
      <c r="M4">
        <v>50</v>
      </c>
      <c r="N4">
        <v>14.999977112</v>
      </c>
    </row>
    <row r="5" spans="1:14" x14ac:dyDescent="0.25">
      <c r="A5">
        <v>3.9999999999999998E-6</v>
      </c>
      <c r="B5" s="1">
        <f>DATE(2010,5,1) + TIME(0,0,0)</f>
        <v>40299</v>
      </c>
      <c r="C5">
        <v>2400</v>
      </c>
      <c r="D5">
        <v>0</v>
      </c>
      <c r="E5">
        <v>0</v>
      </c>
      <c r="F5">
        <v>2400</v>
      </c>
      <c r="G5">
        <v>1349.9586182</v>
      </c>
      <c r="H5">
        <v>1330.2501221</v>
      </c>
      <c r="I5">
        <v>1328.572876</v>
      </c>
      <c r="J5">
        <v>1308.8629149999999</v>
      </c>
      <c r="K5">
        <v>80</v>
      </c>
      <c r="L5">
        <v>15.000232697</v>
      </c>
      <c r="M5">
        <v>50</v>
      </c>
      <c r="N5">
        <v>14.999914169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2400</v>
      </c>
      <c r="D6">
        <v>0</v>
      </c>
      <c r="E6">
        <v>0</v>
      </c>
      <c r="F6">
        <v>2400</v>
      </c>
      <c r="G6">
        <v>1351.5461425999999</v>
      </c>
      <c r="H6">
        <v>1331.8377685999999</v>
      </c>
      <c r="I6">
        <v>1326.9920654</v>
      </c>
      <c r="J6">
        <v>1307.2819824000001</v>
      </c>
      <c r="K6">
        <v>80</v>
      </c>
      <c r="L6">
        <v>15.0007267</v>
      </c>
      <c r="M6">
        <v>50</v>
      </c>
      <c r="N6">
        <v>14.999751091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2400</v>
      </c>
      <c r="D7">
        <v>0</v>
      </c>
      <c r="E7">
        <v>0</v>
      </c>
      <c r="F7">
        <v>2400</v>
      </c>
      <c r="G7">
        <v>1354.8248291</v>
      </c>
      <c r="H7">
        <v>1335.1169434000001</v>
      </c>
      <c r="I7">
        <v>1323.7270507999999</v>
      </c>
      <c r="J7">
        <v>1304.0168457</v>
      </c>
      <c r="K7">
        <v>80</v>
      </c>
      <c r="L7">
        <v>15.002053261</v>
      </c>
      <c r="M7">
        <v>50</v>
      </c>
      <c r="N7">
        <v>14.999415398</v>
      </c>
    </row>
    <row r="8" spans="1:14" x14ac:dyDescent="0.25">
      <c r="A8">
        <v>1.21E-4</v>
      </c>
      <c r="B8" s="1">
        <f>DATE(2010,5,1) + TIME(0,0,10)</f>
        <v>40299.000115740739</v>
      </c>
      <c r="C8">
        <v>2400</v>
      </c>
      <c r="D8">
        <v>0</v>
      </c>
      <c r="E8">
        <v>0</v>
      </c>
      <c r="F8">
        <v>2400</v>
      </c>
      <c r="G8">
        <v>1359.7498779</v>
      </c>
      <c r="H8">
        <v>1340.0435791</v>
      </c>
      <c r="I8">
        <v>1318.8214111</v>
      </c>
      <c r="J8">
        <v>1299.1109618999999</v>
      </c>
      <c r="K8">
        <v>80</v>
      </c>
      <c r="L8">
        <v>15.005529404000001</v>
      </c>
      <c r="M8">
        <v>50</v>
      </c>
      <c r="N8">
        <v>14.998910904000001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2400</v>
      </c>
      <c r="D9">
        <v>0</v>
      </c>
      <c r="E9">
        <v>0</v>
      </c>
      <c r="F9">
        <v>2400</v>
      </c>
      <c r="G9">
        <v>1365.3337402</v>
      </c>
      <c r="H9">
        <v>1345.6323242000001</v>
      </c>
      <c r="I9">
        <v>1313.2548827999999</v>
      </c>
      <c r="J9">
        <v>1293.5443115</v>
      </c>
      <c r="K9">
        <v>80</v>
      </c>
      <c r="L9">
        <v>15.015010834</v>
      </c>
      <c r="M9">
        <v>50</v>
      </c>
      <c r="N9">
        <v>14.998338699</v>
      </c>
    </row>
    <row r="10" spans="1:14" x14ac:dyDescent="0.25">
      <c r="A10">
        <v>1.093E-3</v>
      </c>
      <c r="B10" s="1">
        <f>DATE(2010,5,1) + TIME(0,1,34)</f>
        <v>40299.001087962963</v>
      </c>
      <c r="C10">
        <v>2400</v>
      </c>
      <c r="D10">
        <v>0</v>
      </c>
      <c r="E10">
        <v>0</v>
      </c>
      <c r="F10">
        <v>2400</v>
      </c>
      <c r="G10">
        <v>1370.9613036999999</v>
      </c>
      <c r="H10">
        <v>1351.2739257999999</v>
      </c>
      <c r="I10">
        <v>1307.6308594</v>
      </c>
      <c r="J10">
        <v>1287.9200439000001</v>
      </c>
      <c r="K10">
        <v>80</v>
      </c>
      <c r="L10">
        <v>15.042301178000001</v>
      </c>
      <c r="M10">
        <v>50</v>
      </c>
      <c r="N10">
        <v>14.997761726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2400</v>
      </c>
      <c r="D11">
        <v>0</v>
      </c>
      <c r="E11">
        <v>0</v>
      </c>
      <c r="F11">
        <v>2400</v>
      </c>
      <c r="G11">
        <v>1376.4603271000001</v>
      </c>
      <c r="H11">
        <v>1356.8140868999999</v>
      </c>
      <c r="I11">
        <v>1302.0939940999999</v>
      </c>
      <c r="J11">
        <v>1282.3830565999999</v>
      </c>
      <c r="K11">
        <v>80</v>
      </c>
      <c r="L11">
        <v>15.122908592</v>
      </c>
      <c r="M11">
        <v>50</v>
      </c>
      <c r="N11">
        <v>14.997194289999999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2400</v>
      </c>
      <c r="D12">
        <v>0</v>
      </c>
      <c r="E12">
        <v>0</v>
      </c>
      <c r="F12">
        <v>2400</v>
      </c>
      <c r="G12">
        <v>1381.2374268000001</v>
      </c>
      <c r="H12">
        <v>1361.7125243999999</v>
      </c>
      <c r="I12">
        <v>1297.1597899999999</v>
      </c>
      <c r="J12">
        <v>1277.4487305</v>
      </c>
      <c r="K12">
        <v>80</v>
      </c>
      <c r="L12">
        <v>15.362696648</v>
      </c>
      <c r="M12">
        <v>50</v>
      </c>
      <c r="N12">
        <v>14.996692657000001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2400</v>
      </c>
      <c r="D13">
        <v>0</v>
      </c>
      <c r="E13">
        <v>0</v>
      </c>
      <c r="F13">
        <v>2400</v>
      </c>
      <c r="G13">
        <v>1384.1312256000001</v>
      </c>
      <c r="H13">
        <v>1364.9592285000001</v>
      </c>
      <c r="I13">
        <v>1293.7929687999999</v>
      </c>
      <c r="J13">
        <v>1274.0816649999999</v>
      </c>
      <c r="K13">
        <v>80</v>
      </c>
      <c r="L13">
        <v>16.074134827000002</v>
      </c>
      <c r="M13">
        <v>50</v>
      </c>
      <c r="N13">
        <v>14.996362685999999</v>
      </c>
    </row>
    <row r="14" spans="1:14" x14ac:dyDescent="0.25">
      <c r="A14">
        <v>5.7190999999999999E-2</v>
      </c>
      <c r="B14" s="1">
        <f>DATE(2010,5,1) + TIME(1,22,21)</f>
        <v>40299.057187500002</v>
      </c>
      <c r="C14">
        <v>2400</v>
      </c>
      <c r="D14">
        <v>0</v>
      </c>
      <c r="E14">
        <v>0</v>
      </c>
      <c r="F14">
        <v>2400</v>
      </c>
      <c r="G14">
        <v>1384.7510986</v>
      </c>
      <c r="H14">
        <v>1366.0399170000001</v>
      </c>
      <c r="I14">
        <v>1292.581543</v>
      </c>
      <c r="J14">
        <v>1272.8698730000001</v>
      </c>
      <c r="K14">
        <v>80</v>
      </c>
      <c r="L14">
        <v>17.061050415</v>
      </c>
      <c r="M14">
        <v>50</v>
      </c>
      <c r="N14">
        <v>14.996256828</v>
      </c>
    </row>
    <row r="15" spans="1:14" x14ac:dyDescent="0.25">
      <c r="A15">
        <v>8.5223999999999994E-2</v>
      </c>
      <c r="B15" s="1">
        <f>DATE(2010,5,1) + TIME(2,2,43)</f>
        <v>40299.085219907407</v>
      </c>
      <c r="C15">
        <v>2400</v>
      </c>
      <c r="D15">
        <v>0</v>
      </c>
      <c r="E15">
        <v>0</v>
      </c>
      <c r="F15">
        <v>2400</v>
      </c>
      <c r="G15">
        <v>1384.5850829999999</v>
      </c>
      <c r="H15">
        <v>1366.3067627</v>
      </c>
      <c r="I15">
        <v>1292.2067870999999</v>
      </c>
      <c r="J15">
        <v>1272.4943848</v>
      </c>
      <c r="K15">
        <v>80</v>
      </c>
      <c r="L15">
        <v>18.048889160000002</v>
      </c>
      <c r="M15">
        <v>50</v>
      </c>
      <c r="N15">
        <v>14.996235846999999</v>
      </c>
    </row>
    <row r="16" spans="1:14" x14ac:dyDescent="0.25">
      <c r="A16">
        <v>0.11360199999999999</v>
      </c>
      <c r="B16" s="1">
        <f>DATE(2010,5,1) + TIME(2,43,35)</f>
        <v>40299.113599537035</v>
      </c>
      <c r="C16">
        <v>2400</v>
      </c>
      <c r="D16">
        <v>0</v>
      </c>
      <c r="E16">
        <v>0</v>
      </c>
      <c r="F16">
        <v>2400</v>
      </c>
      <c r="G16">
        <v>1384.1804199000001</v>
      </c>
      <c r="H16">
        <v>1366.3154297000001</v>
      </c>
      <c r="I16">
        <v>1292.0878906</v>
      </c>
      <c r="J16">
        <v>1272.3743896000001</v>
      </c>
      <c r="K16">
        <v>80</v>
      </c>
      <c r="L16">
        <v>19.036623000999999</v>
      </c>
      <c r="M16">
        <v>50</v>
      </c>
      <c r="N16">
        <v>14.996240616</v>
      </c>
    </row>
    <row r="17" spans="1:14" x14ac:dyDescent="0.25">
      <c r="A17">
        <v>0.14233299999999999</v>
      </c>
      <c r="B17" s="1">
        <f>DATE(2010,5,1) + TIME(3,24,57)</f>
        <v>40299.142326388886</v>
      </c>
      <c r="C17">
        <v>2400</v>
      </c>
      <c r="D17">
        <v>0</v>
      </c>
      <c r="E17">
        <v>0</v>
      </c>
      <c r="F17">
        <v>2400</v>
      </c>
      <c r="G17">
        <v>1383.7036132999999</v>
      </c>
      <c r="H17">
        <v>1366.2332764</v>
      </c>
      <c r="I17">
        <v>1292.0545654</v>
      </c>
      <c r="J17">
        <v>1272.3400879000001</v>
      </c>
      <c r="K17">
        <v>80</v>
      </c>
      <c r="L17">
        <v>20.024234772</v>
      </c>
      <c r="M17">
        <v>50</v>
      </c>
      <c r="N17">
        <v>14.996253966999999</v>
      </c>
    </row>
    <row r="18" spans="1:14" x14ac:dyDescent="0.25">
      <c r="A18">
        <v>0.17142399999999999</v>
      </c>
      <c r="B18" s="1">
        <f>DATE(2010,5,1) + TIME(4,6,51)</f>
        <v>40299.171423611115</v>
      </c>
      <c r="C18">
        <v>2400</v>
      </c>
      <c r="D18">
        <v>0</v>
      </c>
      <c r="E18">
        <v>0</v>
      </c>
      <c r="F18">
        <v>2400</v>
      </c>
      <c r="G18">
        <v>1383.2128906</v>
      </c>
      <c r="H18">
        <v>1366.1196289</v>
      </c>
      <c r="I18">
        <v>1292.0499268000001</v>
      </c>
      <c r="J18">
        <v>1272.3342285000001</v>
      </c>
      <c r="K18">
        <v>80</v>
      </c>
      <c r="L18">
        <v>21.012525558</v>
      </c>
      <c r="M18">
        <v>50</v>
      </c>
      <c r="N18">
        <v>14.99627018</v>
      </c>
    </row>
    <row r="19" spans="1:14" x14ac:dyDescent="0.25">
      <c r="A19">
        <v>0.20086000000000001</v>
      </c>
      <c r="B19" s="1">
        <f>DATE(2010,5,1) + TIME(4,49,14)</f>
        <v>40299.200856481482</v>
      </c>
      <c r="C19">
        <v>2400</v>
      </c>
      <c r="D19">
        <v>0</v>
      </c>
      <c r="E19">
        <v>0</v>
      </c>
      <c r="F19">
        <v>2400</v>
      </c>
      <c r="G19">
        <v>1382.7315673999999</v>
      </c>
      <c r="H19">
        <v>1365.9982910000001</v>
      </c>
      <c r="I19">
        <v>1292.0539550999999</v>
      </c>
      <c r="J19">
        <v>1272.3369141000001</v>
      </c>
      <c r="K19">
        <v>80</v>
      </c>
      <c r="L19">
        <v>21.999822617</v>
      </c>
      <c r="M19">
        <v>50</v>
      </c>
      <c r="N19">
        <v>14.9962883</v>
      </c>
    </row>
    <row r="20" spans="1:14" x14ac:dyDescent="0.25">
      <c r="A20">
        <v>0.23067499999999999</v>
      </c>
      <c r="B20" s="1">
        <f>DATE(2010,5,1) + TIME(5,32,10)</f>
        <v>40299.230671296296</v>
      </c>
      <c r="C20">
        <v>2400</v>
      </c>
      <c r="D20">
        <v>0</v>
      </c>
      <c r="E20">
        <v>0</v>
      </c>
      <c r="F20">
        <v>2400</v>
      </c>
      <c r="G20">
        <v>1382.2680664</v>
      </c>
      <c r="H20">
        <v>1365.8786620999999</v>
      </c>
      <c r="I20">
        <v>1292.0599365</v>
      </c>
      <c r="J20">
        <v>1272.3414307</v>
      </c>
      <c r="K20">
        <v>80</v>
      </c>
      <c r="L20">
        <v>22.986934661999999</v>
      </c>
      <c r="M20">
        <v>50</v>
      </c>
      <c r="N20">
        <v>14.996305466000001</v>
      </c>
    </row>
    <row r="21" spans="1:14" x14ac:dyDescent="0.25">
      <c r="A21">
        <v>0.26087900000000003</v>
      </c>
      <c r="B21" s="1">
        <f>DATE(2010,5,1) + TIME(6,15,39)</f>
        <v>40299.260868055557</v>
      </c>
      <c r="C21">
        <v>2400</v>
      </c>
      <c r="D21">
        <v>0</v>
      </c>
      <c r="E21">
        <v>0</v>
      </c>
      <c r="F21">
        <v>2400</v>
      </c>
      <c r="G21">
        <v>1381.8256836</v>
      </c>
      <c r="H21">
        <v>1365.7651367000001</v>
      </c>
      <c r="I21">
        <v>1292.0657959</v>
      </c>
      <c r="J21">
        <v>1272.3457031</v>
      </c>
      <c r="K21">
        <v>80</v>
      </c>
      <c r="L21">
        <v>23.973857880000001</v>
      </c>
      <c r="M21">
        <v>50</v>
      </c>
      <c r="N21">
        <v>14.996322632</v>
      </c>
    </row>
    <row r="22" spans="1:14" x14ac:dyDescent="0.25">
      <c r="A22">
        <v>0.29148299999999999</v>
      </c>
      <c r="B22" s="1">
        <f>DATE(2010,5,1) + TIME(6,59,44)</f>
        <v>40299.291481481479</v>
      </c>
      <c r="C22">
        <v>2400</v>
      </c>
      <c r="D22">
        <v>0</v>
      </c>
      <c r="E22">
        <v>0</v>
      </c>
      <c r="F22">
        <v>2400</v>
      </c>
      <c r="G22">
        <v>1381.4053954999999</v>
      </c>
      <c r="H22">
        <v>1365.6594238</v>
      </c>
      <c r="I22">
        <v>1292.0710449000001</v>
      </c>
      <c r="J22">
        <v>1272.3493652</v>
      </c>
      <c r="K22">
        <v>80</v>
      </c>
      <c r="L22">
        <v>24.960577011000002</v>
      </c>
      <c r="M22">
        <v>50</v>
      </c>
      <c r="N22">
        <v>14.996339797999999</v>
      </c>
    </row>
    <row r="23" spans="1:14" x14ac:dyDescent="0.25">
      <c r="A23">
        <v>0.32249899999999998</v>
      </c>
      <c r="B23" s="1">
        <f>DATE(2010,5,1) + TIME(7,44,23)</f>
        <v>40299.322488425925</v>
      </c>
      <c r="C23">
        <v>2400</v>
      </c>
      <c r="D23">
        <v>0</v>
      </c>
      <c r="E23">
        <v>0</v>
      </c>
      <c r="F23">
        <v>2400</v>
      </c>
      <c r="G23">
        <v>1381.0069579999999</v>
      </c>
      <c r="H23">
        <v>1365.5622559000001</v>
      </c>
      <c r="I23">
        <v>1292.0759277</v>
      </c>
      <c r="J23">
        <v>1272.3524170000001</v>
      </c>
      <c r="K23">
        <v>80</v>
      </c>
      <c r="L23">
        <v>25.947727202999999</v>
      </c>
      <c r="M23">
        <v>50</v>
      </c>
      <c r="N23">
        <v>14.996356964</v>
      </c>
    </row>
    <row r="24" spans="1:14" x14ac:dyDescent="0.25">
      <c r="A24">
        <v>0.35391899999999998</v>
      </c>
      <c r="B24" s="1">
        <f>DATE(2010,5,1) + TIME(8,29,38)</f>
        <v>40299.353912037041</v>
      </c>
      <c r="C24">
        <v>2400</v>
      </c>
      <c r="D24">
        <v>0</v>
      </c>
      <c r="E24">
        <v>0</v>
      </c>
      <c r="F24">
        <v>2400</v>
      </c>
      <c r="G24">
        <v>1380.630249</v>
      </c>
      <c r="H24">
        <v>1365.4735106999999</v>
      </c>
      <c r="I24">
        <v>1292.0803223</v>
      </c>
      <c r="J24">
        <v>1272.3551024999999</v>
      </c>
      <c r="K24">
        <v>80</v>
      </c>
      <c r="L24">
        <v>26.934064865</v>
      </c>
      <c r="M24">
        <v>50</v>
      </c>
      <c r="N24">
        <v>14.99637413</v>
      </c>
    </row>
    <row r="25" spans="1:14" x14ac:dyDescent="0.25">
      <c r="A25">
        <v>0.38577400000000001</v>
      </c>
      <c r="B25" s="1">
        <f>DATE(2010,5,1) + TIME(9,15,30)</f>
        <v>40299.385763888888</v>
      </c>
      <c r="C25">
        <v>2400</v>
      </c>
      <c r="D25">
        <v>0</v>
      </c>
      <c r="E25">
        <v>0</v>
      </c>
      <c r="F25">
        <v>2400</v>
      </c>
      <c r="G25">
        <v>1380.2741699000001</v>
      </c>
      <c r="H25">
        <v>1365.3933105000001</v>
      </c>
      <c r="I25">
        <v>1292.0844727000001</v>
      </c>
      <c r="J25">
        <v>1272.3574219</v>
      </c>
      <c r="K25">
        <v>80</v>
      </c>
      <c r="L25">
        <v>27.920135498</v>
      </c>
      <c r="M25">
        <v>50</v>
      </c>
      <c r="N25">
        <v>14.996391296000001</v>
      </c>
    </row>
    <row r="26" spans="1:14" x14ac:dyDescent="0.25">
      <c r="A26">
        <v>0.41807899999999998</v>
      </c>
      <c r="B26" s="1">
        <f>DATE(2010,5,1) + TIME(10,2,1)</f>
        <v>40299.418067129627</v>
      </c>
      <c r="C26">
        <v>2400</v>
      </c>
      <c r="D26">
        <v>0</v>
      </c>
      <c r="E26">
        <v>0</v>
      </c>
      <c r="F26">
        <v>2400</v>
      </c>
      <c r="G26">
        <v>1379.9378661999999</v>
      </c>
      <c r="H26">
        <v>1365.3212891000001</v>
      </c>
      <c r="I26">
        <v>1292.0886230000001</v>
      </c>
      <c r="J26">
        <v>1272.359375</v>
      </c>
      <c r="K26">
        <v>80</v>
      </c>
      <c r="L26">
        <v>28.905958175999999</v>
      </c>
      <c r="M26">
        <v>50</v>
      </c>
      <c r="N26">
        <v>14.996408463</v>
      </c>
    </row>
    <row r="27" spans="1:14" x14ac:dyDescent="0.25">
      <c r="A27">
        <v>0.45084800000000003</v>
      </c>
      <c r="B27" s="1">
        <f>DATE(2010,5,1) + TIME(10,49,13)</f>
        <v>40299.450844907406</v>
      </c>
      <c r="C27">
        <v>2400</v>
      </c>
      <c r="D27">
        <v>0</v>
      </c>
      <c r="E27">
        <v>0</v>
      </c>
      <c r="F27">
        <v>2400</v>
      </c>
      <c r="G27">
        <v>1379.6206055</v>
      </c>
      <c r="H27">
        <v>1365.2572021000001</v>
      </c>
      <c r="I27">
        <v>1292.0925293</v>
      </c>
      <c r="J27">
        <v>1272.3613281</v>
      </c>
      <c r="K27">
        <v>80</v>
      </c>
      <c r="L27">
        <v>29.891513824</v>
      </c>
      <c r="M27">
        <v>50</v>
      </c>
      <c r="N27">
        <v>14.996425629000001</v>
      </c>
    </row>
    <row r="28" spans="1:14" x14ac:dyDescent="0.25">
      <c r="A28">
        <v>0.48409799999999997</v>
      </c>
      <c r="B28" s="1">
        <f>DATE(2010,5,1) + TIME(11,37,6)</f>
        <v>40299.484097222223</v>
      </c>
      <c r="C28">
        <v>2400</v>
      </c>
      <c r="D28">
        <v>0</v>
      </c>
      <c r="E28">
        <v>0</v>
      </c>
      <c r="F28">
        <v>2400</v>
      </c>
      <c r="G28">
        <v>1379.3215332</v>
      </c>
      <c r="H28">
        <v>1365.2008057</v>
      </c>
      <c r="I28">
        <v>1292.0965576000001</v>
      </c>
      <c r="J28">
        <v>1272.3630370999999</v>
      </c>
      <c r="K28">
        <v>80</v>
      </c>
      <c r="L28">
        <v>30.876987456999998</v>
      </c>
      <c r="M28">
        <v>50</v>
      </c>
      <c r="N28">
        <v>14.996442795</v>
      </c>
    </row>
    <row r="29" spans="1:14" x14ac:dyDescent="0.25">
      <c r="A29">
        <v>0.51783800000000002</v>
      </c>
      <c r="B29" s="1">
        <f>DATE(2010,5,1) + TIME(12,25,41)</f>
        <v>40299.517835648148</v>
      </c>
      <c r="C29">
        <v>2400</v>
      </c>
      <c r="D29">
        <v>0</v>
      </c>
      <c r="E29">
        <v>0</v>
      </c>
      <c r="F29">
        <v>2400</v>
      </c>
      <c r="G29">
        <v>1379.0397949000001</v>
      </c>
      <c r="H29">
        <v>1365.1517334</v>
      </c>
      <c r="I29">
        <v>1292.1004639</v>
      </c>
      <c r="J29">
        <v>1272.364624</v>
      </c>
      <c r="K29">
        <v>80</v>
      </c>
      <c r="L29">
        <v>31.861999512000001</v>
      </c>
      <c r="M29">
        <v>50</v>
      </c>
      <c r="N29">
        <v>14.996459960999999</v>
      </c>
    </row>
    <row r="30" spans="1:14" x14ac:dyDescent="0.25">
      <c r="A30">
        <v>0.552091</v>
      </c>
      <c r="B30" s="1">
        <f>DATE(2010,5,1) + TIME(13,15,0)</f>
        <v>40299.552083333336</v>
      </c>
      <c r="C30">
        <v>2400</v>
      </c>
      <c r="D30">
        <v>0</v>
      </c>
      <c r="E30">
        <v>0</v>
      </c>
      <c r="F30">
        <v>2400</v>
      </c>
      <c r="G30">
        <v>1378.7746582</v>
      </c>
      <c r="H30">
        <v>1365.1097411999999</v>
      </c>
      <c r="I30">
        <v>1292.1043701000001</v>
      </c>
      <c r="J30">
        <v>1272.3662108999999</v>
      </c>
      <c r="K30">
        <v>80</v>
      </c>
      <c r="L30">
        <v>32.846672058000003</v>
      </c>
      <c r="M30">
        <v>50</v>
      </c>
      <c r="N30">
        <v>14.996477127</v>
      </c>
    </row>
    <row r="31" spans="1:14" x14ac:dyDescent="0.25">
      <c r="A31">
        <v>0.58687800000000001</v>
      </c>
      <c r="B31" s="1">
        <f>DATE(2010,5,1) + TIME(14,5,6)</f>
        <v>40299.586875000001</v>
      </c>
      <c r="C31">
        <v>2400</v>
      </c>
      <c r="D31">
        <v>0</v>
      </c>
      <c r="E31">
        <v>0</v>
      </c>
      <c r="F31">
        <v>2400</v>
      </c>
      <c r="G31">
        <v>1378.5252685999999</v>
      </c>
      <c r="H31">
        <v>1365.0745850000001</v>
      </c>
      <c r="I31">
        <v>1292.1082764</v>
      </c>
      <c r="J31">
        <v>1272.3676757999999</v>
      </c>
      <c r="K31">
        <v>80</v>
      </c>
      <c r="L31">
        <v>33.831012725999997</v>
      </c>
      <c r="M31">
        <v>50</v>
      </c>
      <c r="N31">
        <v>14.996494293</v>
      </c>
    </row>
    <row r="32" spans="1:14" x14ac:dyDescent="0.25">
      <c r="A32">
        <v>0.62221800000000005</v>
      </c>
      <c r="B32" s="1">
        <f>DATE(2010,5,1) + TIME(14,55,59)</f>
        <v>40299.622210648151</v>
      </c>
      <c r="C32">
        <v>2400</v>
      </c>
      <c r="D32">
        <v>0</v>
      </c>
      <c r="E32">
        <v>0</v>
      </c>
      <c r="F32">
        <v>2400</v>
      </c>
      <c r="G32">
        <v>1378.2910156</v>
      </c>
      <c r="H32">
        <v>1365.0457764</v>
      </c>
      <c r="I32">
        <v>1292.1121826000001</v>
      </c>
      <c r="J32">
        <v>1272.3690185999999</v>
      </c>
      <c r="K32">
        <v>80</v>
      </c>
      <c r="L32">
        <v>34.815002440999997</v>
      </c>
      <c r="M32">
        <v>50</v>
      </c>
      <c r="N32">
        <v>14.996511459000001</v>
      </c>
    </row>
    <row r="33" spans="1:14" x14ac:dyDescent="0.25">
      <c r="A33">
        <v>0.65813299999999997</v>
      </c>
      <c r="B33" s="1">
        <f>DATE(2010,5,1) + TIME(15,47,42)</f>
        <v>40299.658125000002</v>
      </c>
      <c r="C33">
        <v>2400</v>
      </c>
      <c r="D33">
        <v>0</v>
      </c>
      <c r="E33">
        <v>0</v>
      </c>
      <c r="F33">
        <v>2400</v>
      </c>
      <c r="G33">
        <v>1378.0711670000001</v>
      </c>
      <c r="H33">
        <v>1365.0233154</v>
      </c>
      <c r="I33">
        <v>1292.1162108999999</v>
      </c>
      <c r="J33">
        <v>1272.3703613</v>
      </c>
      <c r="K33">
        <v>80</v>
      </c>
      <c r="L33">
        <v>35.798618316999999</v>
      </c>
      <c r="M33">
        <v>50</v>
      </c>
      <c r="N33">
        <v>14.996528625</v>
      </c>
    </row>
    <row r="34" spans="1:14" x14ac:dyDescent="0.25">
      <c r="A34">
        <v>0.69464599999999999</v>
      </c>
      <c r="B34" s="1">
        <f>DATE(2010,5,1) + TIME(16,40,17)</f>
        <v>40299.694641203707</v>
      </c>
      <c r="C34">
        <v>2400</v>
      </c>
      <c r="D34">
        <v>0</v>
      </c>
      <c r="E34">
        <v>0</v>
      </c>
      <c r="F34">
        <v>2400</v>
      </c>
      <c r="G34">
        <v>1377.8651123</v>
      </c>
      <c r="H34">
        <v>1365.0065918</v>
      </c>
      <c r="I34">
        <v>1292.1201172000001</v>
      </c>
      <c r="J34">
        <v>1272.371582</v>
      </c>
      <c r="K34">
        <v>80</v>
      </c>
      <c r="L34">
        <v>36.781837463000002</v>
      </c>
      <c r="M34">
        <v>50</v>
      </c>
      <c r="N34">
        <v>14.996545791999999</v>
      </c>
    </row>
    <row r="35" spans="1:14" x14ac:dyDescent="0.25">
      <c r="A35">
        <v>0.73178200000000004</v>
      </c>
      <c r="B35" s="1">
        <f>DATE(2010,5,1) + TIME(17,33,45)</f>
        <v>40299.731770833336</v>
      </c>
      <c r="C35">
        <v>2400</v>
      </c>
      <c r="D35">
        <v>0</v>
      </c>
      <c r="E35">
        <v>0</v>
      </c>
      <c r="F35">
        <v>2400</v>
      </c>
      <c r="G35">
        <v>1377.6721190999999</v>
      </c>
      <c r="H35">
        <v>1364.9956055</v>
      </c>
      <c r="I35">
        <v>1292.1241454999999</v>
      </c>
      <c r="J35">
        <v>1272.3726807</v>
      </c>
      <c r="K35">
        <v>80</v>
      </c>
      <c r="L35">
        <v>37.764640808000003</v>
      </c>
      <c r="M35">
        <v>50</v>
      </c>
      <c r="N35">
        <v>14.996562003999999</v>
      </c>
    </row>
    <row r="36" spans="1:14" x14ac:dyDescent="0.25">
      <c r="A36">
        <v>0.76956800000000003</v>
      </c>
      <c r="B36" s="1">
        <f>DATE(2010,5,1) + TIME(18,28,10)</f>
        <v>40299.769560185188</v>
      </c>
      <c r="C36">
        <v>2400</v>
      </c>
      <c r="D36">
        <v>0</v>
      </c>
      <c r="E36">
        <v>0</v>
      </c>
      <c r="F36">
        <v>2400</v>
      </c>
      <c r="G36">
        <v>1377.4916992000001</v>
      </c>
      <c r="H36">
        <v>1364.9901123</v>
      </c>
      <c r="I36">
        <v>1292.1280518000001</v>
      </c>
      <c r="J36">
        <v>1272.3737793</v>
      </c>
      <c r="K36">
        <v>80</v>
      </c>
      <c r="L36">
        <v>38.747001648000001</v>
      </c>
      <c r="M36">
        <v>50</v>
      </c>
      <c r="N36">
        <v>14.99657917</v>
      </c>
    </row>
    <row r="37" spans="1:14" x14ac:dyDescent="0.25">
      <c r="A37">
        <v>0.808033</v>
      </c>
      <c r="B37" s="1">
        <f>DATE(2010,5,1) + TIME(19,23,34)</f>
        <v>40299.808032407411</v>
      </c>
      <c r="C37">
        <v>2400</v>
      </c>
      <c r="D37">
        <v>0</v>
      </c>
      <c r="E37">
        <v>0</v>
      </c>
      <c r="F37">
        <v>2400</v>
      </c>
      <c r="G37">
        <v>1377.3232422000001</v>
      </c>
      <c r="H37">
        <v>1364.9897461</v>
      </c>
      <c r="I37">
        <v>1292.1320800999999</v>
      </c>
      <c r="J37">
        <v>1272.3748779</v>
      </c>
      <c r="K37">
        <v>80</v>
      </c>
      <c r="L37">
        <v>39.728893280000001</v>
      </c>
      <c r="M37">
        <v>50</v>
      </c>
      <c r="N37">
        <v>14.996596336</v>
      </c>
    </row>
    <row r="38" spans="1:14" x14ac:dyDescent="0.25">
      <c r="A38">
        <v>0.84720700000000004</v>
      </c>
      <c r="B38" s="1">
        <f>DATE(2010,5,1) + TIME(20,19,58)</f>
        <v>40299.847199074073</v>
      </c>
      <c r="C38">
        <v>2400</v>
      </c>
      <c r="D38">
        <v>0</v>
      </c>
      <c r="E38">
        <v>0</v>
      </c>
      <c r="F38">
        <v>2400</v>
      </c>
      <c r="G38">
        <v>1377.1661377</v>
      </c>
      <c r="H38">
        <v>1364.9942627</v>
      </c>
      <c r="I38">
        <v>1292.1362305</v>
      </c>
      <c r="J38">
        <v>1272.3758545000001</v>
      </c>
      <c r="K38">
        <v>80</v>
      </c>
      <c r="L38">
        <v>40.710453033</v>
      </c>
      <c r="M38">
        <v>50</v>
      </c>
      <c r="N38">
        <v>14.996613503000001</v>
      </c>
    </row>
    <row r="39" spans="1:14" x14ac:dyDescent="0.25">
      <c r="A39">
        <v>0.88711700000000004</v>
      </c>
      <c r="B39" s="1">
        <f>DATE(2010,5,1) + TIME(21,17,26)</f>
        <v>40299.887106481481</v>
      </c>
      <c r="C39">
        <v>2400</v>
      </c>
      <c r="D39">
        <v>0</v>
      </c>
      <c r="E39">
        <v>0</v>
      </c>
      <c r="F39">
        <v>2400</v>
      </c>
      <c r="G39">
        <v>1377.0201416</v>
      </c>
      <c r="H39">
        <v>1365.0035399999999</v>
      </c>
      <c r="I39">
        <v>1292.1402588000001</v>
      </c>
      <c r="J39">
        <v>1272.3768310999999</v>
      </c>
      <c r="K39">
        <v>80</v>
      </c>
      <c r="L39">
        <v>41.691394805999998</v>
      </c>
      <c r="M39">
        <v>50</v>
      </c>
      <c r="N39">
        <v>14.996630669</v>
      </c>
    </row>
    <row r="40" spans="1:14" x14ac:dyDescent="0.25">
      <c r="A40">
        <v>0.92780200000000002</v>
      </c>
      <c r="B40" s="1">
        <f>DATE(2010,5,1) + TIME(22,16,2)</f>
        <v>40299.927800925929</v>
      </c>
      <c r="C40">
        <v>2400</v>
      </c>
      <c r="D40">
        <v>0</v>
      </c>
      <c r="E40">
        <v>0</v>
      </c>
      <c r="F40">
        <v>2400</v>
      </c>
      <c r="G40">
        <v>1376.8845214999999</v>
      </c>
      <c r="H40">
        <v>1365.0173339999999</v>
      </c>
      <c r="I40">
        <v>1292.1444091999999</v>
      </c>
      <c r="J40">
        <v>1272.3776855000001</v>
      </c>
      <c r="K40">
        <v>80</v>
      </c>
      <c r="L40">
        <v>42.671718597000002</v>
      </c>
      <c r="M40">
        <v>50</v>
      </c>
      <c r="N40">
        <v>14.996647834999999</v>
      </c>
    </row>
    <row r="41" spans="1:14" x14ac:dyDescent="0.25">
      <c r="A41">
        <v>0.96930400000000005</v>
      </c>
      <c r="B41" s="1">
        <f>DATE(2010,5,1) + TIME(23,15,47)</f>
        <v>40299.969293981485</v>
      </c>
      <c r="C41">
        <v>2400</v>
      </c>
      <c r="D41">
        <v>0</v>
      </c>
      <c r="E41">
        <v>0</v>
      </c>
      <c r="F41">
        <v>2400</v>
      </c>
      <c r="G41">
        <v>1376.7587891000001</v>
      </c>
      <c r="H41">
        <v>1365.0354004000001</v>
      </c>
      <c r="I41">
        <v>1292.1485596</v>
      </c>
      <c r="J41">
        <v>1272.3785399999999</v>
      </c>
      <c r="K41">
        <v>80</v>
      </c>
      <c r="L41">
        <v>43.651447296000001</v>
      </c>
      <c r="M41">
        <v>50</v>
      </c>
      <c r="N41">
        <v>14.996665954999999</v>
      </c>
    </row>
    <row r="42" spans="1:14" x14ac:dyDescent="0.25">
      <c r="A42">
        <v>1.011665</v>
      </c>
      <c r="B42" s="1">
        <f>DATE(2010,5,2) + TIME(0,16,47)</f>
        <v>40300.011655092596</v>
      </c>
      <c r="C42">
        <v>2400</v>
      </c>
      <c r="D42">
        <v>0</v>
      </c>
      <c r="E42">
        <v>0</v>
      </c>
      <c r="F42">
        <v>2400</v>
      </c>
      <c r="G42">
        <v>1376.6427002</v>
      </c>
      <c r="H42">
        <v>1365.0574951000001</v>
      </c>
      <c r="I42">
        <v>1292.152832</v>
      </c>
      <c r="J42">
        <v>1272.3793945</v>
      </c>
      <c r="K42">
        <v>80</v>
      </c>
      <c r="L42">
        <v>44.630550384999999</v>
      </c>
      <c r="M42">
        <v>50</v>
      </c>
      <c r="N42">
        <v>14.996683121</v>
      </c>
    </row>
    <row r="43" spans="1:14" x14ac:dyDescent="0.25">
      <c r="A43">
        <v>1.0549299999999999</v>
      </c>
      <c r="B43" s="1">
        <f>DATE(2010,5,2) + TIME(1,19,5)</f>
        <v>40300.054918981485</v>
      </c>
      <c r="C43">
        <v>2400</v>
      </c>
      <c r="D43">
        <v>0</v>
      </c>
      <c r="E43">
        <v>0</v>
      </c>
      <c r="F43">
        <v>2400</v>
      </c>
      <c r="G43">
        <v>1376.5356445</v>
      </c>
      <c r="H43">
        <v>1365.083374</v>
      </c>
      <c r="I43">
        <v>1292.1569824000001</v>
      </c>
      <c r="J43">
        <v>1272.3801269999999</v>
      </c>
      <c r="K43">
        <v>80</v>
      </c>
      <c r="L43">
        <v>45.608985900999997</v>
      </c>
      <c r="M43">
        <v>50</v>
      </c>
      <c r="N43">
        <v>14.996700286999999</v>
      </c>
    </row>
    <row r="44" spans="1:14" x14ac:dyDescent="0.25">
      <c r="A44">
        <v>1.099148</v>
      </c>
      <c r="B44" s="1">
        <f>DATE(2010,5,2) + TIME(2,22,46)</f>
        <v>40300.099143518521</v>
      </c>
      <c r="C44">
        <v>2400</v>
      </c>
      <c r="D44">
        <v>0</v>
      </c>
      <c r="E44">
        <v>0</v>
      </c>
      <c r="F44">
        <v>2400</v>
      </c>
      <c r="G44">
        <v>1376.4372559000001</v>
      </c>
      <c r="H44">
        <v>1365.1130370999999</v>
      </c>
      <c r="I44">
        <v>1292.1612548999999</v>
      </c>
      <c r="J44">
        <v>1272.3809814000001</v>
      </c>
      <c r="K44">
        <v>80</v>
      </c>
      <c r="L44">
        <v>46.586711884000003</v>
      </c>
      <c r="M44">
        <v>50</v>
      </c>
      <c r="N44">
        <v>14.996717453</v>
      </c>
    </row>
    <row r="45" spans="1:14" x14ac:dyDescent="0.25">
      <c r="A45">
        <v>1.144374</v>
      </c>
      <c r="B45" s="1">
        <f>DATE(2010,5,2) + TIME(3,27,53)</f>
        <v>40300.144363425927</v>
      </c>
      <c r="C45">
        <v>2400</v>
      </c>
      <c r="D45">
        <v>0</v>
      </c>
      <c r="E45">
        <v>0</v>
      </c>
      <c r="F45">
        <v>2400</v>
      </c>
      <c r="G45">
        <v>1376.347168</v>
      </c>
      <c r="H45">
        <v>1365.1459961</v>
      </c>
      <c r="I45">
        <v>1292.1656493999999</v>
      </c>
      <c r="J45">
        <v>1272.3815918</v>
      </c>
      <c r="K45">
        <v>80</v>
      </c>
      <c r="L45">
        <v>47.563682556000003</v>
      </c>
      <c r="M45">
        <v>50</v>
      </c>
      <c r="N45">
        <v>14.996734619</v>
      </c>
    </row>
    <row r="46" spans="1:14" x14ac:dyDescent="0.25">
      <c r="A46">
        <v>1.1906650000000001</v>
      </c>
      <c r="B46" s="1">
        <f>DATE(2010,5,2) + TIME(4,34,33)</f>
        <v>40300.190659722219</v>
      </c>
      <c r="C46">
        <v>2400</v>
      </c>
      <c r="D46">
        <v>0</v>
      </c>
      <c r="E46">
        <v>0</v>
      </c>
      <c r="F46">
        <v>2400</v>
      </c>
      <c r="G46">
        <v>1376.2650146000001</v>
      </c>
      <c r="H46">
        <v>1365.1823730000001</v>
      </c>
      <c r="I46">
        <v>1292.1700439000001</v>
      </c>
      <c r="J46">
        <v>1272.3823242000001</v>
      </c>
      <c r="K46">
        <v>80</v>
      </c>
      <c r="L46">
        <v>48.539848327999998</v>
      </c>
      <c r="M46">
        <v>50</v>
      </c>
      <c r="N46">
        <v>14.996752739</v>
      </c>
    </row>
    <row r="47" spans="1:14" x14ac:dyDescent="0.25">
      <c r="A47">
        <v>1.2380869999999999</v>
      </c>
      <c r="B47" s="1">
        <f>DATE(2010,5,2) + TIME(5,42,50)</f>
        <v>40300.238078703704</v>
      </c>
      <c r="C47">
        <v>2400</v>
      </c>
      <c r="D47">
        <v>0</v>
      </c>
      <c r="E47">
        <v>0</v>
      </c>
      <c r="F47">
        <v>2400</v>
      </c>
      <c r="G47">
        <v>1376.1904297000001</v>
      </c>
      <c r="H47">
        <v>1365.2218018000001</v>
      </c>
      <c r="I47">
        <v>1292.1744385</v>
      </c>
      <c r="J47">
        <v>1272.3830565999999</v>
      </c>
      <c r="K47">
        <v>80</v>
      </c>
      <c r="L47">
        <v>49.515155792000002</v>
      </c>
      <c r="M47">
        <v>50</v>
      </c>
      <c r="N47">
        <v>14.996769905000001</v>
      </c>
    </row>
    <row r="48" spans="1:14" x14ac:dyDescent="0.25">
      <c r="A48">
        <v>1.28671</v>
      </c>
      <c r="B48" s="1">
        <f>DATE(2010,5,2) + TIME(6,52,51)</f>
        <v>40300.28670138889</v>
      </c>
      <c r="C48">
        <v>2400</v>
      </c>
      <c r="D48">
        <v>0</v>
      </c>
      <c r="E48">
        <v>0</v>
      </c>
      <c r="F48">
        <v>2400</v>
      </c>
      <c r="G48">
        <v>1376.1230469</v>
      </c>
      <c r="H48">
        <v>1365.2641602000001</v>
      </c>
      <c r="I48">
        <v>1292.1789550999999</v>
      </c>
      <c r="J48">
        <v>1272.3836670000001</v>
      </c>
      <c r="K48">
        <v>80</v>
      </c>
      <c r="L48">
        <v>50.489315032999997</v>
      </c>
      <c r="M48">
        <v>50</v>
      </c>
      <c r="N48">
        <v>14.996788025000001</v>
      </c>
    </row>
    <row r="49" spans="1:14" x14ac:dyDescent="0.25">
      <c r="A49">
        <v>1.336622</v>
      </c>
      <c r="B49" s="1">
        <f>DATE(2010,5,2) + TIME(8,4,44)</f>
        <v>40300.33662037037</v>
      </c>
      <c r="C49">
        <v>2400</v>
      </c>
      <c r="D49">
        <v>0</v>
      </c>
      <c r="E49">
        <v>0</v>
      </c>
      <c r="F49">
        <v>2400</v>
      </c>
      <c r="G49">
        <v>1376.0625</v>
      </c>
      <c r="H49">
        <v>1365.3092041</v>
      </c>
      <c r="I49">
        <v>1292.1834716999999</v>
      </c>
      <c r="J49">
        <v>1272.3842772999999</v>
      </c>
      <c r="K49">
        <v>80</v>
      </c>
      <c r="L49">
        <v>51.462478638</v>
      </c>
      <c r="M49">
        <v>50</v>
      </c>
      <c r="N49">
        <v>14.996805191</v>
      </c>
    </row>
    <row r="50" spans="1:14" x14ac:dyDescent="0.25">
      <c r="A50">
        <v>1.3879109999999999</v>
      </c>
      <c r="B50" s="1">
        <f>DATE(2010,5,2) + TIME(9,18,35)</f>
        <v>40300.38790509259</v>
      </c>
      <c r="C50">
        <v>2400</v>
      </c>
      <c r="D50">
        <v>0</v>
      </c>
      <c r="E50">
        <v>0</v>
      </c>
      <c r="F50">
        <v>2400</v>
      </c>
      <c r="G50">
        <v>1376.0085449000001</v>
      </c>
      <c r="H50">
        <v>1365.3568115</v>
      </c>
      <c r="I50">
        <v>1292.1881103999999</v>
      </c>
      <c r="J50">
        <v>1272.3848877</v>
      </c>
      <c r="K50">
        <v>80</v>
      </c>
      <c r="L50">
        <v>52.434806823999999</v>
      </c>
      <c r="M50">
        <v>50</v>
      </c>
      <c r="N50">
        <v>14.996823311</v>
      </c>
    </row>
    <row r="51" spans="1:14" x14ac:dyDescent="0.25">
      <c r="A51">
        <v>1.4406600000000001</v>
      </c>
      <c r="B51" s="1">
        <f>DATE(2010,5,2) + TIME(10,34,32)</f>
        <v>40300.440648148149</v>
      </c>
      <c r="C51">
        <v>2400</v>
      </c>
      <c r="D51">
        <v>0</v>
      </c>
      <c r="E51">
        <v>0</v>
      </c>
      <c r="F51">
        <v>2400</v>
      </c>
      <c r="G51">
        <v>1375.9606934000001</v>
      </c>
      <c r="H51">
        <v>1365.4068603999999</v>
      </c>
      <c r="I51">
        <v>1292.192749</v>
      </c>
      <c r="J51">
        <v>1272.3854980000001</v>
      </c>
      <c r="K51">
        <v>80</v>
      </c>
      <c r="L51">
        <v>53.406013489000003</v>
      </c>
      <c r="M51">
        <v>50</v>
      </c>
      <c r="N51">
        <v>14.996841431</v>
      </c>
    </row>
    <row r="52" spans="1:14" x14ac:dyDescent="0.25">
      <c r="A52">
        <v>1.494972</v>
      </c>
      <c r="B52" s="1">
        <f>DATE(2010,5,2) + TIME(11,52,45)</f>
        <v>40300.49496527778</v>
      </c>
      <c r="C52">
        <v>2400</v>
      </c>
      <c r="D52">
        <v>0</v>
      </c>
      <c r="E52">
        <v>0</v>
      </c>
      <c r="F52">
        <v>2400</v>
      </c>
      <c r="G52">
        <v>1375.9189452999999</v>
      </c>
      <c r="H52">
        <v>1365.4591064000001</v>
      </c>
      <c r="I52">
        <v>1292.1975098</v>
      </c>
      <c r="J52">
        <v>1272.3861084</v>
      </c>
      <c r="K52">
        <v>80</v>
      </c>
      <c r="L52">
        <v>54.376007080000001</v>
      </c>
      <c r="M52">
        <v>50</v>
      </c>
      <c r="N52">
        <v>14.99685955</v>
      </c>
    </row>
    <row r="53" spans="1:14" x14ac:dyDescent="0.25">
      <c r="A53">
        <v>1.550964</v>
      </c>
      <c r="B53" s="1">
        <f>DATE(2010,5,2) + TIME(13,13,23)</f>
        <v>40300.55096064815</v>
      </c>
      <c r="C53">
        <v>2400</v>
      </c>
      <c r="D53">
        <v>0</v>
      </c>
      <c r="E53">
        <v>0</v>
      </c>
      <c r="F53">
        <v>2400</v>
      </c>
      <c r="G53">
        <v>1375.8826904</v>
      </c>
      <c r="H53">
        <v>1365.5134277</v>
      </c>
      <c r="I53">
        <v>1292.2022704999999</v>
      </c>
      <c r="J53">
        <v>1272.3867187999999</v>
      </c>
      <c r="K53">
        <v>80</v>
      </c>
      <c r="L53">
        <v>55.344696044999999</v>
      </c>
      <c r="M53">
        <v>50</v>
      </c>
      <c r="N53">
        <v>14.99687767</v>
      </c>
    </row>
    <row r="54" spans="1:14" x14ac:dyDescent="0.25">
      <c r="A54">
        <v>1.6087659999999999</v>
      </c>
      <c r="B54" s="1">
        <f>DATE(2010,5,2) + TIME(14,36,37)</f>
        <v>40300.608761574076</v>
      </c>
      <c r="C54">
        <v>2400</v>
      </c>
      <c r="D54">
        <v>0</v>
      </c>
      <c r="E54">
        <v>0</v>
      </c>
      <c r="F54">
        <v>2400</v>
      </c>
      <c r="G54">
        <v>1375.8518065999999</v>
      </c>
      <c r="H54">
        <v>1365.5694579999999</v>
      </c>
      <c r="I54">
        <v>1292.2072754000001</v>
      </c>
      <c r="J54">
        <v>1272.3873291</v>
      </c>
      <c r="K54">
        <v>80</v>
      </c>
      <c r="L54">
        <v>56.311981201000002</v>
      </c>
      <c r="M54">
        <v>50</v>
      </c>
      <c r="N54">
        <v>14.996896744000001</v>
      </c>
    </row>
    <row r="55" spans="1:14" x14ac:dyDescent="0.25">
      <c r="A55">
        <v>1.668523</v>
      </c>
      <c r="B55" s="1">
        <f>DATE(2010,5,2) + TIME(16,2,40)</f>
        <v>40300.66851851852</v>
      </c>
      <c r="C55">
        <v>2400</v>
      </c>
      <c r="D55">
        <v>0</v>
      </c>
      <c r="E55">
        <v>0</v>
      </c>
      <c r="F55">
        <v>2400</v>
      </c>
      <c r="G55">
        <v>1375.8260498</v>
      </c>
      <c r="H55">
        <v>1365.6273193</v>
      </c>
      <c r="I55">
        <v>1292.2121582</v>
      </c>
      <c r="J55">
        <v>1272.3879394999999</v>
      </c>
      <c r="K55">
        <v>80</v>
      </c>
      <c r="L55">
        <v>57.277748107999997</v>
      </c>
      <c r="M55">
        <v>50</v>
      </c>
      <c r="N55">
        <v>14.996914864000001</v>
      </c>
    </row>
    <row r="56" spans="1:14" x14ac:dyDescent="0.25">
      <c r="A56">
        <v>1.730399</v>
      </c>
      <c r="B56" s="1">
        <f>DATE(2010,5,2) + TIME(17,31,46)</f>
        <v>40300.730393518519</v>
      </c>
      <c r="C56">
        <v>2400</v>
      </c>
      <c r="D56">
        <v>0</v>
      </c>
      <c r="E56">
        <v>0</v>
      </c>
      <c r="F56">
        <v>2400</v>
      </c>
      <c r="G56">
        <v>1375.8050536999999</v>
      </c>
      <c r="H56">
        <v>1365.6866454999999</v>
      </c>
      <c r="I56">
        <v>1292.2172852000001</v>
      </c>
      <c r="J56">
        <v>1272.3885498</v>
      </c>
      <c r="K56">
        <v>80</v>
      </c>
      <c r="L56">
        <v>58.241867065000001</v>
      </c>
      <c r="M56">
        <v>50</v>
      </c>
      <c r="N56">
        <v>14.996933937</v>
      </c>
    </row>
    <row r="57" spans="1:14" x14ac:dyDescent="0.25">
      <c r="A57">
        <v>1.7945770000000001</v>
      </c>
      <c r="B57" s="1">
        <f>DATE(2010,5,2) + TIME(19,4,11)</f>
        <v>40300.794571759259</v>
      </c>
      <c r="C57">
        <v>2400</v>
      </c>
      <c r="D57">
        <v>0</v>
      </c>
      <c r="E57">
        <v>0</v>
      </c>
      <c r="F57">
        <v>2400</v>
      </c>
      <c r="G57">
        <v>1375.7885742000001</v>
      </c>
      <c r="H57">
        <v>1365.7471923999999</v>
      </c>
      <c r="I57">
        <v>1292.2224120999999</v>
      </c>
      <c r="J57">
        <v>1272.3891602000001</v>
      </c>
      <c r="K57">
        <v>80</v>
      </c>
      <c r="L57">
        <v>59.204196930000002</v>
      </c>
      <c r="M57">
        <v>50</v>
      </c>
      <c r="N57">
        <v>14.996953011</v>
      </c>
    </row>
    <row r="58" spans="1:14" x14ac:dyDescent="0.25">
      <c r="A58">
        <v>1.861267</v>
      </c>
      <c r="B58" s="1">
        <f>DATE(2010,5,2) + TIME(20,40,13)</f>
        <v>40300.861261574071</v>
      </c>
      <c r="C58">
        <v>2400</v>
      </c>
      <c r="D58">
        <v>0</v>
      </c>
      <c r="E58">
        <v>0</v>
      </c>
      <c r="F58">
        <v>2400</v>
      </c>
      <c r="G58">
        <v>1375.7762451000001</v>
      </c>
      <c r="H58">
        <v>1365.8089600000001</v>
      </c>
      <c r="I58">
        <v>1292.2276611</v>
      </c>
      <c r="J58">
        <v>1272.3897704999999</v>
      </c>
      <c r="K58">
        <v>80</v>
      </c>
      <c r="L58">
        <v>60.164451599000003</v>
      </c>
      <c r="M58">
        <v>50</v>
      </c>
      <c r="N58">
        <v>14.996972083999999</v>
      </c>
    </row>
    <row r="59" spans="1:14" x14ac:dyDescent="0.25">
      <c r="A59">
        <v>1.9307179999999999</v>
      </c>
      <c r="B59" s="1">
        <f>DATE(2010,5,2) + TIME(22,20,14)</f>
        <v>40300.930717592593</v>
      </c>
      <c r="C59">
        <v>2400</v>
      </c>
      <c r="D59">
        <v>0</v>
      </c>
      <c r="E59">
        <v>0</v>
      </c>
      <c r="F59">
        <v>2400</v>
      </c>
      <c r="G59">
        <v>1375.7679443</v>
      </c>
      <c r="H59">
        <v>1365.8714600000001</v>
      </c>
      <c r="I59">
        <v>1292.2330322</v>
      </c>
      <c r="J59">
        <v>1272.3903809000001</v>
      </c>
      <c r="K59">
        <v>80</v>
      </c>
      <c r="L59">
        <v>61.122100830000001</v>
      </c>
      <c r="M59">
        <v>50</v>
      </c>
      <c r="N59">
        <v>14.996992111000001</v>
      </c>
    </row>
    <row r="60" spans="1:14" x14ac:dyDescent="0.25">
      <c r="A60">
        <v>2.0032399999999999</v>
      </c>
      <c r="B60" s="1">
        <f>DATE(2010,5,3) + TIME(0,4,39)</f>
        <v>40301.003229166665</v>
      </c>
      <c r="C60">
        <v>2400</v>
      </c>
      <c r="D60">
        <v>0</v>
      </c>
      <c r="E60">
        <v>0</v>
      </c>
      <c r="F60">
        <v>2400</v>
      </c>
      <c r="G60">
        <v>1375.7631836</v>
      </c>
      <c r="H60">
        <v>1365.9346923999999</v>
      </c>
      <c r="I60">
        <v>1292.2384033000001</v>
      </c>
      <c r="J60">
        <v>1272.3911132999999</v>
      </c>
      <c r="K60">
        <v>80</v>
      </c>
      <c r="L60">
        <v>62.077922821000001</v>
      </c>
      <c r="M60">
        <v>50</v>
      </c>
      <c r="N60">
        <v>14.997012138000001</v>
      </c>
    </row>
    <row r="61" spans="1:14" x14ac:dyDescent="0.25">
      <c r="A61">
        <v>2.0791140000000001</v>
      </c>
      <c r="B61" s="1">
        <f>DATE(2010,5,3) + TIME(1,53,55)</f>
        <v>40301.079108796293</v>
      </c>
      <c r="C61">
        <v>2400</v>
      </c>
      <c r="D61">
        <v>0</v>
      </c>
      <c r="E61">
        <v>0</v>
      </c>
      <c r="F61">
        <v>2400</v>
      </c>
      <c r="G61">
        <v>1375.7618408000001</v>
      </c>
      <c r="H61">
        <v>1365.9984131000001</v>
      </c>
      <c r="I61">
        <v>1292.2440185999999</v>
      </c>
      <c r="J61">
        <v>1272.3917236</v>
      </c>
      <c r="K61">
        <v>80</v>
      </c>
      <c r="L61">
        <v>63.031162262000002</v>
      </c>
      <c r="M61">
        <v>50</v>
      </c>
      <c r="N61">
        <v>14.997032166</v>
      </c>
    </row>
    <row r="62" spans="1:14" x14ac:dyDescent="0.25">
      <c r="A62">
        <v>2.1587100000000001</v>
      </c>
      <c r="B62" s="1">
        <f>DATE(2010,5,3) + TIME(3,48,32)</f>
        <v>40301.158703703702</v>
      </c>
      <c r="C62">
        <v>2400</v>
      </c>
      <c r="D62">
        <v>0</v>
      </c>
      <c r="E62">
        <v>0</v>
      </c>
      <c r="F62">
        <v>2400</v>
      </c>
      <c r="G62">
        <v>1375.7636719</v>
      </c>
      <c r="H62">
        <v>1366.0622559000001</v>
      </c>
      <c r="I62">
        <v>1292.2497559000001</v>
      </c>
      <c r="J62">
        <v>1272.3924560999999</v>
      </c>
      <c r="K62">
        <v>80</v>
      </c>
      <c r="L62">
        <v>63.981533051</v>
      </c>
      <c r="M62">
        <v>50</v>
      </c>
      <c r="N62">
        <v>14.997053146000001</v>
      </c>
    </row>
    <row r="63" spans="1:14" x14ac:dyDescent="0.25">
      <c r="A63">
        <v>2.2424620000000002</v>
      </c>
      <c r="B63" s="1">
        <f>DATE(2010,5,3) + TIME(5,49,8)</f>
        <v>40301.2424537037</v>
      </c>
      <c r="C63">
        <v>2400</v>
      </c>
      <c r="D63">
        <v>0</v>
      </c>
      <c r="E63">
        <v>0</v>
      </c>
      <c r="F63">
        <v>2400</v>
      </c>
      <c r="G63">
        <v>1375.7681885</v>
      </c>
      <c r="H63">
        <v>1366.1260986</v>
      </c>
      <c r="I63">
        <v>1292.2556152</v>
      </c>
      <c r="J63">
        <v>1272.3931885</v>
      </c>
      <c r="K63">
        <v>80</v>
      </c>
      <c r="L63">
        <v>64.928726196</v>
      </c>
      <c r="M63">
        <v>50</v>
      </c>
      <c r="N63">
        <v>14.997074126999999</v>
      </c>
    </row>
    <row r="64" spans="1:14" x14ac:dyDescent="0.25">
      <c r="A64">
        <v>2.3308849999999999</v>
      </c>
      <c r="B64" s="1">
        <f>DATE(2010,5,3) + TIME(7,56,28)</f>
        <v>40301.330879629626</v>
      </c>
      <c r="C64">
        <v>2400</v>
      </c>
      <c r="D64">
        <v>0</v>
      </c>
      <c r="E64">
        <v>0</v>
      </c>
      <c r="F64">
        <v>2400</v>
      </c>
      <c r="G64">
        <v>1375.7750243999999</v>
      </c>
      <c r="H64">
        <v>1366.1895752</v>
      </c>
      <c r="I64">
        <v>1292.2615966999999</v>
      </c>
      <c r="J64">
        <v>1272.394043</v>
      </c>
      <c r="K64">
        <v>80</v>
      </c>
      <c r="L64">
        <v>65.872566223000007</v>
      </c>
      <c r="M64">
        <v>50</v>
      </c>
      <c r="N64">
        <v>14.997095108</v>
      </c>
    </row>
    <row r="65" spans="1:14" x14ac:dyDescent="0.25">
      <c r="A65">
        <v>2.4245679999999998</v>
      </c>
      <c r="B65" s="1">
        <f>DATE(2010,5,3) + TIME(10,11,22)</f>
        <v>40301.424560185187</v>
      </c>
      <c r="C65">
        <v>2400</v>
      </c>
      <c r="D65">
        <v>0</v>
      </c>
      <c r="E65">
        <v>0</v>
      </c>
      <c r="F65">
        <v>2400</v>
      </c>
      <c r="G65">
        <v>1375.7840576000001</v>
      </c>
      <c r="H65">
        <v>1366.2523193</v>
      </c>
      <c r="I65">
        <v>1292.2677002</v>
      </c>
      <c r="J65">
        <v>1272.3948975000001</v>
      </c>
      <c r="K65">
        <v>80</v>
      </c>
      <c r="L65">
        <v>66.812240600999999</v>
      </c>
      <c r="M65">
        <v>50</v>
      </c>
      <c r="N65">
        <v>14.997117042999999</v>
      </c>
    </row>
    <row r="66" spans="1:14" x14ac:dyDescent="0.25">
      <c r="A66">
        <v>2.4724490000000001</v>
      </c>
      <c r="B66" s="1">
        <f>DATE(2010,5,3) + TIME(11,20,19)</f>
        <v>40301.472442129627</v>
      </c>
      <c r="C66">
        <v>2400</v>
      </c>
      <c r="D66">
        <v>0</v>
      </c>
      <c r="E66">
        <v>0</v>
      </c>
      <c r="F66">
        <v>2400</v>
      </c>
      <c r="G66">
        <v>1375.8687743999999</v>
      </c>
      <c r="H66">
        <v>1366.3261719</v>
      </c>
      <c r="I66">
        <v>1292.2729492000001</v>
      </c>
      <c r="J66">
        <v>1272.3957519999999</v>
      </c>
      <c r="K66">
        <v>80</v>
      </c>
      <c r="L66">
        <v>67.278953552000004</v>
      </c>
      <c r="M66">
        <v>50</v>
      </c>
      <c r="N66">
        <v>14.997128486999999</v>
      </c>
    </row>
    <row r="67" spans="1:14" x14ac:dyDescent="0.25">
      <c r="A67">
        <v>2.5203289999999998</v>
      </c>
      <c r="B67" s="1">
        <f>DATE(2010,5,3) + TIME(12,29,16)</f>
        <v>40301.520324074074</v>
      </c>
      <c r="C67">
        <v>2400</v>
      </c>
      <c r="D67">
        <v>0</v>
      </c>
      <c r="E67">
        <v>0</v>
      </c>
      <c r="F67">
        <v>2400</v>
      </c>
      <c r="G67">
        <v>1375.8767089999999</v>
      </c>
      <c r="H67">
        <v>1366.3585204999999</v>
      </c>
      <c r="I67">
        <v>1292.2767334</v>
      </c>
      <c r="J67">
        <v>1272.3962402</v>
      </c>
      <c r="K67">
        <v>80</v>
      </c>
      <c r="L67">
        <v>67.730499268000003</v>
      </c>
      <c r="M67">
        <v>50</v>
      </c>
      <c r="N67">
        <v>14.997139931</v>
      </c>
    </row>
    <row r="68" spans="1:14" x14ac:dyDescent="0.25">
      <c r="A68">
        <v>2.5682100000000001</v>
      </c>
      <c r="B68" s="1">
        <f>DATE(2010,5,3) + TIME(13,38,13)</f>
        <v>40301.568206018521</v>
      </c>
      <c r="C68">
        <v>2400</v>
      </c>
      <c r="D68">
        <v>0</v>
      </c>
      <c r="E68">
        <v>0</v>
      </c>
      <c r="F68">
        <v>2400</v>
      </c>
      <c r="G68">
        <v>1375.8848877</v>
      </c>
      <c r="H68">
        <v>1366.3887939000001</v>
      </c>
      <c r="I68">
        <v>1292.2800293</v>
      </c>
      <c r="J68">
        <v>1272.3967285000001</v>
      </c>
      <c r="K68">
        <v>80</v>
      </c>
      <c r="L68">
        <v>68.167320251000007</v>
      </c>
      <c r="M68">
        <v>50</v>
      </c>
      <c r="N68">
        <v>14.997150421000001</v>
      </c>
    </row>
    <row r="69" spans="1:14" x14ac:dyDescent="0.25">
      <c r="A69">
        <v>2.6160909999999999</v>
      </c>
      <c r="B69" s="1">
        <f>DATE(2010,5,3) + TIME(14,47,10)</f>
        <v>40301.616087962961</v>
      </c>
      <c r="C69">
        <v>2400</v>
      </c>
      <c r="D69">
        <v>0</v>
      </c>
      <c r="E69">
        <v>0</v>
      </c>
      <c r="F69">
        <v>2400</v>
      </c>
      <c r="G69">
        <v>1375.8929443</v>
      </c>
      <c r="H69">
        <v>1366.4176024999999</v>
      </c>
      <c r="I69">
        <v>1292.2830810999999</v>
      </c>
      <c r="J69">
        <v>1272.3972168</v>
      </c>
      <c r="K69">
        <v>80</v>
      </c>
      <c r="L69">
        <v>68.589805603000002</v>
      </c>
      <c r="M69">
        <v>50</v>
      </c>
      <c r="N69">
        <v>14.997160912</v>
      </c>
    </row>
    <row r="70" spans="1:14" x14ac:dyDescent="0.25">
      <c r="A70">
        <v>2.6639719999999998</v>
      </c>
      <c r="B70" s="1">
        <f>DATE(2010,5,3) + TIME(15,56,7)</f>
        <v>40301.663969907408</v>
      </c>
      <c r="C70">
        <v>2400</v>
      </c>
      <c r="D70">
        <v>0</v>
      </c>
      <c r="E70">
        <v>0</v>
      </c>
      <c r="F70">
        <v>2400</v>
      </c>
      <c r="G70">
        <v>1375.901001</v>
      </c>
      <c r="H70">
        <v>1366.4450684000001</v>
      </c>
      <c r="I70">
        <v>1292.2861327999999</v>
      </c>
      <c r="J70">
        <v>1272.3977050999999</v>
      </c>
      <c r="K70">
        <v>80</v>
      </c>
      <c r="L70">
        <v>68.998321532999995</v>
      </c>
      <c r="M70">
        <v>50</v>
      </c>
      <c r="N70">
        <v>14.997171401999999</v>
      </c>
    </row>
    <row r="71" spans="1:14" x14ac:dyDescent="0.25">
      <c r="A71">
        <v>2.7118530000000001</v>
      </c>
      <c r="B71" s="1">
        <f>DATE(2010,5,3) + TIME(17,5,4)</f>
        <v>40301.711851851855</v>
      </c>
      <c r="C71">
        <v>2400</v>
      </c>
      <c r="D71">
        <v>0</v>
      </c>
      <c r="E71">
        <v>0</v>
      </c>
      <c r="F71">
        <v>2400</v>
      </c>
      <c r="G71">
        <v>1375.9088135</v>
      </c>
      <c r="H71">
        <v>1366.4711914</v>
      </c>
      <c r="I71">
        <v>1292.2890625</v>
      </c>
      <c r="J71">
        <v>1272.3981934000001</v>
      </c>
      <c r="K71">
        <v>80</v>
      </c>
      <c r="L71">
        <v>69.393257141000007</v>
      </c>
      <c r="M71">
        <v>50</v>
      </c>
      <c r="N71">
        <v>14.997181892</v>
      </c>
    </row>
    <row r="72" spans="1:14" x14ac:dyDescent="0.25">
      <c r="A72">
        <v>2.7597339999999999</v>
      </c>
      <c r="B72" s="1">
        <f>DATE(2010,5,3) + TIME(18,14,0)</f>
        <v>40301.759722222225</v>
      </c>
      <c r="C72">
        <v>2400</v>
      </c>
      <c r="D72">
        <v>0</v>
      </c>
      <c r="E72">
        <v>0</v>
      </c>
      <c r="F72">
        <v>2400</v>
      </c>
      <c r="G72">
        <v>1375.9165039</v>
      </c>
      <c r="H72">
        <v>1366.4960937999999</v>
      </c>
      <c r="I72">
        <v>1292.2919922000001</v>
      </c>
      <c r="J72">
        <v>1272.3985596</v>
      </c>
      <c r="K72">
        <v>80</v>
      </c>
      <c r="L72">
        <v>69.774971007999994</v>
      </c>
      <c r="M72">
        <v>50</v>
      </c>
      <c r="N72">
        <v>14.997191429000001</v>
      </c>
    </row>
    <row r="73" spans="1:14" x14ac:dyDescent="0.25">
      <c r="A73">
        <v>2.8076150000000002</v>
      </c>
      <c r="B73" s="1">
        <f>DATE(2010,5,3) + TIME(19,22,57)</f>
        <v>40301.807604166665</v>
      </c>
      <c r="C73">
        <v>2400</v>
      </c>
      <c r="D73">
        <v>0</v>
      </c>
      <c r="E73">
        <v>0</v>
      </c>
      <c r="F73">
        <v>2400</v>
      </c>
      <c r="G73">
        <v>1375.9238281</v>
      </c>
      <c r="H73">
        <v>1366.5196533000001</v>
      </c>
      <c r="I73">
        <v>1292.2949219</v>
      </c>
      <c r="J73">
        <v>1272.3990478999999</v>
      </c>
      <c r="K73">
        <v>80</v>
      </c>
      <c r="L73">
        <v>70.143730164000004</v>
      </c>
      <c r="M73">
        <v>50</v>
      </c>
      <c r="N73">
        <v>14.99720192</v>
      </c>
    </row>
    <row r="74" spans="1:14" x14ac:dyDescent="0.25">
      <c r="A74">
        <v>2.8554949999999999</v>
      </c>
      <c r="B74" s="1">
        <f>DATE(2010,5,3) + TIME(20,31,54)</f>
        <v>40301.855486111112</v>
      </c>
      <c r="C74">
        <v>2400</v>
      </c>
      <c r="D74">
        <v>0</v>
      </c>
      <c r="E74">
        <v>0</v>
      </c>
      <c r="F74">
        <v>2400</v>
      </c>
      <c r="G74">
        <v>1375.9309082</v>
      </c>
      <c r="H74">
        <v>1366.5419922000001</v>
      </c>
      <c r="I74">
        <v>1292.2977295000001</v>
      </c>
      <c r="J74">
        <v>1272.3995361</v>
      </c>
      <c r="K74">
        <v>80</v>
      </c>
      <c r="L74">
        <v>70.499832153</v>
      </c>
      <c r="M74">
        <v>50</v>
      </c>
      <c r="N74">
        <v>14.997211456</v>
      </c>
    </row>
    <row r="75" spans="1:14" x14ac:dyDescent="0.25">
      <c r="A75">
        <v>2.9033760000000002</v>
      </c>
      <c r="B75" s="1">
        <f>DATE(2010,5,3) + TIME(21,40,51)</f>
        <v>40301.903368055559</v>
      </c>
      <c r="C75">
        <v>2400</v>
      </c>
      <c r="D75">
        <v>0</v>
      </c>
      <c r="E75">
        <v>0</v>
      </c>
      <c r="F75">
        <v>2400</v>
      </c>
      <c r="G75">
        <v>1375.9376221</v>
      </c>
      <c r="H75">
        <v>1366.5631103999999</v>
      </c>
      <c r="I75">
        <v>1292.3005370999999</v>
      </c>
      <c r="J75">
        <v>1272.4000243999999</v>
      </c>
      <c r="K75">
        <v>80</v>
      </c>
      <c r="L75">
        <v>70.843795775999993</v>
      </c>
      <c r="M75">
        <v>50</v>
      </c>
      <c r="N75">
        <v>14.997220992999999</v>
      </c>
    </row>
    <row r="76" spans="1:14" x14ac:dyDescent="0.25">
      <c r="A76">
        <v>2.951257</v>
      </c>
      <c r="B76" s="1">
        <f>DATE(2010,5,3) + TIME(22,49,48)</f>
        <v>40301.951249999998</v>
      </c>
      <c r="C76">
        <v>2400</v>
      </c>
      <c r="D76">
        <v>0</v>
      </c>
      <c r="E76">
        <v>0</v>
      </c>
      <c r="F76">
        <v>2400</v>
      </c>
      <c r="G76">
        <v>1375.9439697</v>
      </c>
      <c r="H76">
        <v>1366.5828856999999</v>
      </c>
      <c r="I76">
        <v>1292.3032227000001</v>
      </c>
      <c r="J76">
        <v>1272.4005127</v>
      </c>
      <c r="K76">
        <v>80</v>
      </c>
      <c r="L76">
        <v>71.175956725999995</v>
      </c>
      <c r="M76">
        <v>50</v>
      </c>
      <c r="N76">
        <v>14.99723053</v>
      </c>
    </row>
    <row r="77" spans="1:14" x14ac:dyDescent="0.25">
      <c r="A77">
        <v>2.9991379999999999</v>
      </c>
      <c r="B77" s="1">
        <f>DATE(2010,5,3) + TIME(23,58,45)</f>
        <v>40301.999131944445</v>
      </c>
      <c r="C77">
        <v>2400</v>
      </c>
      <c r="D77">
        <v>0</v>
      </c>
      <c r="E77">
        <v>0</v>
      </c>
      <c r="F77">
        <v>2400</v>
      </c>
      <c r="G77">
        <v>1375.9499512</v>
      </c>
      <c r="H77">
        <v>1366.6014404</v>
      </c>
      <c r="I77">
        <v>1292.3059082</v>
      </c>
      <c r="J77">
        <v>1272.4008789</v>
      </c>
      <c r="K77">
        <v>80</v>
      </c>
      <c r="L77">
        <v>71.496665954999997</v>
      </c>
      <c r="M77">
        <v>50</v>
      </c>
      <c r="N77">
        <v>14.997240067</v>
      </c>
    </row>
    <row r="78" spans="1:14" x14ac:dyDescent="0.25">
      <c r="A78">
        <v>3.0470190000000001</v>
      </c>
      <c r="B78" s="1">
        <f>DATE(2010,5,4) + TIME(1,7,42)</f>
        <v>40302.047013888892</v>
      </c>
      <c r="C78">
        <v>2400</v>
      </c>
      <c r="D78">
        <v>0</v>
      </c>
      <c r="E78">
        <v>0</v>
      </c>
      <c r="F78">
        <v>2400</v>
      </c>
      <c r="G78">
        <v>1375.9554443</v>
      </c>
      <c r="H78">
        <v>1366.6188964999999</v>
      </c>
      <c r="I78">
        <v>1292.3085937999999</v>
      </c>
      <c r="J78">
        <v>1272.4013672000001</v>
      </c>
      <c r="K78">
        <v>80</v>
      </c>
      <c r="L78">
        <v>71.806266785000005</v>
      </c>
      <c r="M78">
        <v>50</v>
      </c>
      <c r="N78">
        <v>14.997249603</v>
      </c>
    </row>
    <row r="79" spans="1:14" x14ac:dyDescent="0.25">
      <c r="A79">
        <v>3.0949</v>
      </c>
      <c r="B79" s="1">
        <f>DATE(2010,5,4) + TIME(2,16,39)</f>
        <v>40302.094895833332</v>
      </c>
      <c r="C79">
        <v>2400</v>
      </c>
      <c r="D79">
        <v>0</v>
      </c>
      <c r="E79">
        <v>0</v>
      </c>
      <c r="F79">
        <v>2400</v>
      </c>
      <c r="G79">
        <v>1375.9605713000001</v>
      </c>
      <c r="H79">
        <v>1366.6351318</v>
      </c>
      <c r="I79">
        <v>1292.3111572</v>
      </c>
      <c r="J79">
        <v>1272.4018555</v>
      </c>
      <c r="K79">
        <v>80</v>
      </c>
      <c r="L79">
        <v>72.105079650999997</v>
      </c>
      <c r="M79">
        <v>50</v>
      </c>
      <c r="N79">
        <v>14.997258186</v>
      </c>
    </row>
    <row r="80" spans="1:14" x14ac:dyDescent="0.25">
      <c r="A80">
        <v>3.1427800000000001</v>
      </c>
      <c r="B80" s="1">
        <f>DATE(2010,5,4) + TIME(3,25,36)</f>
        <v>40302.142777777779</v>
      </c>
      <c r="C80">
        <v>2400</v>
      </c>
      <c r="D80">
        <v>0</v>
      </c>
      <c r="E80">
        <v>0</v>
      </c>
      <c r="F80">
        <v>2400</v>
      </c>
      <c r="G80">
        <v>1375.9652100000001</v>
      </c>
      <c r="H80">
        <v>1366.6501464999999</v>
      </c>
      <c r="I80">
        <v>1292.3137207</v>
      </c>
      <c r="J80">
        <v>1272.4023437999999</v>
      </c>
      <c r="K80">
        <v>80</v>
      </c>
      <c r="L80">
        <v>72.393432617000002</v>
      </c>
      <c r="M80">
        <v>50</v>
      </c>
      <c r="N80">
        <v>14.997266768999999</v>
      </c>
    </row>
    <row r="81" spans="1:14" x14ac:dyDescent="0.25">
      <c r="A81">
        <v>3.2385419999999998</v>
      </c>
      <c r="B81" s="1">
        <f>DATE(2010,5,4) + TIME(5,43,30)</f>
        <v>40302.238541666666</v>
      </c>
      <c r="C81">
        <v>2400</v>
      </c>
      <c r="D81">
        <v>0</v>
      </c>
      <c r="E81">
        <v>0</v>
      </c>
      <c r="F81">
        <v>2400</v>
      </c>
      <c r="G81">
        <v>1375.9307861</v>
      </c>
      <c r="H81">
        <v>1366.6585693</v>
      </c>
      <c r="I81">
        <v>1292.3167725000001</v>
      </c>
      <c r="J81">
        <v>1272.4029541</v>
      </c>
      <c r="K81">
        <v>80</v>
      </c>
      <c r="L81">
        <v>72.929443359000004</v>
      </c>
      <c r="M81">
        <v>50</v>
      </c>
      <c r="N81">
        <v>14.997283936000001</v>
      </c>
    </row>
    <row r="82" spans="1:14" x14ac:dyDescent="0.25">
      <c r="A82">
        <v>3.3345660000000001</v>
      </c>
      <c r="B82" s="1">
        <f>DATE(2010,5,4) + TIME(8,1,46)</f>
        <v>40302.334560185183</v>
      </c>
      <c r="C82">
        <v>2400</v>
      </c>
      <c r="D82">
        <v>0</v>
      </c>
      <c r="E82">
        <v>0</v>
      </c>
      <c r="F82">
        <v>2400</v>
      </c>
      <c r="G82">
        <v>1375.9390868999999</v>
      </c>
      <c r="H82">
        <v>1366.6813964999999</v>
      </c>
      <c r="I82">
        <v>1292.3212891000001</v>
      </c>
      <c r="J82">
        <v>1272.4038086</v>
      </c>
      <c r="K82">
        <v>80</v>
      </c>
      <c r="L82">
        <v>73.430107117000006</v>
      </c>
      <c r="M82">
        <v>50</v>
      </c>
      <c r="N82">
        <v>14.997301102</v>
      </c>
    </row>
    <row r="83" spans="1:14" x14ac:dyDescent="0.25">
      <c r="A83">
        <v>3.4314629999999999</v>
      </c>
      <c r="B83" s="1">
        <f>DATE(2010,5,4) + TIME(10,21,18)</f>
        <v>40302.431458333333</v>
      </c>
      <c r="C83">
        <v>2400</v>
      </c>
      <c r="D83">
        <v>0</v>
      </c>
      <c r="E83">
        <v>0</v>
      </c>
      <c r="F83">
        <v>2400</v>
      </c>
      <c r="G83">
        <v>1375.9447021000001</v>
      </c>
      <c r="H83">
        <v>1366.7004394999999</v>
      </c>
      <c r="I83">
        <v>1292.3259277</v>
      </c>
      <c r="J83">
        <v>1272.4047852000001</v>
      </c>
      <c r="K83">
        <v>80</v>
      </c>
      <c r="L83">
        <v>73.900115967000005</v>
      </c>
      <c r="M83">
        <v>50</v>
      </c>
      <c r="N83">
        <v>14.997317314</v>
      </c>
    </row>
    <row r="84" spans="1:14" x14ac:dyDescent="0.25">
      <c r="A84">
        <v>3.5293730000000001</v>
      </c>
      <c r="B84" s="1">
        <f>DATE(2010,5,4) + TIME(12,42,17)</f>
        <v>40302.529363425929</v>
      </c>
      <c r="C84">
        <v>2400</v>
      </c>
      <c r="D84">
        <v>0</v>
      </c>
      <c r="E84">
        <v>0</v>
      </c>
      <c r="F84">
        <v>2400</v>
      </c>
      <c r="G84">
        <v>1375.9482422000001</v>
      </c>
      <c r="H84">
        <v>1366.7156981999999</v>
      </c>
      <c r="I84">
        <v>1292.3305664</v>
      </c>
      <c r="J84">
        <v>1272.4057617000001</v>
      </c>
      <c r="K84">
        <v>80</v>
      </c>
      <c r="L84">
        <v>74.341331482000001</v>
      </c>
      <c r="M84">
        <v>50</v>
      </c>
      <c r="N84">
        <v>14.997332573</v>
      </c>
    </row>
    <row r="85" spans="1:14" x14ac:dyDescent="0.25">
      <c r="A85">
        <v>3.6284510000000001</v>
      </c>
      <c r="B85" s="1">
        <f>DATE(2010,5,4) + TIME(15,4,58)</f>
        <v>40302.628449074073</v>
      </c>
      <c r="C85">
        <v>2400</v>
      </c>
      <c r="D85">
        <v>0</v>
      </c>
      <c r="E85">
        <v>0</v>
      </c>
      <c r="F85">
        <v>2400</v>
      </c>
      <c r="G85">
        <v>1375.9495850000001</v>
      </c>
      <c r="H85">
        <v>1366.7272949000001</v>
      </c>
      <c r="I85">
        <v>1292.3349608999999</v>
      </c>
      <c r="J85">
        <v>1272.4067382999999</v>
      </c>
      <c r="K85">
        <v>80</v>
      </c>
      <c r="L85">
        <v>74.755561829000001</v>
      </c>
      <c r="M85">
        <v>50</v>
      </c>
      <c r="N85">
        <v>14.997348785</v>
      </c>
    </row>
    <row r="86" spans="1:14" x14ac:dyDescent="0.25">
      <c r="A86">
        <v>3.7288459999999999</v>
      </c>
      <c r="B86" s="1">
        <f>DATE(2010,5,4) + TIME(17,29,32)</f>
        <v>40302.728842592594</v>
      </c>
      <c r="C86">
        <v>2400</v>
      </c>
      <c r="D86">
        <v>0</v>
      </c>
      <c r="E86">
        <v>0</v>
      </c>
      <c r="F86">
        <v>2400</v>
      </c>
      <c r="G86">
        <v>1375.9488524999999</v>
      </c>
      <c r="H86">
        <v>1366.7353516000001</v>
      </c>
      <c r="I86">
        <v>1292.3393555</v>
      </c>
      <c r="J86">
        <v>1272.4077147999999</v>
      </c>
      <c r="K86">
        <v>80</v>
      </c>
      <c r="L86">
        <v>75.144279479999994</v>
      </c>
      <c r="M86">
        <v>50</v>
      </c>
      <c r="N86">
        <v>14.997364043999999</v>
      </c>
    </row>
    <row r="87" spans="1:14" x14ac:dyDescent="0.25">
      <c r="A87">
        <v>3.8307129999999998</v>
      </c>
      <c r="B87" s="1">
        <f>DATE(2010,5,4) + TIME(19,56,13)</f>
        <v>40302.830706018518</v>
      </c>
      <c r="C87">
        <v>2400</v>
      </c>
      <c r="D87">
        <v>0</v>
      </c>
      <c r="E87">
        <v>0</v>
      </c>
      <c r="F87">
        <v>2400</v>
      </c>
      <c r="G87">
        <v>1375.9460449000001</v>
      </c>
      <c r="H87">
        <v>1366.7398682</v>
      </c>
      <c r="I87">
        <v>1292.3436279</v>
      </c>
      <c r="J87">
        <v>1272.4086914</v>
      </c>
      <c r="K87">
        <v>80</v>
      </c>
      <c r="L87">
        <v>75.508888244999994</v>
      </c>
      <c r="M87">
        <v>50</v>
      </c>
      <c r="N87">
        <v>14.997379303000001</v>
      </c>
    </row>
    <row r="88" spans="1:14" x14ac:dyDescent="0.25">
      <c r="A88">
        <v>3.934212</v>
      </c>
      <c r="B88" s="1">
        <f>DATE(2010,5,4) + TIME(22,25,15)</f>
        <v>40302.934201388889</v>
      </c>
      <c r="C88">
        <v>2400</v>
      </c>
      <c r="D88">
        <v>0</v>
      </c>
      <c r="E88">
        <v>0</v>
      </c>
      <c r="F88">
        <v>2400</v>
      </c>
      <c r="G88">
        <v>1375.940918</v>
      </c>
      <c r="H88">
        <v>1366.7409668</v>
      </c>
      <c r="I88">
        <v>1292.3479004000001</v>
      </c>
      <c r="J88">
        <v>1272.4097899999999</v>
      </c>
      <c r="K88">
        <v>80</v>
      </c>
      <c r="L88">
        <v>75.850898743000002</v>
      </c>
      <c r="M88">
        <v>50</v>
      </c>
      <c r="N88">
        <v>14.997394562</v>
      </c>
    </row>
    <row r="89" spans="1:14" x14ac:dyDescent="0.25">
      <c r="A89">
        <v>4.0395110000000001</v>
      </c>
      <c r="B89" s="1">
        <f>DATE(2010,5,5) + TIME(0,56,53)</f>
        <v>40303.039502314816</v>
      </c>
      <c r="C89">
        <v>2400</v>
      </c>
      <c r="D89">
        <v>0</v>
      </c>
      <c r="E89">
        <v>0</v>
      </c>
      <c r="F89">
        <v>2400</v>
      </c>
      <c r="G89">
        <v>1375.9335937999999</v>
      </c>
      <c r="H89">
        <v>1366.7386475000001</v>
      </c>
      <c r="I89">
        <v>1292.3519286999999</v>
      </c>
      <c r="J89">
        <v>1272.4107666</v>
      </c>
      <c r="K89">
        <v>80</v>
      </c>
      <c r="L89">
        <v>76.171577454000001</v>
      </c>
      <c r="M89">
        <v>50</v>
      </c>
      <c r="N89">
        <v>14.997409821</v>
      </c>
    </row>
    <row r="90" spans="1:14" x14ac:dyDescent="0.25">
      <c r="A90">
        <v>4.1467859999999996</v>
      </c>
      <c r="B90" s="1">
        <f>DATE(2010,5,5) + TIME(3,31,22)</f>
        <v>40303.146782407406</v>
      </c>
      <c r="C90">
        <v>2400</v>
      </c>
      <c r="D90">
        <v>0</v>
      </c>
      <c r="E90">
        <v>0</v>
      </c>
      <c r="F90">
        <v>2400</v>
      </c>
      <c r="G90">
        <v>1375.9239502</v>
      </c>
      <c r="H90">
        <v>1366.7331543</v>
      </c>
      <c r="I90">
        <v>1292.355957</v>
      </c>
      <c r="J90">
        <v>1272.4118652</v>
      </c>
      <c r="K90">
        <v>80</v>
      </c>
      <c r="L90">
        <v>76.472076415999993</v>
      </c>
      <c r="M90">
        <v>50</v>
      </c>
      <c r="N90">
        <v>14.997424126</v>
      </c>
    </row>
    <row r="91" spans="1:14" x14ac:dyDescent="0.25">
      <c r="A91">
        <v>4.256227</v>
      </c>
      <c r="B91" s="1">
        <f>DATE(2010,5,5) + TIME(6,8,57)</f>
        <v>40303.256215277775</v>
      </c>
      <c r="C91">
        <v>2400</v>
      </c>
      <c r="D91">
        <v>0</v>
      </c>
      <c r="E91">
        <v>0</v>
      </c>
      <c r="F91">
        <v>2400</v>
      </c>
      <c r="G91">
        <v>1375.9119873</v>
      </c>
      <c r="H91">
        <v>1366.7243652</v>
      </c>
      <c r="I91">
        <v>1292.3599853999999</v>
      </c>
      <c r="J91">
        <v>1272.4128418</v>
      </c>
      <c r="K91">
        <v>80</v>
      </c>
      <c r="L91">
        <v>76.753471375000004</v>
      </c>
      <c r="M91">
        <v>50</v>
      </c>
      <c r="N91">
        <v>14.997438431000001</v>
      </c>
    </row>
    <row r="92" spans="1:14" x14ac:dyDescent="0.25">
      <c r="A92">
        <v>4.3680329999999996</v>
      </c>
      <c r="B92" s="1">
        <f>DATE(2010,5,5) + TIME(8,49,58)</f>
        <v>40303.368032407408</v>
      </c>
      <c r="C92">
        <v>2400</v>
      </c>
      <c r="D92">
        <v>0</v>
      </c>
      <c r="E92">
        <v>0</v>
      </c>
      <c r="F92">
        <v>2400</v>
      </c>
      <c r="G92">
        <v>1375.8978271000001</v>
      </c>
      <c r="H92">
        <v>1366.7124022999999</v>
      </c>
      <c r="I92">
        <v>1292.3638916</v>
      </c>
      <c r="J92">
        <v>1272.4139404</v>
      </c>
      <c r="K92">
        <v>80</v>
      </c>
      <c r="L92">
        <v>77.016777039000004</v>
      </c>
      <c r="M92">
        <v>50</v>
      </c>
      <c r="N92">
        <v>14.99745369</v>
      </c>
    </row>
    <row r="93" spans="1:14" x14ac:dyDescent="0.25">
      <c r="A93">
        <v>4.4824390000000003</v>
      </c>
      <c r="B93" s="1">
        <f>DATE(2010,5,5) + TIME(11,34,42)</f>
        <v>40303.482430555552</v>
      </c>
      <c r="C93">
        <v>2400</v>
      </c>
      <c r="D93">
        <v>0</v>
      </c>
      <c r="E93">
        <v>0</v>
      </c>
      <c r="F93">
        <v>2400</v>
      </c>
      <c r="G93">
        <v>1375.8812256000001</v>
      </c>
      <c r="H93">
        <v>1366.6972656</v>
      </c>
      <c r="I93">
        <v>1292.3676757999999</v>
      </c>
      <c r="J93">
        <v>1272.4150391000001</v>
      </c>
      <c r="K93">
        <v>80</v>
      </c>
      <c r="L93">
        <v>77.262962341000005</v>
      </c>
      <c r="M93">
        <v>50</v>
      </c>
      <c r="N93">
        <v>14.997467994999999</v>
      </c>
    </row>
    <row r="94" spans="1:14" x14ac:dyDescent="0.25">
      <c r="A94">
        <v>4.5996920000000001</v>
      </c>
      <c r="B94" s="1">
        <f>DATE(2010,5,5) + TIME(14,23,33)</f>
        <v>40303.599687499998</v>
      </c>
      <c r="C94">
        <v>2400</v>
      </c>
      <c r="D94">
        <v>0</v>
      </c>
      <c r="E94">
        <v>0</v>
      </c>
      <c r="F94">
        <v>2400</v>
      </c>
      <c r="G94">
        <v>1375.8621826000001</v>
      </c>
      <c r="H94">
        <v>1366.6789550999999</v>
      </c>
      <c r="I94">
        <v>1292.3714600000001</v>
      </c>
      <c r="J94">
        <v>1272.4162598</v>
      </c>
      <c r="K94">
        <v>80</v>
      </c>
      <c r="L94">
        <v>77.492927550999994</v>
      </c>
      <c r="M94">
        <v>50</v>
      </c>
      <c r="N94">
        <v>14.9974823</v>
      </c>
    </row>
    <row r="95" spans="1:14" x14ac:dyDescent="0.25">
      <c r="A95">
        <v>4.7200150000000001</v>
      </c>
      <c r="B95" s="1">
        <f>DATE(2010,5,5) + TIME(17,16,49)</f>
        <v>40303.720011574071</v>
      </c>
      <c r="C95">
        <v>2400</v>
      </c>
      <c r="D95">
        <v>0</v>
      </c>
      <c r="E95">
        <v>0</v>
      </c>
      <c r="F95">
        <v>2400</v>
      </c>
      <c r="G95">
        <v>1375.8408202999999</v>
      </c>
      <c r="H95">
        <v>1366.6575928</v>
      </c>
      <c r="I95">
        <v>1292.3752440999999</v>
      </c>
      <c r="J95">
        <v>1272.4173584</v>
      </c>
      <c r="K95">
        <v>80</v>
      </c>
      <c r="L95">
        <v>77.707443237000007</v>
      </c>
      <c r="M95">
        <v>50</v>
      </c>
      <c r="N95">
        <v>14.997496605</v>
      </c>
    </row>
    <row r="96" spans="1:14" x14ac:dyDescent="0.25">
      <c r="A96">
        <v>4.8436830000000004</v>
      </c>
      <c r="B96" s="1">
        <f>DATE(2010,5,5) + TIME(20,14,54)</f>
        <v>40303.843680555554</v>
      </c>
      <c r="C96">
        <v>2400</v>
      </c>
      <c r="D96">
        <v>0</v>
      </c>
      <c r="E96">
        <v>0</v>
      </c>
      <c r="F96">
        <v>2400</v>
      </c>
      <c r="G96">
        <v>1375.8168945</v>
      </c>
      <c r="H96">
        <v>1366.6330565999999</v>
      </c>
      <c r="I96">
        <v>1292.3789062000001</v>
      </c>
      <c r="J96">
        <v>1272.418457</v>
      </c>
      <c r="K96">
        <v>80</v>
      </c>
      <c r="L96">
        <v>77.907287597999996</v>
      </c>
      <c r="M96">
        <v>50</v>
      </c>
      <c r="N96">
        <v>14.997510910000001</v>
      </c>
    </row>
    <row r="97" spans="1:14" x14ac:dyDescent="0.25">
      <c r="A97">
        <v>4.9709989999999999</v>
      </c>
      <c r="B97" s="1">
        <f>DATE(2010,5,5) + TIME(23,18,14)</f>
        <v>40303.970995370371</v>
      </c>
      <c r="C97">
        <v>2400</v>
      </c>
      <c r="D97">
        <v>0</v>
      </c>
      <c r="E97">
        <v>0</v>
      </c>
      <c r="F97">
        <v>2400</v>
      </c>
      <c r="G97">
        <v>1375.7905272999999</v>
      </c>
      <c r="H97">
        <v>1366.6054687999999</v>
      </c>
      <c r="I97">
        <v>1292.3826904</v>
      </c>
      <c r="J97">
        <v>1272.4196777</v>
      </c>
      <c r="K97">
        <v>80</v>
      </c>
      <c r="L97">
        <v>78.093193053999997</v>
      </c>
      <c r="M97">
        <v>50</v>
      </c>
      <c r="N97">
        <v>14.997525215</v>
      </c>
    </row>
    <row r="98" spans="1:14" x14ac:dyDescent="0.25">
      <c r="A98">
        <v>5.1022970000000001</v>
      </c>
      <c r="B98" s="1">
        <f>DATE(2010,5,6) + TIME(2,27,18)</f>
        <v>40304.10229166667</v>
      </c>
      <c r="C98">
        <v>2400</v>
      </c>
      <c r="D98">
        <v>0</v>
      </c>
      <c r="E98">
        <v>0</v>
      </c>
      <c r="F98">
        <v>2400</v>
      </c>
      <c r="G98">
        <v>1375.7615966999999</v>
      </c>
      <c r="H98">
        <v>1366.574707</v>
      </c>
      <c r="I98">
        <v>1292.3862305</v>
      </c>
      <c r="J98">
        <v>1272.4208983999999</v>
      </c>
      <c r="K98">
        <v>80</v>
      </c>
      <c r="L98">
        <v>78.265869140999996</v>
      </c>
      <c r="M98">
        <v>50</v>
      </c>
      <c r="N98">
        <v>14.99753952</v>
      </c>
    </row>
    <row r="99" spans="1:14" x14ac:dyDescent="0.25">
      <c r="A99">
        <v>5.237946</v>
      </c>
      <c r="B99" s="1">
        <f>DATE(2010,5,6) + TIME(5,42,38)</f>
        <v>40304.237939814811</v>
      </c>
      <c r="C99">
        <v>2400</v>
      </c>
      <c r="D99">
        <v>0</v>
      </c>
      <c r="E99">
        <v>0</v>
      </c>
      <c r="F99">
        <v>2400</v>
      </c>
      <c r="G99">
        <v>1375.7299805</v>
      </c>
      <c r="H99">
        <v>1366.5407714999999</v>
      </c>
      <c r="I99">
        <v>1292.3898925999999</v>
      </c>
      <c r="J99">
        <v>1272.4222411999999</v>
      </c>
      <c r="K99">
        <v>80</v>
      </c>
      <c r="L99">
        <v>78.425971985000004</v>
      </c>
      <c r="M99">
        <v>50</v>
      </c>
      <c r="N99">
        <v>14.997553825000001</v>
      </c>
    </row>
    <row r="100" spans="1:14" x14ac:dyDescent="0.25">
      <c r="A100">
        <v>5.3781660000000002</v>
      </c>
      <c r="B100" s="1">
        <f>DATE(2010,5,6) + TIME(9,4,33)</f>
        <v>40304.378159722219</v>
      </c>
      <c r="C100">
        <v>2400</v>
      </c>
      <c r="D100">
        <v>0</v>
      </c>
      <c r="E100">
        <v>0</v>
      </c>
      <c r="F100">
        <v>2400</v>
      </c>
      <c r="G100">
        <v>1375.6958007999999</v>
      </c>
      <c r="H100">
        <v>1366.5036620999999</v>
      </c>
      <c r="I100">
        <v>1292.3935547000001</v>
      </c>
      <c r="J100">
        <v>1272.4234618999999</v>
      </c>
      <c r="K100">
        <v>80</v>
      </c>
      <c r="L100">
        <v>78.573944092000005</v>
      </c>
      <c r="M100">
        <v>50</v>
      </c>
      <c r="N100">
        <v>14.997568129999999</v>
      </c>
    </row>
    <row r="101" spans="1:14" x14ac:dyDescent="0.25">
      <c r="A101">
        <v>5.5226459999999999</v>
      </c>
      <c r="B101" s="1">
        <f>DATE(2010,5,6) + TIME(12,32,36)</f>
        <v>40304.522638888891</v>
      </c>
      <c r="C101">
        <v>2400</v>
      </c>
      <c r="D101">
        <v>0</v>
      </c>
      <c r="E101">
        <v>0</v>
      </c>
      <c r="F101">
        <v>2400</v>
      </c>
      <c r="G101">
        <v>1375.6589355000001</v>
      </c>
      <c r="H101">
        <v>1366.463501</v>
      </c>
      <c r="I101">
        <v>1292.3970947</v>
      </c>
      <c r="J101">
        <v>1272.4248047000001</v>
      </c>
      <c r="K101">
        <v>80</v>
      </c>
      <c r="L101">
        <v>78.709815978999998</v>
      </c>
      <c r="M101">
        <v>50</v>
      </c>
      <c r="N101">
        <v>14.997582436</v>
      </c>
    </row>
    <row r="102" spans="1:14" x14ac:dyDescent="0.25">
      <c r="A102">
        <v>5.671621</v>
      </c>
      <c r="B102" s="1">
        <f>DATE(2010,5,6) + TIME(16,7,8)</f>
        <v>40304.671620370369</v>
      </c>
      <c r="C102">
        <v>2400</v>
      </c>
      <c r="D102">
        <v>0</v>
      </c>
      <c r="E102">
        <v>0</v>
      </c>
      <c r="F102">
        <v>2400</v>
      </c>
      <c r="G102">
        <v>1375.6195068</v>
      </c>
      <c r="H102">
        <v>1366.4202881000001</v>
      </c>
      <c r="I102">
        <v>1292.4007568</v>
      </c>
      <c r="J102">
        <v>1272.4261475000001</v>
      </c>
      <c r="K102">
        <v>80</v>
      </c>
      <c r="L102">
        <v>78.834213257000002</v>
      </c>
      <c r="M102">
        <v>50</v>
      </c>
      <c r="N102">
        <v>14.997596741000001</v>
      </c>
    </row>
    <row r="103" spans="1:14" x14ac:dyDescent="0.25">
      <c r="A103">
        <v>5.8252709999999999</v>
      </c>
      <c r="B103" s="1">
        <f>DATE(2010,5,6) + TIME(19,48,23)</f>
        <v>40304.825266203705</v>
      </c>
      <c r="C103">
        <v>2400</v>
      </c>
      <c r="D103">
        <v>0</v>
      </c>
      <c r="E103">
        <v>0</v>
      </c>
      <c r="F103">
        <v>2400</v>
      </c>
      <c r="G103">
        <v>1375.5773925999999</v>
      </c>
      <c r="H103">
        <v>1366.3741454999999</v>
      </c>
      <c r="I103">
        <v>1292.4042969</v>
      </c>
      <c r="J103">
        <v>1272.4276123</v>
      </c>
      <c r="K103">
        <v>80</v>
      </c>
      <c r="L103">
        <v>78.947731017999999</v>
      </c>
      <c r="M103">
        <v>50</v>
      </c>
      <c r="N103">
        <v>14.997611045999999</v>
      </c>
    </row>
    <row r="104" spans="1:14" x14ac:dyDescent="0.25">
      <c r="A104">
        <v>5.9840220000000004</v>
      </c>
      <c r="B104" s="1">
        <f>DATE(2010,5,6) + TIME(23,36,59)</f>
        <v>40304.984016203707</v>
      </c>
      <c r="C104">
        <v>2400</v>
      </c>
      <c r="D104">
        <v>0</v>
      </c>
      <c r="E104">
        <v>0</v>
      </c>
      <c r="F104">
        <v>2400</v>
      </c>
      <c r="G104">
        <v>1375.5328368999999</v>
      </c>
      <c r="H104">
        <v>1366.3250731999999</v>
      </c>
      <c r="I104">
        <v>1292.4078368999999</v>
      </c>
      <c r="J104">
        <v>1272.4290771000001</v>
      </c>
      <c r="K104">
        <v>80</v>
      </c>
      <c r="L104">
        <v>79.051094054999993</v>
      </c>
      <c r="M104">
        <v>50</v>
      </c>
      <c r="N104">
        <v>14.997625351</v>
      </c>
    </row>
    <row r="105" spans="1:14" x14ac:dyDescent="0.25">
      <c r="A105">
        <v>6.1483400000000001</v>
      </c>
      <c r="B105" s="1">
        <f>DATE(2010,5,7) + TIME(3,33,36)</f>
        <v>40305.148333333331</v>
      </c>
      <c r="C105">
        <v>2400</v>
      </c>
      <c r="D105">
        <v>0</v>
      </c>
      <c r="E105">
        <v>0</v>
      </c>
      <c r="F105">
        <v>2400</v>
      </c>
      <c r="G105">
        <v>1375.4855957</v>
      </c>
      <c r="H105">
        <v>1366.2730713000001</v>
      </c>
      <c r="I105">
        <v>1292.4113769999999</v>
      </c>
      <c r="J105">
        <v>1272.4305420000001</v>
      </c>
      <c r="K105">
        <v>80</v>
      </c>
      <c r="L105">
        <v>79.144989014000004</v>
      </c>
      <c r="M105">
        <v>50</v>
      </c>
      <c r="N105">
        <v>14.997639656</v>
      </c>
    </row>
    <row r="106" spans="1:14" x14ac:dyDescent="0.25">
      <c r="A106">
        <v>6.3187530000000001</v>
      </c>
      <c r="B106" s="1">
        <f>DATE(2010,5,7) + TIME(7,39,0)</f>
        <v>40305.318749999999</v>
      </c>
      <c r="C106">
        <v>2400</v>
      </c>
      <c r="D106">
        <v>0</v>
      </c>
      <c r="E106">
        <v>0</v>
      </c>
      <c r="F106">
        <v>2400</v>
      </c>
      <c r="G106">
        <v>1375.4356689000001</v>
      </c>
      <c r="H106">
        <v>1366.2182617000001</v>
      </c>
      <c r="I106">
        <v>1292.4149170000001</v>
      </c>
      <c r="J106">
        <v>1272.4320068</v>
      </c>
      <c r="K106">
        <v>80</v>
      </c>
      <c r="L106">
        <v>79.230072020999998</v>
      </c>
      <c r="M106">
        <v>50</v>
      </c>
      <c r="N106">
        <v>14.997654915</v>
      </c>
    </row>
    <row r="107" spans="1:14" x14ac:dyDescent="0.25">
      <c r="A107">
        <v>6.4954150000000004</v>
      </c>
      <c r="B107" s="1">
        <f>DATE(2010,5,7) + TIME(11,53,23)</f>
        <v>40305.495405092595</v>
      </c>
      <c r="C107">
        <v>2400</v>
      </c>
      <c r="D107">
        <v>0</v>
      </c>
      <c r="E107">
        <v>0</v>
      </c>
      <c r="F107">
        <v>2400</v>
      </c>
      <c r="G107">
        <v>1375.3830565999999</v>
      </c>
      <c r="H107">
        <v>1366.1604004000001</v>
      </c>
      <c r="I107">
        <v>1292.418457</v>
      </c>
      <c r="J107">
        <v>1272.4335937999999</v>
      </c>
      <c r="K107">
        <v>80</v>
      </c>
      <c r="L107">
        <v>79.306785583000007</v>
      </c>
      <c r="M107">
        <v>50</v>
      </c>
      <c r="N107">
        <v>14.997669220000001</v>
      </c>
    </row>
    <row r="108" spans="1:14" x14ac:dyDescent="0.25">
      <c r="A108">
        <v>6.6784780000000001</v>
      </c>
      <c r="B108" s="1">
        <f>DATE(2010,5,7) + TIME(16,17,0)</f>
        <v>40305.678472222222</v>
      </c>
      <c r="C108">
        <v>2400</v>
      </c>
      <c r="D108">
        <v>0</v>
      </c>
      <c r="E108">
        <v>0</v>
      </c>
      <c r="F108">
        <v>2400</v>
      </c>
      <c r="G108">
        <v>1375.3277588000001</v>
      </c>
      <c r="H108">
        <v>1366.0997314000001</v>
      </c>
      <c r="I108">
        <v>1292.4219971</v>
      </c>
      <c r="J108">
        <v>1272.4351807</v>
      </c>
      <c r="K108">
        <v>80</v>
      </c>
      <c r="L108">
        <v>79.375617981000005</v>
      </c>
      <c r="M108">
        <v>50</v>
      </c>
      <c r="N108">
        <v>14.997683524999999</v>
      </c>
    </row>
    <row r="109" spans="1:14" x14ac:dyDescent="0.25">
      <c r="A109">
        <v>6.7700310000000004</v>
      </c>
      <c r="B109" s="1">
        <f>DATE(2010,5,7) + TIME(18,28,50)</f>
        <v>40305.77002314815</v>
      </c>
      <c r="C109">
        <v>2400</v>
      </c>
      <c r="D109">
        <v>0</v>
      </c>
      <c r="E109">
        <v>0</v>
      </c>
      <c r="F109">
        <v>2400</v>
      </c>
      <c r="G109">
        <v>1375.2766113</v>
      </c>
      <c r="H109">
        <v>1366.0372314000001</v>
      </c>
      <c r="I109">
        <v>1292.425293</v>
      </c>
      <c r="J109">
        <v>1272.4366454999999</v>
      </c>
      <c r="K109">
        <v>80</v>
      </c>
      <c r="L109">
        <v>79.407608031999999</v>
      </c>
      <c r="M109">
        <v>50</v>
      </c>
      <c r="N109">
        <v>14.997691154</v>
      </c>
    </row>
    <row r="110" spans="1:14" x14ac:dyDescent="0.25">
      <c r="A110">
        <v>6.9531359999999998</v>
      </c>
      <c r="B110" s="1">
        <f>DATE(2010,5,7) + TIME(22,52,30)</f>
        <v>40305.953125</v>
      </c>
      <c r="C110">
        <v>2400</v>
      </c>
      <c r="D110">
        <v>0</v>
      </c>
      <c r="E110">
        <v>0</v>
      </c>
      <c r="F110">
        <v>2400</v>
      </c>
      <c r="G110">
        <v>1375.2415771000001</v>
      </c>
      <c r="H110">
        <v>1366.0048827999999</v>
      </c>
      <c r="I110">
        <v>1292.4273682</v>
      </c>
      <c r="J110">
        <v>1272.4377440999999</v>
      </c>
      <c r="K110">
        <v>80</v>
      </c>
      <c r="L110">
        <v>79.462959290000001</v>
      </c>
      <c r="M110">
        <v>50</v>
      </c>
      <c r="N110">
        <v>14.997705460000001</v>
      </c>
    </row>
    <row r="111" spans="1:14" x14ac:dyDescent="0.25">
      <c r="A111">
        <v>7.1363190000000003</v>
      </c>
      <c r="B111" s="1">
        <f>DATE(2010,5,8) + TIME(3,16,17)</f>
        <v>40306.136307870373</v>
      </c>
      <c r="C111">
        <v>2400</v>
      </c>
      <c r="D111">
        <v>0</v>
      </c>
      <c r="E111">
        <v>0</v>
      </c>
      <c r="F111">
        <v>2400</v>
      </c>
      <c r="G111">
        <v>1375.1835937999999</v>
      </c>
      <c r="H111">
        <v>1365.9411620999999</v>
      </c>
      <c r="I111">
        <v>1292.4307861</v>
      </c>
      <c r="J111">
        <v>1272.4393310999999</v>
      </c>
      <c r="K111">
        <v>80</v>
      </c>
      <c r="L111">
        <v>79.510940551999994</v>
      </c>
      <c r="M111">
        <v>50</v>
      </c>
      <c r="N111">
        <v>14.997719764999999</v>
      </c>
    </row>
    <row r="112" spans="1:14" x14ac:dyDescent="0.25">
      <c r="A112">
        <v>7.3199459999999998</v>
      </c>
      <c r="B112" s="1">
        <f>DATE(2010,5,8) + TIME(7,40,43)</f>
        <v>40306.31994212963</v>
      </c>
      <c r="C112">
        <v>2400</v>
      </c>
      <c r="D112">
        <v>0</v>
      </c>
      <c r="E112">
        <v>0</v>
      </c>
      <c r="F112">
        <v>2400</v>
      </c>
      <c r="G112">
        <v>1375.1252440999999</v>
      </c>
      <c r="H112">
        <v>1365.8773193</v>
      </c>
      <c r="I112">
        <v>1292.434082</v>
      </c>
      <c r="J112">
        <v>1272.440918</v>
      </c>
      <c r="K112">
        <v>80</v>
      </c>
      <c r="L112">
        <v>79.552635193</v>
      </c>
      <c r="M112">
        <v>50</v>
      </c>
      <c r="N112">
        <v>14.997733115999999</v>
      </c>
    </row>
    <row r="113" spans="1:14" x14ac:dyDescent="0.25">
      <c r="A113">
        <v>7.5043150000000001</v>
      </c>
      <c r="B113" s="1">
        <f>DATE(2010,5,8) + TIME(12,6,12)</f>
        <v>40306.504305555558</v>
      </c>
      <c r="C113">
        <v>2400</v>
      </c>
      <c r="D113">
        <v>0</v>
      </c>
      <c r="E113">
        <v>0</v>
      </c>
      <c r="F113">
        <v>2400</v>
      </c>
      <c r="G113">
        <v>1375.0665283000001</v>
      </c>
      <c r="H113">
        <v>1365.8134766000001</v>
      </c>
      <c r="I113">
        <v>1292.4373779</v>
      </c>
      <c r="J113">
        <v>1272.4426269999999</v>
      </c>
      <c r="K113">
        <v>80</v>
      </c>
      <c r="L113">
        <v>79.588905334000003</v>
      </c>
      <c r="M113">
        <v>50</v>
      </c>
      <c r="N113">
        <v>14.997746468000001</v>
      </c>
    </row>
    <row r="114" spans="1:14" x14ac:dyDescent="0.25">
      <c r="A114">
        <v>7.6897099999999998</v>
      </c>
      <c r="B114" s="1">
        <f>DATE(2010,5,8) + TIME(16,33,10)</f>
        <v>40306.689699074072</v>
      </c>
      <c r="C114">
        <v>2400</v>
      </c>
      <c r="D114">
        <v>0</v>
      </c>
      <c r="E114">
        <v>0</v>
      </c>
      <c r="F114">
        <v>2400</v>
      </c>
      <c r="G114">
        <v>1375.0076904</v>
      </c>
      <c r="H114">
        <v>1365.7493896000001</v>
      </c>
      <c r="I114">
        <v>1292.4405518000001</v>
      </c>
      <c r="J114">
        <v>1272.4442139</v>
      </c>
      <c r="K114">
        <v>80</v>
      </c>
      <c r="L114">
        <v>79.620521545000003</v>
      </c>
      <c r="M114">
        <v>50</v>
      </c>
      <c r="N114">
        <v>14.997758865</v>
      </c>
    </row>
    <row r="115" spans="1:14" x14ac:dyDescent="0.25">
      <c r="A115">
        <v>7.8763769999999997</v>
      </c>
      <c r="B115" s="1">
        <f>DATE(2010,5,8) + TIME(21,1,58)</f>
        <v>40306.87636574074</v>
      </c>
      <c r="C115">
        <v>2400</v>
      </c>
      <c r="D115">
        <v>0</v>
      </c>
      <c r="E115">
        <v>0</v>
      </c>
      <c r="F115">
        <v>2400</v>
      </c>
      <c r="G115">
        <v>1374.9486084</v>
      </c>
      <c r="H115">
        <v>1365.6854248</v>
      </c>
      <c r="I115">
        <v>1292.4436035000001</v>
      </c>
      <c r="J115">
        <v>1272.4459228999999</v>
      </c>
      <c r="K115">
        <v>80</v>
      </c>
      <c r="L115">
        <v>79.648101807000003</v>
      </c>
      <c r="M115">
        <v>50</v>
      </c>
      <c r="N115">
        <v>14.997772217</v>
      </c>
    </row>
    <row r="116" spans="1:14" x14ac:dyDescent="0.25">
      <c r="A116">
        <v>8.0646280000000008</v>
      </c>
      <c r="B116" s="1">
        <f>DATE(2010,5,9) + TIME(1,33,3)</f>
        <v>40307.064618055556</v>
      </c>
      <c r="C116">
        <v>2400</v>
      </c>
      <c r="D116">
        <v>0</v>
      </c>
      <c r="E116">
        <v>0</v>
      </c>
      <c r="F116">
        <v>2400</v>
      </c>
      <c r="G116">
        <v>1374.8892822</v>
      </c>
      <c r="H116">
        <v>1365.6212158000001</v>
      </c>
      <c r="I116">
        <v>1292.4467772999999</v>
      </c>
      <c r="J116">
        <v>1272.4475098</v>
      </c>
      <c r="K116">
        <v>80</v>
      </c>
      <c r="L116">
        <v>79.672195435000006</v>
      </c>
      <c r="M116">
        <v>50</v>
      </c>
      <c r="N116">
        <v>14.997784615</v>
      </c>
    </row>
    <row r="117" spans="1:14" x14ac:dyDescent="0.25">
      <c r="A117">
        <v>8.25474</v>
      </c>
      <c r="B117" s="1">
        <f>DATE(2010,5,9) + TIME(6,6,49)</f>
        <v>40307.254733796297</v>
      </c>
      <c r="C117">
        <v>2400</v>
      </c>
      <c r="D117">
        <v>0</v>
      </c>
      <c r="E117">
        <v>0</v>
      </c>
      <c r="F117">
        <v>2400</v>
      </c>
      <c r="G117">
        <v>1374.8298339999999</v>
      </c>
      <c r="H117">
        <v>1365.5571289</v>
      </c>
      <c r="I117">
        <v>1292.4498291</v>
      </c>
      <c r="J117">
        <v>1272.4492187999999</v>
      </c>
      <c r="K117">
        <v>80</v>
      </c>
      <c r="L117">
        <v>79.693260193</v>
      </c>
      <c r="M117">
        <v>50</v>
      </c>
      <c r="N117">
        <v>14.997797011999999</v>
      </c>
    </row>
    <row r="118" spans="1:14" x14ac:dyDescent="0.25">
      <c r="A118">
        <v>8.4469910000000006</v>
      </c>
      <c r="B118" s="1">
        <f>DATE(2010,5,9) + TIME(10,43,40)</f>
        <v>40307.44699074074</v>
      </c>
      <c r="C118">
        <v>2400</v>
      </c>
      <c r="D118">
        <v>0</v>
      </c>
      <c r="E118">
        <v>0</v>
      </c>
      <c r="F118">
        <v>2400</v>
      </c>
      <c r="G118">
        <v>1374.7701416</v>
      </c>
      <c r="H118">
        <v>1365.4929199000001</v>
      </c>
      <c r="I118">
        <v>1292.4528809000001</v>
      </c>
      <c r="J118">
        <v>1272.4508057</v>
      </c>
      <c r="K118">
        <v>80</v>
      </c>
      <c r="L118">
        <v>79.711708068999997</v>
      </c>
      <c r="M118">
        <v>50</v>
      </c>
      <c r="N118">
        <v>14.99780941</v>
      </c>
    </row>
    <row r="119" spans="1:14" x14ac:dyDescent="0.25">
      <c r="A119">
        <v>8.641667</v>
      </c>
      <c r="B119" s="1">
        <f>DATE(2010,5,9) + TIME(15,24,0)</f>
        <v>40307.64166666667</v>
      </c>
      <c r="C119">
        <v>2400</v>
      </c>
      <c r="D119">
        <v>0</v>
      </c>
      <c r="E119">
        <v>0</v>
      </c>
      <c r="F119">
        <v>2400</v>
      </c>
      <c r="G119">
        <v>1374.7103271000001</v>
      </c>
      <c r="H119">
        <v>1365.4285889</v>
      </c>
      <c r="I119">
        <v>1292.4558105000001</v>
      </c>
      <c r="J119">
        <v>1272.4525146000001</v>
      </c>
      <c r="K119">
        <v>80</v>
      </c>
      <c r="L119">
        <v>79.727859496999997</v>
      </c>
      <c r="M119">
        <v>50</v>
      </c>
      <c r="N119">
        <v>14.997821807999999</v>
      </c>
    </row>
    <row r="120" spans="1:14" x14ac:dyDescent="0.25">
      <c r="A120">
        <v>8.8390640000000005</v>
      </c>
      <c r="B120" s="1">
        <f>DATE(2010,5,9) + TIME(20,8,15)</f>
        <v>40307.839062500003</v>
      </c>
      <c r="C120">
        <v>2400</v>
      </c>
      <c r="D120">
        <v>0</v>
      </c>
      <c r="E120">
        <v>0</v>
      </c>
      <c r="F120">
        <v>2400</v>
      </c>
      <c r="G120">
        <v>1374.6501464999999</v>
      </c>
      <c r="H120">
        <v>1365.3641356999999</v>
      </c>
      <c r="I120">
        <v>1292.4588623</v>
      </c>
      <c r="J120">
        <v>1272.4542236</v>
      </c>
      <c r="K120">
        <v>80</v>
      </c>
      <c r="L120">
        <v>79.742027282999999</v>
      </c>
      <c r="M120">
        <v>50</v>
      </c>
      <c r="N120">
        <v>14.997834206</v>
      </c>
    </row>
    <row r="121" spans="1:14" x14ac:dyDescent="0.25">
      <c r="A121">
        <v>9.0394880000000004</v>
      </c>
      <c r="B121" s="1">
        <f>DATE(2010,5,10) + TIME(0,56,51)</f>
        <v>40308.039479166669</v>
      </c>
      <c r="C121">
        <v>2400</v>
      </c>
      <c r="D121">
        <v>0</v>
      </c>
      <c r="E121">
        <v>0</v>
      </c>
      <c r="F121">
        <v>2400</v>
      </c>
      <c r="G121">
        <v>1374.5897216999999</v>
      </c>
      <c r="H121">
        <v>1365.2996826000001</v>
      </c>
      <c r="I121">
        <v>1292.4619141000001</v>
      </c>
      <c r="J121">
        <v>1272.4559326000001</v>
      </c>
      <c r="K121">
        <v>80</v>
      </c>
      <c r="L121">
        <v>79.754463196000003</v>
      </c>
      <c r="M121">
        <v>50</v>
      </c>
      <c r="N121">
        <v>14.99784565</v>
      </c>
    </row>
    <row r="122" spans="1:14" x14ac:dyDescent="0.25">
      <c r="A122">
        <v>9.2432599999999994</v>
      </c>
      <c r="B122" s="1">
        <f>DATE(2010,5,10) + TIME(5,50,17)</f>
        <v>40308.243252314816</v>
      </c>
      <c r="C122">
        <v>2400</v>
      </c>
      <c r="D122">
        <v>0</v>
      </c>
      <c r="E122">
        <v>0</v>
      </c>
      <c r="F122">
        <v>2400</v>
      </c>
      <c r="G122">
        <v>1374.5290527</v>
      </c>
      <c r="H122">
        <v>1365.2348632999999</v>
      </c>
      <c r="I122">
        <v>1292.4648437999999</v>
      </c>
      <c r="J122">
        <v>1272.4576416</v>
      </c>
      <c r="K122">
        <v>80</v>
      </c>
      <c r="L122">
        <v>79.765380859000004</v>
      </c>
      <c r="M122">
        <v>50</v>
      </c>
      <c r="N122">
        <v>14.997858046999999</v>
      </c>
    </row>
    <row r="123" spans="1:14" x14ac:dyDescent="0.25">
      <c r="A123">
        <v>9.4507200000000005</v>
      </c>
      <c r="B123" s="1">
        <f>DATE(2010,5,10) + TIME(10,49,2)</f>
        <v>40308.45071759259</v>
      </c>
      <c r="C123">
        <v>2400</v>
      </c>
      <c r="D123">
        <v>0</v>
      </c>
      <c r="E123">
        <v>0</v>
      </c>
      <c r="F123">
        <v>2400</v>
      </c>
      <c r="G123">
        <v>1374.4680175999999</v>
      </c>
      <c r="H123">
        <v>1365.1699219</v>
      </c>
      <c r="I123">
        <v>1292.4678954999999</v>
      </c>
      <c r="J123">
        <v>1272.4594727000001</v>
      </c>
      <c r="K123">
        <v>80</v>
      </c>
      <c r="L123">
        <v>79.774978637999993</v>
      </c>
      <c r="M123">
        <v>50</v>
      </c>
      <c r="N123">
        <v>14.997870445</v>
      </c>
    </row>
    <row r="124" spans="1:14" x14ac:dyDescent="0.25">
      <c r="A124">
        <v>9.6622299999999992</v>
      </c>
      <c r="B124" s="1">
        <f>DATE(2010,5,10) + TIME(15,53,36)</f>
        <v>40308.662222222221</v>
      </c>
      <c r="C124">
        <v>2400</v>
      </c>
      <c r="D124">
        <v>0</v>
      </c>
      <c r="E124">
        <v>0</v>
      </c>
      <c r="F124">
        <v>2400</v>
      </c>
      <c r="G124">
        <v>1374.4066161999999</v>
      </c>
      <c r="H124">
        <v>1365.1047363</v>
      </c>
      <c r="I124">
        <v>1292.4709473</v>
      </c>
      <c r="J124">
        <v>1272.4613036999999</v>
      </c>
      <c r="K124">
        <v>80</v>
      </c>
      <c r="L124">
        <v>79.783424377000003</v>
      </c>
      <c r="M124">
        <v>50</v>
      </c>
      <c r="N124">
        <v>14.997881889</v>
      </c>
    </row>
    <row r="125" spans="1:14" x14ac:dyDescent="0.25">
      <c r="A125">
        <v>9.8782700000000006</v>
      </c>
      <c r="B125" s="1">
        <f>DATE(2010,5,10) + TIME(21,4,42)</f>
        <v>40308.878263888888</v>
      </c>
      <c r="C125">
        <v>2400</v>
      </c>
      <c r="D125">
        <v>0</v>
      </c>
      <c r="E125">
        <v>0</v>
      </c>
      <c r="F125">
        <v>2400</v>
      </c>
      <c r="G125">
        <v>1374.3447266000001</v>
      </c>
      <c r="H125">
        <v>1365.0391846</v>
      </c>
      <c r="I125">
        <v>1292.473999</v>
      </c>
      <c r="J125">
        <v>1272.4631348</v>
      </c>
      <c r="K125">
        <v>80</v>
      </c>
      <c r="L125">
        <v>79.790863036999994</v>
      </c>
      <c r="M125">
        <v>50</v>
      </c>
      <c r="N125">
        <v>14.997894286999999</v>
      </c>
    </row>
    <row r="126" spans="1:14" x14ac:dyDescent="0.25">
      <c r="A126">
        <v>10.098428999999999</v>
      </c>
      <c r="B126" s="1">
        <f>DATE(2010,5,11) + TIME(2,21,44)</f>
        <v>40309.098425925928</v>
      </c>
      <c r="C126">
        <v>2400</v>
      </c>
      <c r="D126">
        <v>0</v>
      </c>
      <c r="E126">
        <v>0</v>
      </c>
      <c r="F126">
        <v>2400</v>
      </c>
      <c r="G126">
        <v>1374.2824707</v>
      </c>
      <c r="H126">
        <v>1364.9733887</v>
      </c>
      <c r="I126">
        <v>1292.4770507999999</v>
      </c>
      <c r="J126">
        <v>1272.4649658000001</v>
      </c>
      <c r="K126">
        <v>80</v>
      </c>
      <c r="L126">
        <v>79.797409058</v>
      </c>
      <c r="M126">
        <v>50</v>
      </c>
      <c r="N126">
        <v>14.997905730999999</v>
      </c>
    </row>
    <row r="127" spans="1:14" x14ac:dyDescent="0.25">
      <c r="A127">
        <v>10.323109000000001</v>
      </c>
      <c r="B127" s="1">
        <f>DATE(2010,5,11) + TIME(7,45,16)</f>
        <v>40309.323101851849</v>
      </c>
      <c r="C127">
        <v>2400</v>
      </c>
      <c r="D127">
        <v>0</v>
      </c>
      <c r="E127">
        <v>0</v>
      </c>
      <c r="F127">
        <v>2400</v>
      </c>
      <c r="G127">
        <v>1374.2198486</v>
      </c>
      <c r="H127">
        <v>1364.9072266000001</v>
      </c>
      <c r="I127">
        <v>1292.4802245999999</v>
      </c>
      <c r="J127">
        <v>1272.4669189000001</v>
      </c>
      <c r="K127">
        <v>80</v>
      </c>
      <c r="L127">
        <v>79.803169249999996</v>
      </c>
      <c r="M127">
        <v>50</v>
      </c>
      <c r="N127">
        <v>14.997918129</v>
      </c>
    </row>
    <row r="128" spans="1:14" x14ac:dyDescent="0.25">
      <c r="A128">
        <v>10.552676</v>
      </c>
      <c r="B128" s="1">
        <f>DATE(2010,5,11) + TIME(13,15,51)</f>
        <v>40309.552673611113</v>
      </c>
      <c r="C128">
        <v>2400</v>
      </c>
      <c r="D128">
        <v>0</v>
      </c>
      <c r="E128">
        <v>0</v>
      </c>
      <c r="F128">
        <v>2400</v>
      </c>
      <c r="G128">
        <v>1374.1568603999999</v>
      </c>
      <c r="H128">
        <v>1364.8408202999999</v>
      </c>
      <c r="I128">
        <v>1292.4832764</v>
      </c>
      <c r="J128">
        <v>1272.46875</v>
      </c>
      <c r="K128">
        <v>80</v>
      </c>
      <c r="L128">
        <v>79.808250427000004</v>
      </c>
      <c r="M128">
        <v>50</v>
      </c>
      <c r="N128">
        <v>14.997930526999999</v>
      </c>
    </row>
    <row r="129" spans="1:14" x14ac:dyDescent="0.25">
      <c r="A129">
        <v>10.787577000000001</v>
      </c>
      <c r="B129" s="1">
        <f>DATE(2010,5,11) + TIME(18,54,6)</f>
        <v>40309.787569444445</v>
      </c>
      <c r="C129">
        <v>2400</v>
      </c>
      <c r="D129">
        <v>0</v>
      </c>
      <c r="E129">
        <v>0</v>
      </c>
      <c r="F129">
        <v>2400</v>
      </c>
      <c r="G129">
        <v>1374.0933838000001</v>
      </c>
      <c r="H129">
        <v>1364.7741699000001</v>
      </c>
      <c r="I129">
        <v>1292.4864502</v>
      </c>
      <c r="J129">
        <v>1272.4708252</v>
      </c>
      <c r="K129">
        <v>80</v>
      </c>
      <c r="L129">
        <v>79.812736510999997</v>
      </c>
      <c r="M129">
        <v>50</v>
      </c>
      <c r="N129">
        <v>14.997941970999999</v>
      </c>
    </row>
    <row r="130" spans="1:14" x14ac:dyDescent="0.25">
      <c r="A130">
        <v>11.028293</v>
      </c>
      <c r="B130" s="1">
        <f>DATE(2010,5,12) + TIME(0,40,44)</f>
        <v>40310.028287037036</v>
      </c>
      <c r="C130">
        <v>2400</v>
      </c>
      <c r="D130">
        <v>0</v>
      </c>
      <c r="E130">
        <v>0</v>
      </c>
      <c r="F130">
        <v>2400</v>
      </c>
      <c r="G130">
        <v>1374.0295410000001</v>
      </c>
      <c r="H130">
        <v>1364.7070312000001</v>
      </c>
      <c r="I130">
        <v>1292.4897461</v>
      </c>
      <c r="J130">
        <v>1272.4727783000001</v>
      </c>
      <c r="K130">
        <v>80</v>
      </c>
      <c r="L130">
        <v>79.816703795999999</v>
      </c>
      <c r="M130">
        <v>50</v>
      </c>
      <c r="N130">
        <v>14.997954369</v>
      </c>
    </row>
    <row r="131" spans="1:14" x14ac:dyDescent="0.25">
      <c r="A131">
        <v>11.27535</v>
      </c>
      <c r="B131" s="1">
        <f>DATE(2010,5,12) + TIME(6,36,30)</f>
        <v>40310.275347222225</v>
      </c>
      <c r="C131">
        <v>2400</v>
      </c>
      <c r="D131">
        <v>0</v>
      </c>
      <c r="E131">
        <v>0</v>
      </c>
      <c r="F131">
        <v>2400</v>
      </c>
      <c r="G131">
        <v>1373.9650879000001</v>
      </c>
      <c r="H131">
        <v>1364.6395264</v>
      </c>
      <c r="I131">
        <v>1292.4930420000001</v>
      </c>
      <c r="J131">
        <v>1272.4748535000001</v>
      </c>
      <c r="K131">
        <v>80</v>
      </c>
      <c r="L131">
        <v>79.820228576999995</v>
      </c>
      <c r="M131">
        <v>50</v>
      </c>
      <c r="N131">
        <v>14.997966765999999</v>
      </c>
    </row>
    <row r="132" spans="1:14" x14ac:dyDescent="0.25">
      <c r="A132">
        <v>11.529335</v>
      </c>
      <c r="B132" s="1">
        <f>DATE(2010,5,12) + TIME(12,42,14)</f>
        <v>40310.529328703706</v>
      </c>
      <c r="C132">
        <v>2400</v>
      </c>
      <c r="D132">
        <v>0</v>
      </c>
      <c r="E132">
        <v>0</v>
      </c>
      <c r="F132">
        <v>2400</v>
      </c>
      <c r="G132">
        <v>1373.9000243999999</v>
      </c>
      <c r="H132">
        <v>1364.5715332</v>
      </c>
      <c r="I132">
        <v>1292.4963379000001</v>
      </c>
      <c r="J132">
        <v>1272.4770507999999</v>
      </c>
      <c r="K132">
        <v>80</v>
      </c>
      <c r="L132">
        <v>79.823364257999998</v>
      </c>
      <c r="M132">
        <v>50</v>
      </c>
      <c r="N132">
        <v>14.997978209999999</v>
      </c>
    </row>
    <row r="133" spans="1:14" x14ac:dyDescent="0.25">
      <c r="A133">
        <v>11.790539000000001</v>
      </c>
      <c r="B133" s="1">
        <f>DATE(2010,5,12) + TIME(18,58,22)</f>
        <v>40310.790532407409</v>
      </c>
      <c r="C133">
        <v>2400</v>
      </c>
      <c r="D133">
        <v>0</v>
      </c>
      <c r="E133">
        <v>0</v>
      </c>
      <c r="F133">
        <v>2400</v>
      </c>
      <c r="G133">
        <v>1373.8342285000001</v>
      </c>
      <c r="H133">
        <v>1364.5028076000001</v>
      </c>
      <c r="I133">
        <v>1292.4997559000001</v>
      </c>
      <c r="J133">
        <v>1272.479126</v>
      </c>
      <c r="K133">
        <v>80</v>
      </c>
      <c r="L133">
        <v>79.826148986999996</v>
      </c>
      <c r="M133">
        <v>50</v>
      </c>
      <c r="N133">
        <v>14.997990608</v>
      </c>
    </row>
    <row r="134" spans="1:14" x14ac:dyDescent="0.25">
      <c r="A134">
        <v>12.059272999999999</v>
      </c>
      <c r="B134" s="1">
        <f>DATE(2010,5,13) + TIME(1,25,21)</f>
        <v>40311.059270833335</v>
      </c>
      <c r="C134">
        <v>2400</v>
      </c>
      <c r="D134">
        <v>0</v>
      </c>
      <c r="E134">
        <v>0</v>
      </c>
      <c r="F134">
        <v>2400</v>
      </c>
      <c r="G134">
        <v>1373.7677002</v>
      </c>
      <c r="H134">
        <v>1364.4334716999999</v>
      </c>
      <c r="I134">
        <v>1292.5031738</v>
      </c>
      <c r="J134">
        <v>1272.4814452999999</v>
      </c>
      <c r="K134">
        <v>80</v>
      </c>
      <c r="L134">
        <v>79.828643799000005</v>
      </c>
      <c r="M134">
        <v>50</v>
      </c>
      <c r="N134">
        <v>14.998003005999999</v>
      </c>
    </row>
    <row r="135" spans="1:14" x14ac:dyDescent="0.25">
      <c r="A135">
        <v>12.335675</v>
      </c>
      <c r="B135" s="1">
        <f>DATE(2010,5,13) + TIME(8,3,22)</f>
        <v>40311.3356712963</v>
      </c>
      <c r="C135">
        <v>2400</v>
      </c>
      <c r="D135">
        <v>0</v>
      </c>
      <c r="E135">
        <v>0</v>
      </c>
      <c r="F135">
        <v>2400</v>
      </c>
      <c r="G135">
        <v>1373.7005615</v>
      </c>
      <c r="H135">
        <v>1364.3636475000001</v>
      </c>
      <c r="I135">
        <v>1292.5068358999999</v>
      </c>
      <c r="J135">
        <v>1272.4836425999999</v>
      </c>
      <c r="K135">
        <v>80</v>
      </c>
      <c r="L135">
        <v>79.830863953000005</v>
      </c>
      <c r="M135">
        <v>50</v>
      </c>
      <c r="N135">
        <v>14.998016356999999</v>
      </c>
    </row>
    <row r="136" spans="1:14" x14ac:dyDescent="0.25">
      <c r="A136">
        <v>12.477124</v>
      </c>
      <c r="B136" s="1">
        <f>DATE(2010,5,13) + TIME(11,27,3)</f>
        <v>40311.477118055554</v>
      </c>
      <c r="C136">
        <v>2400</v>
      </c>
      <c r="D136">
        <v>0</v>
      </c>
      <c r="E136">
        <v>0</v>
      </c>
      <c r="F136">
        <v>2400</v>
      </c>
      <c r="G136">
        <v>1373.6325684000001</v>
      </c>
      <c r="H136">
        <v>1364.2919922000001</v>
      </c>
      <c r="I136">
        <v>1292.5101318</v>
      </c>
      <c r="J136">
        <v>1272.4857178</v>
      </c>
      <c r="K136">
        <v>80</v>
      </c>
      <c r="L136">
        <v>79.831916809000006</v>
      </c>
      <c r="M136">
        <v>50</v>
      </c>
      <c r="N136">
        <v>14.998023033000001</v>
      </c>
    </row>
    <row r="137" spans="1:14" x14ac:dyDescent="0.25">
      <c r="A137">
        <v>12.618573</v>
      </c>
      <c r="B137" s="1">
        <f>DATE(2010,5,13) + TIME(14,50,44)</f>
        <v>40311.618564814817</v>
      </c>
      <c r="C137">
        <v>2400</v>
      </c>
      <c r="D137">
        <v>0</v>
      </c>
      <c r="E137">
        <v>0</v>
      </c>
      <c r="F137">
        <v>2400</v>
      </c>
      <c r="G137">
        <v>1373.5980225000001</v>
      </c>
      <c r="H137">
        <v>1364.2562256000001</v>
      </c>
      <c r="I137">
        <v>1292.5120850000001</v>
      </c>
      <c r="J137">
        <v>1272.4869385</v>
      </c>
      <c r="K137">
        <v>80</v>
      </c>
      <c r="L137">
        <v>79.832901000999996</v>
      </c>
      <c r="M137">
        <v>50</v>
      </c>
      <c r="N137">
        <v>14.998029709000001</v>
      </c>
    </row>
    <row r="138" spans="1:14" x14ac:dyDescent="0.25">
      <c r="A138">
        <v>12.901471000000001</v>
      </c>
      <c r="B138" s="1">
        <f>DATE(2010,5,13) + TIME(21,38,7)</f>
        <v>40311.901469907411</v>
      </c>
      <c r="C138">
        <v>2400</v>
      </c>
      <c r="D138">
        <v>0</v>
      </c>
      <c r="E138">
        <v>0</v>
      </c>
      <c r="F138">
        <v>2400</v>
      </c>
      <c r="G138">
        <v>1373.5644531</v>
      </c>
      <c r="H138">
        <v>1364.2222899999999</v>
      </c>
      <c r="I138">
        <v>1292.5141602000001</v>
      </c>
      <c r="J138">
        <v>1272.4885254000001</v>
      </c>
      <c r="K138">
        <v>80</v>
      </c>
      <c r="L138">
        <v>79.834625243999994</v>
      </c>
      <c r="M138">
        <v>50</v>
      </c>
      <c r="N138">
        <v>14.998042107</v>
      </c>
    </row>
    <row r="139" spans="1:14" x14ac:dyDescent="0.25">
      <c r="A139">
        <v>13.184507</v>
      </c>
      <c r="B139" s="1">
        <f>DATE(2010,5,14) + TIME(4,25,41)</f>
        <v>40312.184502314813</v>
      </c>
      <c r="C139">
        <v>2400</v>
      </c>
      <c r="D139">
        <v>0</v>
      </c>
      <c r="E139">
        <v>0</v>
      </c>
      <c r="F139">
        <v>2400</v>
      </c>
      <c r="G139">
        <v>1373.4976807</v>
      </c>
      <c r="H139">
        <v>1364.1531981999999</v>
      </c>
      <c r="I139">
        <v>1292.5177002</v>
      </c>
      <c r="J139">
        <v>1272.4908447</v>
      </c>
      <c r="K139">
        <v>80</v>
      </c>
      <c r="L139">
        <v>79.836143493999998</v>
      </c>
      <c r="M139">
        <v>50</v>
      </c>
      <c r="N139">
        <v>14.998053551</v>
      </c>
    </row>
    <row r="140" spans="1:14" x14ac:dyDescent="0.25">
      <c r="A140">
        <v>13.468374000000001</v>
      </c>
      <c r="B140" s="1">
        <f>DATE(2010,5,14) + TIME(11,14,27)</f>
        <v>40312.468368055554</v>
      </c>
      <c r="C140">
        <v>2400</v>
      </c>
      <c r="D140">
        <v>0</v>
      </c>
      <c r="E140">
        <v>0</v>
      </c>
      <c r="F140">
        <v>2400</v>
      </c>
      <c r="G140">
        <v>1373.4320068</v>
      </c>
      <c r="H140">
        <v>1364.0852050999999</v>
      </c>
      <c r="I140">
        <v>1292.5213623</v>
      </c>
      <c r="J140">
        <v>1272.4932861</v>
      </c>
      <c r="K140">
        <v>80</v>
      </c>
      <c r="L140">
        <v>79.837486267000003</v>
      </c>
      <c r="M140">
        <v>50</v>
      </c>
      <c r="N140">
        <v>14.998065948000001</v>
      </c>
    </row>
    <row r="141" spans="1:14" x14ac:dyDescent="0.25">
      <c r="A141">
        <v>13.753465</v>
      </c>
      <c r="B141" s="1">
        <f>DATE(2010,5,14) + TIME(18,4,59)</f>
        <v>40312.753460648149</v>
      </c>
      <c r="C141">
        <v>2400</v>
      </c>
      <c r="D141">
        <v>0</v>
      </c>
      <c r="E141">
        <v>0</v>
      </c>
      <c r="F141">
        <v>2400</v>
      </c>
      <c r="G141">
        <v>1373.3671875</v>
      </c>
      <c r="H141">
        <v>1364.0184326000001</v>
      </c>
      <c r="I141">
        <v>1292.5250243999999</v>
      </c>
      <c r="J141">
        <v>1272.4956055</v>
      </c>
      <c r="K141">
        <v>80</v>
      </c>
      <c r="L141">
        <v>79.838684082</v>
      </c>
      <c r="M141">
        <v>50</v>
      </c>
      <c r="N141">
        <v>14.998077393000001</v>
      </c>
    </row>
    <row r="142" spans="1:14" x14ac:dyDescent="0.25">
      <c r="A142">
        <v>14.040286999999999</v>
      </c>
      <c r="B142" s="1">
        <f>DATE(2010,5,15) + TIME(0,58,0)</f>
        <v>40313.040277777778</v>
      </c>
      <c r="C142">
        <v>2400</v>
      </c>
      <c r="D142">
        <v>0</v>
      </c>
      <c r="E142">
        <v>0</v>
      </c>
      <c r="F142">
        <v>2400</v>
      </c>
      <c r="G142">
        <v>1373.3033447</v>
      </c>
      <c r="H142">
        <v>1363.9526367000001</v>
      </c>
      <c r="I142">
        <v>1292.5286865</v>
      </c>
      <c r="J142">
        <v>1272.4980469</v>
      </c>
      <c r="K142">
        <v>80</v>
      </c>
      <c r="L142">
        <v>79.839759826999995</v>
      </c>
      <c r="M142">
        <v>50</v>
      </c>
      <c r="N142">
        <v>14.99808979</v>
      </c>
    </row>
    <row r="143" spans="1:14" x14ac:dyDescent="0.25">
      <c r="A143">
        <v>14.329286</v>
      </c>
      <c r="B143" s="1">
        <f>DATE(2010,5,15) + TIME(7,54,10)</f>
        <v>40313.329282407409</v>
      </c>
      <c r="C143">
        <v>2400</v>
      </c>
      <c r="D143">
        <v>0</v>
      </c>
      <c r="E143">
        <v>0</v>
      </c>
      <c r="F143">
        <v>2400</v>
      </c>
      <c r="G143">
        <v>1373.2403564000001</v>
      </c>
      <c r="H143">
        <v>1363.8876952999999</v>
      </c>
      <c r="I143">
        <v>1292.5323486</v>
      </c>
      <c r="J143">
        <v>1272.5004882999999</v>
      </c>
      <c r="K143">
        <v>80</v>
      </c>
      <c r="L143">
        <v>79.840736389</v>
      </c>
      <c r="M143">
        <v>50</v>
      </c>
      <c r="N143">
        <v>14.998101234</v>
      </c>
    </row>
    <row r="144" spans="1:14" x14ac:dyDescent="0.25">
      <c r="A144">
        <v>14.620908999999999</v>
      </c>
      <c r="B144" s="1">
        <f>DATE(2010,5,15) + TIME(14,54,6)</f>
        <v>40313.62090277778</v>
      </c>
      <c r="C144">
        <v>2400</v>
      </c>
      <c r="D144">
        <v>0</v>
      </c>
      <c r="E144">
        <v>0</v>
      </c>
      <c r="F144">
        <v>2400</v>
      </c>
      <c r="G144">
        <v>1373.1778564000001</v>
      </c>
      <c r="H144">
        <v>1363.8236084</v>
      </c>
      <c r="I144">
        <v>1292.5358887</v>
      </c>
      <c r="J144">
        <v>1272.5029297000001</v>
      </c>
      <c r="K144">
        <v>80</v>
      </c>
      <c r="L144">
        <v>79.841621399000005</v>
      </c>
      <c r="M144">
        <v>50</v>
      </c>
      <c r="N144">
        <v>14.998112679</v>
      </c>
    </row>
    <row r="145" spans="1:14" x14ac:dyDescent="0.25">
      <c r="A145">
        <v>14.915608000000001</v>
      </c>
      <c r="B145" s="1">
        <f>DATE(2010,5,15) + TIME(21,58,28)</f>
        <v>40313.915601851855</v>
      </c>
      <c r="C145">
        <v>2400</v>
      </c>
      <c r="D145">
        <v>0</v>
      </c>
      <c r="E145">
        <v>0</v>
      </c>
      <c r="F145">
        <v>2400</v>
      </c>
      <c r="G145">
        <v>1373.1160889</v>
      </c>
      <c r="H145">
        <v>1363.7601318</v>
      </c>
      <c r="I145">
        <v>1292.5396728999999</v>
      </c>
      <c r="J145">
        <v>1272.5053711</v>
      </c>
      <c r="K145">
        <v>80</v>
      </c>
      <c r="L145">
        <v>79.842422485</v>
      </c>
      <c r="M145">
        <v>50</v>
      </c>
      <c r="N145">
        <v>14.998124123</v>
      </c>
    </row>
    <row r="146" spans="1:14" x14ac:dyDescent="0.25">
      <c r="A146">
        <v>15.213846</v>
      </c>
      <c r="B146" s="1">
        <f>DATE(2010,5,16) + TIME(5,7,56)</f>
        <v>40314.213842592595</v>
      </c>
      <c r="C146">
        <v>2400</v>
      </c>
      <c r="D146">
        <v>0</v>
      </c>
      <c r="E146">
        <v>0</v>
      </c>
      <c r="F146">
        <v>2400</v>
      </c>
      <c r="G146">
        <v>1373.0546875</v>
      </c>
      <c r="H146">
        <v>1363.6971435999999</v>
      </c>
      <c r="I146">
        <v>1292.5433350000001</v>
      </c>
      <c r="J146">
        <v>1272.5079346</v>
      </c>
      <c r="K146">
        <v>80</v>
      </c>
      <c r="L146">
        <v>79.843162536999998</v>
      </c>
      <c r="M146">
        <v>50</v>
      </c>
      <c r="N146">
        <v>14.998135567</v>
      </c>
    </row>
    <row r="147" spans="1:14" x14ac:dyDescent="0.25">
      <c r="A147">
        <v>15.516104</v>
      </c>
      <c r="B147" s="1">
        <f>DATE(2010,5,16) + TIME(12,23,11)</f>
        <v>40314.516099537039</v>
      </c>
      <c r="C147">
        <v>2400</v>
      </c>
      <c r="D147">
        <v>0</v>
      </c>
      <c r="E147">
        <v>0</v>
      </c>
      <c r="F147">
        <v>2400</v>
      </c>
      <c r="G147">
        <v>1372.9935303</v>
      </c>
      <c r="H147">
        <v>1363.6346435999999</v>
      </c>
      <c r="I147">
        <v>1292.5469971</v>
      </c>
      <c r="J147">
        <v>1272.510376</v>
      </c>
      <c r="K147">
        <v>80</v>
      </c>
      <c r="L147">
        <v>79.843833923000005</v>
      </c>
      <c r="M147">
        <v>50</v>
      </c>
      <c r="N147">
        <v>14.998147011</v>
      </c>
    </row>
    <row r="148" spans="1:14" x14ac:dyDescent="0.25">
      <c r="A148">
        <v>15.822882999999999</v>
      </c>
      <c r="B148" s="1">
        <f>DATE(2010,5,16) + TIME(19,44,57)</f>
        <v>40314.822881944441</v>
      </c>
      <c r="C148">
        <v>2400</v>
      </c>
      <c r="D148">
        <v>0</v>
      </c>
      <c r="E148">
        <v>0</v>
      </c>
      <c r="F148">
        <v>2400</v>
      </c>
      <c r="G148">
        <v>1372.9327393000001</v>
      </c>
      <c r="H148">
        <v>1363.5726318</v>
      </c>
      <c r="I148">
        <v>1292.5507812000001</v>
      </c>
      <c r="J148">
        <v>1272.5129394999999</v>
      </c>
      <c r="K148">
        <v>80</v>
      </c>
      <c r="L148">
        <v>79.844459533999995</v>
      </c>
      <c r="M148">
        <v>50</v>
      </c>
      <c r="N148">
        <v>14.998158455</v>
      </c>
    </row>
    <row r="149" spans="1:14" x14ac:dyDescent="0.25">
      <c r="A149">
        <v>16.133935000000001</v>
      </c>
      <c r="B149" s="1">
        <f>DATE(2010,5,17) + TIME(3,12,51)</f>
        <v>40315.133923611109</v>
      </c>
      <c r="C149">
        <v>2400</v>
      </c>
      <c r="D149">
        <v>0</v>
      </c>
      <c r="E149">
        <v>0</v>
      </c>
      <c r="F149">
        <v>2400</v>
      </c>
      <c r="G149">
        <v>1372.8721923999999</v>
      </c>
      <c r="H149">
        <v>1363.5107422000001</v>
      </c>
      <c r="I149">
        <v>1292.5546875</v>
      </c>
      <c r="J149">
        <v>1272.515625</v>
      </c>
      <c r="K149">
        <v>80</v>
      </c>
      <c r="L149">
        <v>79.845039368000002</v>
      </c>
      <c r="M149">
        <v>50</v>
      </c>
      <c r="N149">
        <v>14.998169899000001</v>
      </c>
    </row>
    <row r="150" spans="1:14" x14ac:dyDescent="0.25">
      <c r="A150">
        <v>16.449096000000001</v>
      </c>
      <c r="B150" s="1">
        <f>DATE(2010,5,17) + TIME(10,46,41)</f>
        <v>40315.44908564815</v>
      </c>
      <c r="C150">
        <v>2400</v>
      </c>
      <c r="D150">
        <v>0</v>
      </c>
      <c r="E150">
        <v>0</v>
      </c>
      <c r="F150">
        <v>2400</v>
      </c>
      <c r="G150">
        <v>1372.8117675999999</v>
      </c>
      <c r="H150">
        <v>1363.4492187999999</v>
      </c>
      <c r="I150">
        <v>1292.5584716999999</v>
      </c>
      <c r="J150">
        <v>1272.5181885</v>
      </c>
      <c r="K150">
        <v>80</v>
      </c>
      <c r="L150">
        <v>79.845573424999998</v>
      </c>
      <c r="M150">
        <v>50</v>
      </c>
      <c r="N150">
        <v>14.998181343000001</v>
      </c>
    </row>
    <row r="151" spans="1:14" x14ac:dyDescent="0.25">
      <c r="A151">
        <v>16.768861999999999</v>
      </c>
      <c r="B151" s="1">
        <f>DATE(2010,5,17) + TIME(18,27,9)</f>
        <v>40315.768854166665</v>
      </c>
      <c r="C151">
        <v>2400</v>
      </c>
      <c r="D151">
        <v>0</v>
      </c>
      <c r="E151">
        <v>0</v>
      </c>
      <c r="F151">
        <v>2400</v>
      </c>
      <c r="G151">
        <v>1372.7517089999999</v>
      </c>
      <c r="H151">
        <v>1363.3880615</v>
      </c>
      <c r="I151">
        <v>1292.5623779</v>
      </c>
      <c r="J151">
        <v>1272.520874</v>
      </c>
      <c r="K151">
        <v>80</v>
      </c>
      <c r="L151">
        <v>79.846061707000004</v>
      </c>
      <c r="M151">
        <v>50</v>
      </c>
      <c r="N151">
        <v>14.998191833</v>
      </c>
    </row>
    <row r="152" spans="1:14" x14ac:dyDescent="0.25">
      <c r="A152">
        <v>17.093751999999999</v>
      </c>
      <c r="B152" s="1">
        <f>DATE(2010,5,18) + TIME(2,15,0)</f>
        <v>40316.09375</v>
      </c>
      <c r="C152">
        <v>2400</v>
      </c>
      <c r="D152">
        <v>0</v>
      </c>
      <c r="E152">
        <v>0</v>
      </c>
      <c r="F152">
        <v>2400</v>
      </c>
      <c r="G152">
        <v>1372.6917725000001</v>
      </c>
      <c r="H152">
        <v>1363.3271483999999</v>
      </c>
      <c r="I152">
        <v>1292.5664062000001</v>
      </c>
      <c r="J152">
        <v>1272.5235596</v>
      </c>
      <c r="K152">
        <v>80</v>
      </c>
      <c r="L152">
        <v>79.846527100000003</v>
      </c>
      <c r="M152">
        <v>50</v>
      </c>
      <c r="N152">
        <v>14.998203278</v>
      </c>
    </row>
    <row r="153" spans="1:14" x14ac:dyDescent="0.25">
      <c r="A153">
        <v>17.424444000000001</v>
      </c>
      <c r="B153" s="1">
        <f>DATE(2010,5,18) + TIME(10,11,11)</f>
        <v>40316.424432870372</v>
      </c>
      <c r="C153">
        <v>2400</v>
      </c>
      <c r="D153">
        <v>0</v>
      </c>
      <c r="E153">
        <v>0</v>
      </c>
      <c r="F153">
        <v>2400</v>
      </c>
      <c r="G153">
        <v>1372.6319579999999</v>
      </c>
      <c r="H153">
        <v>1363.2664795000001</v>
      </c>
      <c r="I153">
        <v>1292.5703125</v>
      </c>
      <c r="J153">
        <v>1272.5263672000001</v>
      </c>
      <c r="K153">
        <v>80</v>
      </c>
      <c r="L153">
        <v>79.846954346000004</v>
      </c>
      <c r="M153">
        <v>50</v>
      </c>
      <c r="N153">
        <v>14.998214722</v>
      </c>
    </row>
    <row r="154" spans="1:14" x14ac:dyDescent="0.25">
      <c r="A154">
        <v>17.761389999999999</v>
      </c>
      <c r="B154" s="1">
        <f>DATE(2010,5,18) + TIME(18,16,24)</f>
        <v>40316.761388888888</v>
      </c>
      <c r="C154">
        <v>2400</v>
      </c>
      <c r="D154">
        <v>0</v>
      </c>
      <c r="E154">
        <v>0</v>
      </c>
      <c r="F154">
        <v>2400</v>
      </c>
      <c r="G154">
        <v>1372.5721435999999</v>
      </c>
      <c r="H154">
        <v>1363.2058105000001</v>
      </c>
      <c r="I154">
        <v>1292.5744629000001</v>
      </c>
      <c r="J154">
        <v>1272.5291748</v>
      </c>
      <c r="K154">
        <v>80</v>
      </c>
      <c r="L154">
        <v>79.847358704000001</v>
      </c>
      <c r="M154">
        <v>50</v>
      </c>
      <c r="N154">
        <v>14.998226166</v>
      </c>
    </row>
    <row r="155" spans="1:14" x14ac:dyDescent="0.25">
      <c r="A155">
        <v>18.105219999999999</v>
      </c>
      <c r="B155" s="1">
        <f>DATE(2010,5,19) + TIME(2,31,31)</f>
        <v>40317.105219907404</v>
      </c>
      <c r="C155">
        <v>2400</v>
      </c>
      <c r="D155">
        <v>0</v>
      </c>
      <c r="E155">
        <v>0</v>
      </c>
      <c r="F155">
        <v>2400</v>
      </c>
      <c r="G155">
        <v>1372.512207</v>
      </c>
      <c r="H155">
        <v>1363.1451416</v>
      </c>
      <c r="I155">
        <v>1292.5786132999999</v>
      </c>
      <c r="J155">
        <v>1272.5319824000001</v>
      </c>
      <c r="K155">
        <v>80</v>
      </c>
      <c r="L155">
        <v>79.847740173000005</v>
      </c>
      <c r="M155">
        <v>50</v>
      </c>
      <c r="N155">
        <v>14.99823761</v>
      </c>
    </row>
    <row r="156" spans="1:14" x14ac:dyDescent="0.25">
      <c r="A156">
        <v>18.456578</v>
      </c>
      <c r="B156" s="1">
        <f>DATE(2010,5,19) + TIME(10,57,28)</f>
        <v>40317.456574074073</v>
      </c>
      <c r="C156">
        <v>2400</v>
      </c>
      <c r="D156">
        <v>0</v>
      </c>
      <c r="E156">
        <v>0</v>
      </c>
      <c r="F156">
        <v>2400</v>
      </c>
      <c r="G156">
        <v>1372.4521483999999</v>
      </c>
      <c r="H156">
        <v>1363.0844727000001</v>
      </c>
      <c r="I156">
        <v>1292.5827637</v>
      </c>
      <c r="J156">
        <v>1272.5349120999999</v>
      </c>
      <c r="K156">
        <v>80</v>
      </c>
      <c r="L156">
        <v>79.848091124999996</v>
      </c>
      <c r="M156">
        <v>50</v>
      </c>
      <c r="N156">
        <v>14.998249054</v>
      </c>
    </row>
    <row r="157" spans="1:14" x14ac:dyDescent="0.25">
      <c r="A157">
        <v>18.816199999999998</v>
      </c>
      <c r="B157" s="1">
        <f>DATE(2010,5,19) + TIME(19,35,19)</f>
        <v>40317.816192129627</v>
      </c>
      <c r="C157">
        <v>2400</v>
      </c>
      <c r="D157">
        <v>0</v>
      </c>
      <c r="E157">
        <v>0</v>
      </c>
      <c r="F157">
        <v>2400</v>
      </c>
      <c r="G157">
        <v>1372.3919678</v>
      </c>
      <c r="H157">
        <v>1363.0235596</v>
      </c>
      <c r="I157">
        <v>1292.5870361</v>
      </c>
      <c r="J157">
        <v>1272.5379639</v>
      </c>
      <c r="K157">
        <v>80</v>
      </c>
      <c r="L157">
        <v>79.848426818999997</v>
      </c>
      <c r="M157">
        <v>50</v>
      </c>
      <c r="N157">
        <v>14.998260498</v>
      </c>
    </row>
    <row r="158" spans="1:14" x14ac:dyDescent="0.25">
      <c r="A158">
        <v>19.184139999999999</v>
      </c>
      <c r="B158" s="1">
        <f>DATE(2010,5,20) + TIME(4,25,9)</f>
        <v>40318.184131944443</v>
      </c>
      <c r="C158">
        <v>2400</v>
      </c>
      <c r="D158">
        <v>0</v>
      </c>
      <c r="E158">
        <v>0</v>
      </c>
      <c r="F158">
        <v>2400</v>
      </c>
      <c r="G158">
        <v>1372.3312988</v>
      </c>
      <c r="H158">
        <v>1362.9625243999999</v>
      </c>
      <c r="I158">
        <v>1292.5914307</v>
      </c>
      <c r="J158">
        <v>1272.5410156</v>
      </c>
      <c r="K158">
        <v>80</v>
      </c>
      <c r="L158">
        <v>79.848747252999999</v>
      </c>
      <c r="M158">
        <v>50</v>
      </c>
      <c r="N158">
        <v>14.998271942000001</v>
      </c>
    </row>
    <row r="159" spans="1:14" x14ac:dyDescent="0.25">
      <c r="A159">
        <v>19.560741</v>
      </c>
      <c r="B159" s="1">
        <f>DATE(2010,5,20) + TIME(13,27,28)</f>
        <v>40318.560740740744</v>
      </c>
      <c r="C159">
        <v>2400</v>
      </c>
      <c r="D159">
        <v>0</v>
      </c>
      <c r="E159">
        <v>0</v>
      </c>
      <c r="F159">
        <v>2400</v>
      </c>
      <c r="G159">
        <v>1372.2703856999999</v>
      </c>
      <c r="H159">
        <v>1362.9011230000001</v>
      </c>
      <c r="I159">
        <v>1292.5959473</v>
      </c>
      <c r="J159">
        <v>1272.5440673999999</v>
      </c>
      <c r="K159">
        <v>80</v>
      </c>
      <c r="L159">
        <v>79.849052428999997</v>
      </c>
      <c r="M159">
        <v>50</v>
      </c>
      <c r="N159">
        <v>14.998283386000001</v>
      </c>
    </row>
    <row r="160" spans="1:14" x14ac:dyDescent="0.25">
      <c r="A160">
        <v>19.945913999999998</v>
      </c>
      <c r="B160" s="1">
        <f>DATE(2010,5,20) + TIME(22,42,6)</f>
        <v>40318.945902777778</v>
      </c>
      <c r="C160">
        <v>2400</v>
      </c>
      <c r="D160">
        <v>0</v>
      </c>
      <c r="E160">
        <v>0</v>
      </c>
      <c r="F160">
        <v>2400</v>
      </c>
      <c r="G160">
        <v>1372.2092285000001</v>
      </c>
      <c r="H160">
        <v>1362.8395995999999</v>
      </c>
      <c r="I160">
        <v>1292.6005858999999</v>
      </c>
      <c r="J160">
        <v>1272.5473632999999</v>
      </c>
      <c r="K160">
        <v>80</v>
      </c>
      <c r="L160">
        <v>79.849334717000005</v>
      </c>
      <c r="M160">
        <v>50</v>
      </c>
      <c r="N160">
        <v>14.998294830000001</v>
      </c>
    </row>
    <row r="161" spans="1:14" x14ac:dyDescent="0.25">
      <c r="A161">
        <v>20.334589999999999</v>
      </c>
      <c r="B161" s="1">
        <f>DATE(2010,5,21) + TIME(8,1,48)</f>
        <v>40319.334583333337</v>
      </c>
      <c r="C161">
        <v>2400</v>
      </c>
      <c r="D161">
        <v>0</v>
      </c>
      <c r="E161">
        <v>0</v>
      </c>
      <c r="F161">
        <v>2400</v>
      </c>
      <c r="G161">
        <v>1372.1477050999999</v>
      </c>
      <c r="H161">
        <v>1362.7777100000001</v>
      </c>
      <c r="I161">
        <v>1292.6052245999999</v>
      </c>
      <c r="J161">
        <v>1272.5505370999999</v>
      </c>
      <c r="K161">
        <v>80</v>
      </c>
      <c r="L161">
        <v>79.849601746000005</v>
      </c>
      <c r="M161">
        <v>50</v>
      </c>
      <c r="N161">
        <v>14.998306274000001</v>
      </c>
    </row>
    <row r="162" spans="1:14" x14ac:dyDescent="0.25">
      <c r="A162">
        <v>20.724050999999999</v>
      </c>
      <c r="B162" s="1">
        <f>DATE(2010,5,21) + TIME(17,22,37)</f>
        <v>40319.724039351851</v>
      </c>
      <c r="C162">
        <v>2400</v>
      </c>
      <c r="D162">
        <v>0</v>
      </c>
      <c r="E162">
        <v>0</v>
      </c>
      <c r="F162">
        <v>2400</v>
      </c>
      <c r="G162">
        <v>1372.0867920000001</v>
      </c>
      <c r="H162">
        <v>1362.7165527</v>
      </c>
      <c r="I162">
        <v>1292.6099853999999</v>
      </c>
      <c r="J162">
        <v>1272.5538329999999</v>
      </c>
      <c r="K162">
        <v>80</v>
      </c>
      <c r="L162">
        <v>79.849853515999996</v>
      </c>
      <c r="M162">
        <v>50</v>
      </c>
      <c r="N162">
        <v>14.998317718999999</v>
      </c>
    </row>
    <row r="163" spans="1:14" x14ac:dyDescent="0.25">
      <c r="A163">
        <v>21.114943</v>
      </c>
      <c r="B163" s="1">
        <f>DATE(2010,5,22) + TIME(2,45,31)</f>
        <v>40320.114942129629</v>
      </c>
      <c r="C163">
        <v>2400</v>
      </c>
      <c r="D163">
        <v>0</v>
      </c>
      <c r="E163">
        <v>0</v>
      </c>
      <c r="F163">
        <v>2400</v>
      </c>
      <c r="G163">
        <v>1372.0267334</v>
      </c>
      <c r="H163">
        <v>1362.6563721</v>
      </c>
      <c r="I163">
        <v>1292.614624</v>
      </c>
      <c r="J163">
        <v>1272.5571289</v>
      </c>
      <c r="K163">
        <v>80</v>
      </c>
      <c r="L163">
        <v>79.850090026999993</v>
      </c>
      <c r="M163">
        <v>50</v>
      </c>
      <c r="N163">
        <v>14.998329162999999</v>
      </c>
    </row>
    <row r="164" spans="1:14" x14ac:dyDescent="0.25">
      <c r="A164">
        <v>21.507950999999998</v>
      </c>
      <c r="B164" s="1">
        <f>DATE(2010,5,22) + TIME(12,11,26)</f>
        <v>40320.507939814815</v>
      </c>
      <c r="C164">
        <v>2400</v>
      </c>
      <c r="D164">
        <v>0</v>
      </c>
      <c r="E164">
        <v>0</v>
      </c>
      <c r="F164">
        <v>2400</v>
      </c>
      <c r="G164">
        <v>1371.9675293</v>
      </c>
      <c r="H164">
        <v>1362.597168</v>
      </c>
      <c r="I164">
        <v>1292.6193848</v>
      </c>
      <c r="J164">
        <v>1272.5605469</v>
      </c>
      <c r="K164">
        <v>80</v>
      </c>
      <c r="L164">
        <v>79.850311278999996</v>
      </c>
      <c r="M164">
        <v>50</v>
      </c>
      <c r="N164">
        <v>14.998340606999999</v>
      </c>
    </row>
    <row r="165" spans="1:14" x14ac:dyDescent="0.25">
      <c r="A165">
        <v>21.903718000000001</v>
      </c>
      <c r="B165" s="1">
        <f>DATE(2010,5,22) + TIME(21,41,21)</f>
        <v>40320.903715277775</v>
      </c>
      <c r="C165">
        <v>2400</v>
      </c>
      <c r="D165">
        <v>0</v>
      </c>
      <c r="E165">
        <v>0</v>
      </c>
      <c r="F165">
        <v>2400</v>
      </c>
      <c r="G165">
        <v>1371.9090576000001</v>
      </c>
      <c r="H165">
        <v>1362.5386963000001</v>
      </c>
      <c r="I165">
        <v>1292.6241454999999</v>
      </c>
      <c r="J165">
        <v>1272.5638428</v>
      </c>
      <c r="K165">
        <v>80</v>
      </c>
      <c r="L165">
        <v>79.850517272999994</v>
      </c>
      <c r="M165">
        <v>50</v>
      </c>
      <c r="N165">
        <v>14.998352050999999</v>
      </c>
    </row>
    <row r="166" spans="1:14" x14ac:dyDescent="0.25">
      <c r="A166">
        <v>22.302890000000001</v>
      </c>
      <c r="B166" s="1">
        <f>DATE(2010,5,23) + TIME(7,16,9)</f>
        <v>40321.302881944444</v>
      </c>
      <c r="C166">
        <v>2400</v>
      </c>
      <c r="D166">
        <v>0</v>
      </c>
      <c r="E166">
        <v>0</v>
      </c>
      <c r="F166">
        <v>2400</v>
      </c>
      <c r="G166">
        <v>1371.8511963000001</v>
      </c>
      <c r="H166">
        <v>1362.480957</v>
      </c>
      <c r="I166">
        <v>1292.6289062000001</v>
      </c>
      <c r="J166">
        <v>1272.5672606999999</v>
      </c>
      <c r="K166">
        <v>80</v>
      </c>
      <c r="L166">
        <v>79.850715636999993</v>
      </c>
      <c r="M166">
        <v>50</v>
      </c>
      <c r="N166">
        <v>14.998362541000001</v>
      </c>
    </row>
    <row r="167" spans="1:14" x14ac:dyDescent="0.25">
      <c r="A167">
        <v>22.706119999999999</v>
      </c>
      <c r="B167" s="1">
        <f>DATE(2010,5,23) + TIME(16,56,48)</f>
        <v>40321.706111111111</v>
      </c>
      <c r="C167">
        <v>2400</v>
      </c>
      <c r="D167">
        <v>0</v>
      </c>
      <c r="E167">
        <v>0</v>
      </c>
      <c r="F167">
        <v>2400</v>
      </c>
      <c r="G167">
        <v>1371.7938231999999</v>
      </c>
      <c r="H167">
        <v>1362.4237060999999</v>
      </c>
      <c r="I167">
        <v>1292.6337891000001</v>
      </c>
      <c r="J167">
        <v>1272.5706786999999</v>
      </c>
      <c r="K167">
        <v>80</v>
      </c>
      <c r="L167">
        <v>79.850906371999997</v>
      </c>
      <c r="M167">
        <v>50</v>
      </c>
      <c r="N167">
        <v>14.998373985000001</v>
      </c>
    </row>
    <row r="168" spans="1:14" x14ac:dyDescent="0.25">
      <c r="A168">
        <v>23.114080999999999</v>
      </c>
      <c r="B168" s="1">
        <f>DATE(2010,5,24) + TIME(2,44,16)</f>
        <v>40322.114074074074</v>
      </c>
      <c r="C168">
        <v>2400</v>
      </c>
      <c r="D168">
        <v>0</v>
      </c>
      <c r="E168">
        <v>0</v>
      </c>
      <c r="F168">
        <v>2400</v>
      </c>
      <c r="G168">
        <v>1371.7368164</v>
      </c>
      <c r="H168">
        <v>1362.3668213000001</v>
      </c>
      <c r="I168">
        <v>1292.6385498</v>
      </c>
      <c r="J168">
        <v>1272.5740966999999</v>
      </c>
      <c r="K168">
        <v>80</v>
      </c>
      <c r="L168">
        <v>79.851081848000007</v>
      </c>
      <c r="M168">
        <v>50</v>
      </c>
      <c r="N168">
        <v>14.998384476</v>
      </c>
    </row>
    <row r="169" spans="1:14" x14ac:dyDescent="0.25">
      <c r="A169">
        <v>23.525846000000001</v>
      </c>
      <c r="B169" s="1">
        <f>DATE(2010,5,24) + TIME(12,37,13)</f>
        <v>40322.52584490741</v>
      </c>
      <c r="C169">
        <v>2400</v>
      </c>
      <c r="D169">
        <v>0</v>
      </c>
      <c r="E169">
        <v>0</v>
      </c>
      <c r="F169">
        <v>2400</v>
      </c>
      <c r="G169">
        <v>1371.6801757999999</v>
      </c>
      <c r="H169">
        <v>1362.3104248</v>
      </c>
      <c r="I169">
        <v>1292.6435547000001</v>
      </c>
      <c r="J169">
        <v>1272.5776367000001</v>
      </c>
      <c r="K169">
        <v>80</v>
      </c>
      <c r="L169">
        <v>79.851257324000002</v>
      </c>
      <c r="M169">
        <v>50</v>
      </c>
      <c r="N169">
        <v>14.99839592</v>
      </c>
    </row>
    <row r="170" spans="1:14" x14ac:dyDescent="0.25">
      <c r="A170">
        <v>23.941244000000001</v>
      </c>
      <c r="B170" s="1">
        <f>DATE(2010,5,24) + TIME(22,35,23)</f>
        <v>40322.941238425927</v>
      </c>
      <c r="C170">
        <v>2400</v>
      </c>
      <c r="D170">
        <v>0</v>
      </c>
      <c r="E170">
        <v>0</v>
      </c>
      <c r="F170">
        <v>2400</v>
      </c>
      <c r="G170">
        <v>1371.6237793</v>
      </c>
      <c r="H170">
        <v>1362.2545166</v>
      </c>
      <c r="I170">
        <v>1292.6485596</v>
      </c>
      <c r="J170">
        <v>1272.5811768000001</v>
      </c>
      <c r="K170">
        <v>80</v>
      </c>
      <c r="L170">
        <v>79.851425171000002</v>
      </c>
      <c r="M170">
        <v>50</v>
      </c>
      <c r="N170">
        <v>14.998406409999999</v>
      </c>
    </row>
    <row r="171" spans="1:14" x14ac:dyDescent="0.25">
      <c r="A171">
        <v>24.360899</v>
      </c>
      <c r="B171" s="1">
        <f>DATE(2010,5,25) + TIME(8,39,41)</f>
        <v>40323.360891203702</v>
      </c>
      <c r="C171">
        <v>2400</v>
      </c>
      <c r="D171">
        <v>0</v>
      </c>
      <c r="E171">
        <v>0</v>
      </c>
      <c r="F171">
        <v>2400</v>
      </c>
      <c r="G171">
        <v>1371.5679932</v>
      </c>
      <c r="H171">
        <v>1362.1989745999999</v>
      </c>
      <c r="I171">
        <v>1292.6535644999999</v>
      </c>
      <c r="J171">
        <v>1272.5847168</v>
      </c>
      <c r="K171">
        <v>80</v>
      </c>
      <c r="L171">
        <v>79.851585388000004</v>
      </c>
      <c r="M171">
        <v>50</v>
      </c>
      <c r="N171">
        <v>14.998417853999999</v>
      </c>
    </row>
    <row r="172" spans="1:14" x14ac:dyDescent="0.25">
      <c r="A172">
        <v>24.785447000000001</v>
      </c>
      <c r="B172" s="1">
        <f>DATE(2010,5,25) + TIME(18,51,2)</f>
        <v>40323.785439814812</v>
      </c>
      <c r="C172">
        <v>2400</v>
      </c>
      <c r="D172">
        <v>0</v>
      </c>
      <c r="E172">
        <v>0</v>
      </c>
      <c r="F172">
        <v>2400</v>
      </c>
      <c r="G172">
        <v>1371.5124512</v>
      </c>
      <c r="H172">
        <v>1362.1439209</v>
      </c>
      <c r="I172">
        <v>1292.6585693</v>
      </c>
      <c r="J172">
        <v>1272.5882568</v>
      </c>
      <c r="K172">
        <v>80</v>
      </c>
      <c r="L172">
        <v>79.851737975999995</v>
      </c>
      <c r="M172">
        <v>50</v>
      </c>
      <c r="N172">
        <v>14.998428345000001</v>
      </c>
    </row>
    <row r="173" spans="1:14" x14ac:dyDescent="0.25">
      <c r="A173">
        <v>25.215548999999999</v>
      </c>
      <c r="B173" s="1">
        <f>DATE(2010,5,26) + TIME(5,10,23)</f>
        <v>40324.215543981481</v>
      </c>
      <c r="C173">
        <v>2400</v>
      </c>
      <c r="D173">
        <v>0</v>
      </c>
      <c r="E173">
        <v>0</v>
      </c>
      <c r="F173">
        <v>2400</v>
      </c>
      <c r="G173">
        <v>1371.4571533000001</v>
      </c>
      <c r="H173">
        <v>1362.0892334</v>
      </c>
      <c r="I173">
        <v>1292.6636963000001</v>
      </c>
      <c r="J173">
        <v>1272.5919189000001</v>
      </c>
      <c r="K173">
        <v>80</v>
      </c>
      <c r="L173">
        <v>79.851890564000001</v>
      </c>
      <c r="M173">
        <v>50</v>
      </c>
      <c r="N173">
        <v>14.998438835</v>
      </c>
    </row>
    <row r="174" spans="1:14" x14ac:dyDescent="0.25">
      <c r="A174">
        <v>25.651937</v>
      </c>
      <c r="B174" s="1">
        <f>DATE(2010,5,26) + TIME(15,38,47)</f>
        <v>40324.651932870373</v>
      </c>
      <c r="C174">
        <v>2400</v>
      </c>
      <c r="D174">
        <v>0</v>
      </c>
      <c r="E174">
        <v>0</v>
      </c>
      <c r="F174">
        <v>2400</v>
      </c>
      <c r="G174">
        <v>1371.4020995999999</v>
      </c>
      <c r="H174">
        <v>1362.034668</v>
      </c>
      <c r="I174">
        <v>1292.6689452999999</v>
      </c>
      <c r="J174">
        <v>1272.5957031</v>
      </c>
      <c r="K174">
        <v>80</v>
      </c>
      <c r="L174">
        <v>79.852035521999994</v>
      </c>
      <c r="M174">
        <v>50</v>
      </c>
      <c r="N174">
        <v>14.998449325999999</v>
      </c>
    </row>
    <row r="175" spans="1:14" x14ac:dyDescent="0.25">
      <c r="A175">
        <v>26.095464</v>
      </c>
      <c r="B175" s="1">
        <f>DATE(2010,5,27) + TIME(2,17,28)</f>
        <v>40325.095462962963</v>
      </c>
      <c r="C175">
        <v>2400</v>
      </c>
      <c r="D175">
        <v>0</v>
      </c>
      <c r="E175">
        <v>0</v>
      </c>
      <c r="F175">
        <v>2400</v>
      </c>
      <c r="G175">
        <v>1371.347168</v>
      </c>
      <c r="H175">
        <v>1361.9803466999999</v>
      </c>
      <c r="I175">
        <v>1292.6741943</v>
      </c>
      <c r="J175">
        <v>1272.5994873</v>
      </c>
      <c r="K175">
        <v>80</v>
      </c>
      <c r="L175">
        <v>79.852180481000005</v>
      </c>
      <c r="M175">
        <v>50</v>
      </c>
      <c r="N175">
        <v>14.998460769999999</v>
      </c>
    </row>
    <row r="176" spans="1:14" x14ac:dyDescent="0.25">
      <c r="A176">
        <v>26.546761</v>
      </c>
      <c r="B176" s="1">
        <f>DATE(2010,5,27) + TIME(13,7,20)</f>
        <v>40325.546759259261</v>
      </c>
      <c r="C176">
        <v>2400</v>
      </c>
      <c r="D176">
        <v>0</v>
      </c>
      <c r="E176">
        <v>0</v>
      </c>
      <c r="F176">
        <v>2400</v>
      </c>
      <c r="G176">
        <v>1371.2921143000001</v>
      </c>
      <c r="H176">
        <v>1361.9261475000001</v>
      </c>
      <c r="I176">
        <v>1292.6795654</v>
      </c>
      <c r="J176">
        <v>1272.6032714999999</v>
      </c>
      <c r="K176">
        <v>80</v>
      </c>
      <c r="L176">
        <v>79.852325438999998</v>
      </c>
      <c r="M176">
        <v>50</v>
      </c>
      <c r="N176">
        <v>14.998471260000001</v>
      </c>
    </row>
    <row r="177" spans="1:14" x14ac:dyDescent="0.25">
      <c r="A177">
        <v>27.006639</v>
      </c>
      <c r="B177" s="1">
        <f>DATE(2010,5,28) + TIME(0,9,33)</f>
        <v>40326.006631944445</v>
      </c>
      <c r="C177">
        <v>2400</v>
      </c>
      <c r="D177">
        <v>0</v>
      </c>
      <c r="E177">
        <v>0</v>
      </c>
      <c r="F177">
        <v>2400</v>
      </c>
      <c r="G177">
        <v>1371.2370605000001</v>
      </c>
      <c r="H177">
        <v>1361.8718262</v>
      </c>
      <c r="I177">
        <v>1292.6850586</v>
      </c>
      <c r="J177">
        <v>1272.6071777</v>
      </c>
      <c r="K177">
        <v>80</v>
      </c>
      <c r="L177">
        <v>79.852462768999999</v>
      </c>
      <c r="M177">
        <v>50</v>
      </c>
      <c r="N177">
        <v>14.99848175</v>
      </c>
    </row>
    <row r="178" spans="1:14" x14ac:dyDescent="0.25">
      <c r="A178">
        <v>27.475950999999998</v>
      </c>
      <c r="B178" s="1">
        <f>DATE(2010,5,28) + TIME(11,25,22)</f>
        <v>40326.475949074076</v>
      </c>
      <c r="C178">
        <v>2400</v>
      </c>
      <c r="D178">
        <v>0</v>
      </c>
      <c r="E178">
        <v>0</v>
      </c>
      <c r="F178">
        <v>2400</v>
      </c>
      <c r="G178">
        <v>1371.1818848</v>
      </c>
      <c r="H178">
        <v>1361.8175048999999</v>
      </c>
      <c r="I178">
        <v>1292.6906738</v>
      </c>
      <c r="J178">
        <v>1272.6112060999999</v>
      </c>
      <c r="K178">
        <v>80</v>
      </c>
      <c r="L178">
        <v>79.852600097999996</v>
      </c>
      <c r="M178">
        <v>50</v>
      </c>
      <c r="N178">
        <v>14.998493195</v>
      </c>
    </row>
    <row r="179" spans="1:14" x14ac:dyDescent="0.25">
      <c r="A179">
        <v>27.95551</v>
      </c>
      <c r="B179" s="1">
        <f>DATE(2010,5,28) + TIME(22,55,56)</f>
        <v>40326.955509259256</v>
      </c>
      <c r="C179">
        <v>2400</v>
      </c>
      <c r="D179">
        <v>0</v>
      </c>
      <c r="E179">
        <v>0</v>
      </c>
      <c r="F179">
        <v>2400</v>
      </c>
      <c r="G179">
        <v>1371.1264647999999</v>
      </c>
      <c r="H179">
        <v>1361.7629394999999</v>
      </c>
      <c r="I179">
        <v>1292.6962891000001</v>
      </c>
      <c r="J179">
        <v>1272.6152344</v>
      </c>
      <c r="K179">
        <v>80</v>
      </c>
      <c r="L179">
        <v>79.852745056000003</v>
      </c>
      <c r="M179">
        <v>50</v>
      </c>
      <c r="N179">
        <v>14.998503684999999</v>
      </c>
    </row>
    <row r="180" spans="1:14" x14ac:dyDescent="0.25">
      <c r="A180">
        <v>28.444521000000002</v>
      </c>
      <c r="B180" s="1">
        <f>DATE(2010,5,29) + TIME(10,40,6)</f>
        <v>40327.444513888891</v>
      </c>
      <c r="C180">
        <v>2400</v>
      </c>
      <c r="D180">
        <v>0</v>
      </c>
      <c r="E180">
        <v>0</v>
      </c>
      <c r="F180">
        <v>2400</v>
      </c>
      <c r="G180">
        <v>1371.0706786999999</v>
      </c>
      <c r="H180">
        <v>1361.7081298999999</v>
      </c>
      <c r="I180">
        <v>1292.7021483999999</v>
      </c>
      <c r="J180">
        <v>1272.6195068</v>
      </c>
      <c r="K180">
        <v>80</v>
      </c>
      <c r="L180">
        <v>79.852874756000006</v>
      </c>
      <c r="M180">
        <v>50</v>
      </c>
      <c r="N180">
        <v>14.998515128999999</v>
      </c>
    </row>
    <row r="181" spans="1:14" x14ac:dyDescent="0.25">
      <c r="A181">
        <v>28.941837</v>
      </c>
      <c r="B181" s="1">
        <f>DATE(2010,5,29) + TIME(22,36,14)</f>
        <v>40327.941828703704</v>
      </c>
      <c r="C181">
        <v>2400</v>
      </c>
      <c r="D181">
        <v>0</v>
      </c>
      <c r="E181">
        <v>0</v>
      </c>
      <c r="F181">
        <v>2400</v>
      </c>
      <c r="G181">
        <v>1371.0147704999999</v>
      </c>
      <c r="H181">
        <v>1361.6533202999999</v>
      </c>
      <c r="I181">
        <v>1292.7080077999999</v>
      </c>
      <c r="J181">
        <v>1272.6236572</v>
      </c>
      <c r="K181">
        <v>80</v>
      </c>
      <c r="L181">
        <v>79.853012085000003</v>
      </c>
      <c r="M181">
        <v>50</v>
      </c>
      <c r="N181">
        <v>14.998525620000001</v>
      </c>
    </row>
    <row r="182" spans="1:14" x14ac:dyDescent="0.25">
      <c r="A182">
        <v>29.44022</v>
      </c>
      <c r="B182" s="1">
        <f>DATE(2010,5,30) + TIME(10,33,55)</f>
        <v>40328.44021990741</v>
      </c>
      <c r="C182">
        <v>2400</v>
      </c>
      <c r="D182">
        <v>0</v>
      </c>
      <c r="E182">
        <v>0</v>
      </c>
      <c r="F182">
        <v>2400</v>
      </c>
      <c r="G182">
        <v>1370.9588623</v>
      </c>
      <c r="H182">
        <v>1361.5983887</v>
      </c>
      <c r="I182">
        <v>1292.7141113</v>
      </c>
      <c r="J182">
        <v>1272.6280518000001</v>
      </c>
      <c r="K182">
        <v>80</v>
      </c>
      <c r="L182">
        <v>79.853141785000005</v>
      </c>
      <c r="M182">
        <v>50</v>
      </c>
      <c r="N182">
        <v>14.998537064000001</v>
      </c>
    </row>
    <row r="183" spans="1:14" x14ac:dyDescent="0.25">
      <c r="A183">
        <v>29.940643999999999</v>
      </c>
      <c r="B183" s="1">
        <f>DATE(2010,5,30) + TIME(22,34,31)</f>
        <v>40328.940636574072</v>
      </c>
      <c r="C183">
        <v>2400</v>
      </c>
      <c r="D183">
        <v>0</v>
      </c>
      <c r="E183">
        <v>0</v>
      </c>
      <c r="F183">
        <v>2400</v>
      </c>
      <c r="G183">
        <v>1370.9035644999999</v>
      </c>
      <c r="H183">
        <v>1361.5444336</v>
      </c>
      <c r="I183">
        <v>1292.7200928</v>
      </c>
      <c r="J183">
        <v>1272.6323242000001</v>
      </c>
      <c r="K183">
        <v>80</v>
      </c>
      <c r="L183">
        <v>79.853279114000003</v>
      </c>
      <c r="M183">
        <v>50</v>
      </c>
      <c r="N183">
        <v>14.998547554</v>
      </c>
    </row>
    <row r="184" spans="1:14" x14ac:dyDescent="0.25">
      <c r="A184">
        <v>30.443968000000002</v>
      </c>
      <c r="B184" s="1">
        <f>DATE(2010,5,31) + TIME(10,39,18)</f>
        <v>40329.443958333337</v>
      </c>
      <c r="C184">
        <v>2400</v>
      </c>
      <c r="D184">
        <v>0</v>
      </c>
      <c r="E184">
        <v>0</v>
      </c>
      <c r="F184">
        <v>2400</v>
      </c>
      <c r="G184">
        <v>1370.848999</v>
      </c>
      <c r="H184">
        <v>1361.4910889</v>
      </c>
      <c r="I184">
        <v>1292.7261963000001</v>
      </c>
      <c r="J184">
        <v>1272.6367187999999</v>
      </c>
      <c r="K184">
        <v>80</v>
      </c>
      <c r="L184">
        <v>79.853401184000006</v>
      </c>
      <c r="M184">
        <v>50</v>
      </c>
      <c r="N184">
        <v>14.998558043999999</v>
      </c>
    </row>
    <row r="185" spans="1:14" x14ac:dyDescent="0.25">
      <c r="A185">
        <v>30.951046999999999</v>
      </c>
      <c r="B185" s="1">
        <f>DATE(2010,5,31) + TIME(22,49,30)</f>
        <v>40329.951041666667</v>
      </c>
      <c r="C185">
        <v>2400</v>
      </c>
      <c r="D185">
        <v>0</v>
      </c>
      <c r="E185">
        <v>0</v>
      </c>
      <c r="F185">
        <v>2400</v>
      </c>
      <c r="G185">
        <v>1370.7950439000001</v>
      </c>
      <c r="H185">
        <v>1361.4382324000001</v>
      </c>
      <c r="I185">
        <v>1292.7322998</v>
      </c>
      <c r="J185">
        <v>1272.6411132999999</v>
      </c>
      <c r="K185">
        <v>80</v>
      </c>
      <c r="L185">
        <v>79.853530883999994</v>
      </c>
      <c r="M185">
        <v>50</v>
      </c>
      <c r="N185">
        <v>14.998569488999999</v>
      </c>
    </row>
    <row r="186" spans="1:14" x14ac:dyDescent="0.25">
      <c r="A186">
        <v>31</v>
      </c>
      <c r="B186" s="1">
        <f>DATE(2010,6,1) + TIME(0,0,0)</f>
        <v>40330</v>
      </c>
      <c r="C186">
        <v>2400</v>
      </c>
      <c r="D186">
        <v>0</v>
      </c>
      <c r="E186">
        <v>0</v>
      </c>
      <c r="F186">
        <v>2400</v>
      </c>
      <c r="G186">
        <v>1370.7425536999999</v>
      </c>
      <c r="H186">
        <v>1361.3867187999999</v>
      </c>
      <c r="I186">
        <v>1292.7373047000001</v>
      </c>
      <c r="J186">
        <v>1272.6446533000001</v>
      </c>
      <c r="K186">
        <v>80</v>
      </c>
      <c r="L186">
        <v>79.853538513000004</v>
      </c>
      <c r="M186">
        <v>50</v>
      </c>
      <c r="N186">
        <v>14.998570442</v>
      </c>
    </row>
    <row r="187" spans="1:14" x14ac:dyDescent="0.25">
      <c r="A187">
        <v>31.511697000000002</v>
      </c>
      <c r="B187" s="1">
        <f>DATE(2010,6,1) + TIME(12,16,50)</f>
        <v>40330.511689814812</v>
      </c>
      <c r="C187">
        <v>2400</v>
      </c>
      <c r="D187">
        <v>0</v>
      </c>
      <c r="E187">
        <v>0</v>
      </c>
      <c r="F187">
        <v>2400</v>
      </c>
      <c r="G187">
        <v>1370.7360839999999</v>
      </c>
      <c r="H187">
        <v>1361.3808594</v>
      </c>
      <c r="I187">
        <v>1292.7391356999999</v>
      </c>
      <c r="J187">
        <v>1272.6461182</v>
      </c>
      <c r="K187">
        <v>80</v>
      </c>
      <c r="L187">
        <v>79.853668213000006</v>
      </c>
      <c r="M187">
        <v>50</v>
      </c>
      <c r="N187">
        <v>14.998580933</v>
      </c>
    </row>
    <row r="188" spans="1:14" x14ac:dyDescent="0.25">
      <c r="A188">
        <v>32.026172000000003</v>
      </c>
      <c r="B188" s="1">
        <f>DATE(2010,6,2) + TIME(0,37,41)</f>
        <v>40331.02616898148</v>
      </c>
      <c r="C188">
        <v>2400</v>
      </c>
      <c r="D188">
        <v>0</v>
      </c>
      <c r="E188">
        <v>0</v>
      </c>
      <c r="F188">
        <v>2400</v>
      </c>
      <c r="G188">
        <v>1370.6832274999999</v>
      </c>
      <c r="H188">
        <v>1361.3292236</v>
      </c>
      <c r="I188">
        <v>1292.7453613</v>
      </c>
      <c r="J188">
        <v>1272.6505127</v>
      </c>
      <c r="K188">
        <v>80</v>
      </c>
      <c r="L188">
        <v>79.853790282999995</v>
      </c>
      <c r="M188">
        <v>50</v>
      </c>
      <c r="N188">
        <v>14.998591423000001</v>
      </c>
    </row>
    <row r="189" spans="1:14" x14ac:dyDescent="0.25">
      <c r="A189">
        <v>32.543360999999997</v>
      </c>
      <c r="B189" s="1">
        <f>DATE(2010,6,2) + TIME(13,2,26)</f>
        <v>40331.543356481481</v>
      </c>
      <c r="C189">
        <v>2400</v>
      </c>
      <c r="D189">
        <v>0</v>
      </c>
      <c r="E189">
        <v>0</v>
      </c>
      <c r="F189">
        <v>2400</v>
      </c>
      <c r="G189">
        <v>1370.6304932</v>
      </c>
      <c r="H189">
        <v>1361.2779541</v>
      </c>
      <c r="I189">
        <v>1292.7515868999999</v>
      </c>
      <c r="J189">
        <v>1272.6550293</v>
      </c>
      <c r="K189">
        <v>80</v>
      </c>
      <c r="L189">
        <v>79.853912354000002</v>
      </c>
      <c r="M189">
        <v>50</v>
      </c>
      <c r="N189">
        <v>14.998601913</v>
      </c>
    </row>
    <row r="190" spans="1:14" x14ac:dyDescent="0.25">
      <c r="A190">
        <v>33.064042999999998</v>
      </c>
      <c r="B190" s="1">
        <f>DATE(2010,6,3) + TIME(1,32,13)</f>
        <v>40332.064039351855</v>
      </c>
      <c r="C190">
        <v>2400</v>
      </c>
      <c r="D190">
        <v>0</v>
      </c>
      <c r="E190">
        <v>0</v>
      </c>
      <c r="F190">
        <v>2400</v>
      </c>
      <c r="G190">
        <v>1370.5783690999999</v>
      </c>
      <c r="H190">
        <v>1361.2272949000001</v>
      </c>
      <c r="I190">
        <v>1292.7579346</v>
      </c>
      <c r="J190">
        <v>1272.659668</v>
      </c>
      <c r="K190">
        <v>80</v>
      </c>
      <c r="L190">
        <v>79.854042053000001</v>
      </c>
      <c r="M190">
        <v>50</v>
      </c>
      <c r="N190">
        <v>14.998612403999999</v>
      </c>
    </row>
    <row r="191" spans="1:14" x14ac:dyDescent="0.25">
      <c r="A191">
        <v>33.588997999999997</v>
      </c>
      <c r="B191" s="1">
        <f>DATE(2010,6,3) + TIME(14,8,9)</f>
        <v>40332.588993055557</v>
      </c>
      <c r="C191">
        <v>2400</v>
      </c>
      <c r="D191">
        <v>0</v>
      </c>
      <c r="E191">
        <v>0</v>
      </c>
      <c r="F191">
        <v>2400</v>
      </c>
      <c r="G191">
        <v>1370.5267334</v>
      </c>
      <c r="H191">
        <v>1361.177124</v>
      </c>
      <c r="I191">
        <v>1292.7642822</v>
      </c>
      <c r="J191">
        <v>1272.6641846</v>
      </c>
      <c r="K191">
        <v>80</v>
      </c>
      <c r="L191">
        <v>79.854164123999993</v>
      </c>
      <c r="M191">
        <v>50</v>
      </c>
      <c r="N191">
        <v>14.998622894</v>
      </c>
    </row>
    <row r="192" spans="1:14" x14ac:dyDescent="0.25">
      <c r="A192">
        <v>34.119022999999999</v>
      </c>
      <c r="B192" s="1">
        <f>DATE(2010,6,4) + TIME(2,51,23)</f>
        <v>40333.119016203702</v>
      </c>
      <c r="C192">
        <v>2400</v>
      </c>
      <c r="D192">
        <v>0</v>
      </c>
      <c r="E192">
        <v>0</v>
      </c>
      <c r="F192">
        <v>2400</v>
      </c>
      <c r="G192">
        <v>1370.4753418</v>
      </c>
      <c r="H192">
        <v>1361.1271973</v>
      </c>
      <c r="I192">
        <v>1292.7707519999999</v>
      </c>
      <c r="J192">
        <v>1272.6689452999999</v>
      </c>
      <c r="K192">
        <v>80</v>
      </c>
      <c r="L192">
        <v>79.854286193999997</v>
      </c>
      <c r="M192">
        <v>50</v>
      </c>
      <c r="N192">
        <v>14.998633385</v>
      </c>
    </row>
    <row r="193" spans="1:14" x14ac:dyDescent="0.25">
      <c r="A193">
        <v>34.654935999999999</v>
      </c>
      <c r="B193" s="1">
        <f>DATE(2010,6,4) + TIME(15,43,6)</f>
        <v>40333.654930555553</v>
      </c>
      <c r="C193">
        <v>2400</v>
      </c>
      <c r="D193">
        <v>0</v>
      </c>
      <c r="E193">
        <v>0</v>
      </c>
      <c r="F193">
        <v>2400</v>
      </c>
      <c r="G193">
        <v>1370.4243164</v>
      </c>
      <c r="H193">
        <v>1361.0777588000001</v>
      </c>
      <c r="I193">
        <v>1292.7772216999999</v>
      </c>
      <c r="J193">
        <v>1272.6735839999999</v>
      </c>
      <c r="K193">
        <v>80</v>
      </c>
      <c r="L193">
        <v>79.854408264</v>
      </c>
      <c r="M193">
        <v>50</v>
      </c>
      <c r="N193">
        <v>14.998642921</v>
      </c>
    </row>
    <row r="194" spans="1:14" x14ac:dyDescent="0.25">
      <c r="A194">
        <v>35.197589999999998</v>
      </c>
      <c r="B194" s="1">
        <f>DATE(2010,6,5) + TIME(4,44,31)</f>
        <v>40334.197581018518</v>
      </c>
      <c r="C194">
        <v>2400</v>
      </c>
      <c r="D194">
        <v>0</v>
      </c>
      <c r="E194">
        <v>0</v>
      </c>
      <c r="F194">
        <v>2400</v>
      </c>
      <c r="G194">
        <v>1370.3734131000001</v>
      </c>
      <c r="H194">
        <v>1361.0284423999999</v>
      </c>
      <c r="I194">
        <v>1292.7838135</v>
      </c>
      <c r="J194">
        <v>1272.6783447</v>
      </c>
      <c r="K194">
        <v>80</v>
      </c>
      <c r="L194">
        <v>79.854530334000003</v>
      </c>
      <c r="M194">
        <v>50</v>
      </c>
      <c r="N194">
        <v>14.998653411999999</v>
      </c>
    </row>
    <row r="195" spans="1:14" x14ac:dyDescent="0.25">
      <c r="A195">
        <v>35.748035000000002</v>
      </c>
      <c r="B195" s="1">
        <f>DATE(2010,6,5) + TIME(17,57,10)</f>
        <v>40334.748032407406</v>
      </c>
      <c r="C195">
        <v>2400</v>
      </c>
      <c r="D195">
        <v>0</v>
      </c>
      <c r="E195">
        <v>0</v>
      </c>
      <c r="F195">
        <v>2400</v>
      </c>
      <c r="G195">
        <v>1370.3226318</v>
      </c>
      <c r="H195">
        <v>1360.9793701000001</v>
      </c>
      <c r="I195">
        <v>1292.7905272999999</v>
      </c>
      <c r="J195">
        <v>1272.6832274999999</v>
      </c>
      <c r="K195">
        <v>80</v>
      </c>
      <c r="L195">
        <v>79.854652404999996</v>
      </c>
      <c r="M195">
        <v>50</v>
      </c>
      <c r="N195">
        <v>14.998663902000001</v>
      </c>
    </row>
    <row r="196" spans="1:14" x14ac:dyDescent="0.25">
      <c r="A196">
        <v>36.307149000000003</v>
      </c>
      <c r="B196" s="1">
        <f>DATE(2010,6,6) + TIME(7,22,17)</f>
        <v>40335.307141203702</v>
      </c>
      <c r="C196">
        <v>2400</v>
      </c>
      <c r="D196">
        <v>0</v>
      </c>
      <c r="E196">
        <v>0</v>
      </c>
      <c r="F196">
        <v>2400</v>
      </c>
      <c r="G196">
        <v>1370.2718506000001</v>
      </c>
      <c r="H196">
        <v>1360.9302978999999</v>
      </c>
      <c r="I196">
        <v>1292.7973632999999</v>
      </c>
      <c r="J196">
        <v>1272.6882324000001</v>
      </c>
      <c r="K196">
        <v>80</v>
      </c>
      <c r="L196">
        <v>79.854774474999999</v>
      </c>
      <c r="M196">
        <v>50</v>
      </c>
      <c r="N196">
        <v>14.998674393</v>
      </c>
    </row>
    <row r="197" spans="1:14" x14ac:dyDescent="0.25">
      <c r="A197">
        <v>36.875852000000002</v>
      </c>
      <c r="B197" s="1">
        <f>DATE(2010,6,6) + TIME(21,1,13)</f>
        <v>40335.875844907408</v>
      </c>
      <c r="C197">
        <v>2400</v>
      </c>
      <c r="D197">
        <v>0</v>
      </c>
      <c r="E197">
        <v>0</v>
      </c>
      <c r="F197">
        <v>2400</v>
      </c>
      <c r="G197">
        <v>1370.2210693</v>
      </c>
      <c r="H197">
        <v>1360.8812256000001</v>
      </c>
      <c r="I197">
        <v>1292.8043213000001</v>
      </c>
      <c r="J197">
        <v>1272.6932373</v>
      </c>
      <c r="K197">
        <v>80</v>
      </c>
      <c r="L197">
        <v>79.854896545000003</v>
      </c>
      <c r="M197">
        <v>50</v>
      </c>
      <c r="N197">
        <v>14.998684882999999</v>
      </c>
    </row>
    <row r="198" spans="1:14" x14ac:dyDescent="0.25">
      <c r="A198">
        <v>37.455125000000002</v>
      </c>
      <c r="B198" s="1">
        <f>DATE(2010,6,7) + TIME(10,55,22)</f>
        <v>40336.45511574074</v>
      </c>
      <c r="C198">
        <v>2400</v>
      </c>
      <c r="D198">
        <v>0</v>
      </c>
      <c r="E198">
        <v>0</v>
      </c>
      <c r="F198">
        <v>2400</v>
      </c>
      <c r="G198">
        <v>1370.1701660000001</v>
      </c>
      <c r="H198">
        <v>1360.8321533000001</v>
      </c>
      <c r="I198">
        <v>1292.8114014</v>
      </c>
      <c r="J198">
        <v>1272.6983643000001</v>
      </c>
      <c r="K198">
        <v>80</v>
      </c>
      <c r="L198">
        <v>79.855026245000005</v>
      </c>
      <c r="M198">
        <v>50</v>
      </c>
      <c r="N198">
        <v>14.99869442</v>
      </c>
    </row>
    <row r="199" spans="1:14" x14ac:dyDescent="0.25">
      <c r="A199">
        <v>38.046111000000003</v>
      </c>
      <c r="B199" s="1">
        <f>DATE(2010,6,8) + TIME(1,6,23)</f>
        <v>40337.046099537038</v>
      </c>
      <c r="C199">
        <v>2400</v>
      </c>
      <c r="D199">
        <v>0</v>
      </c>
      <c r="E199">
        <v>0</v>
      </c>
      <c r="F199">
        <v>2400</v>
      </c>
      <c r="G199">
        <v>1370.1190185999999</v>
      </c>
      <c r="H199">
        <v>1360.7829589999999</v>
      </c>
      <c r="I199">
        <v>1292.8186035000001</v>
      </c>
      <c r="J199">
        <v>1272.7036132999999</v>
      </c>
      <c r="K199">
        <v>80</v>
      </c>
      <c r="L199">
        <v>79.855155945000007</v>
      </c>
      <c r="M199">
        <v>50</v>
      </c>
      <c r="N199">
        <v>14.998704910000001</v>
      </c>
    </row>
    <row r="200" spans="1:14" x14ac:dyDescent="0.25">
      <c r="A200">
        <v>38.647829999999999</v>
      </c>
      <c r="B200" s="1">
        <f>DATE(2010,6,8) + TIME(15,32,52)</f>
        <v>40337.647824074076</v>
      </c>
      <c r="C200">
        <v>2400</v>
      </c>
      <c r="D200">
        <v>0</v>
      </c>
      <c r="E200">
        <v>0</v>
      </c>
      <c r="F200">
        <v>2400</v>
      </c>
      <c r="G200">
        <v>1370.0676269999999</v>
      </c>
      <c r="H200">
        <v>1360.7335204999999</v>
      </c>
      <c r="I200">
        <v>1292.8260498</v>
      </c>
      <c r="J200">
        <v>1272.7089844</v>
      </c>
      <c r="K200">
        <v>80</v>
      </c>
      <c r="L200">
        <v>79.855285644999995</v>
      </c>
      <c r="M200">
        <v>50</v>
      </c>
      <c r="N200">
        <v>14.998715401</v>
      </c>
    </row>
    <row r="201" spans="1:14" x14ac:dyDescent="0.25">
      <c r="A201">
        <v>39.260736000000001</v>
      </c>
      <c r="B201" s="1">
        <f>DATE(2010,6,9) + TIME(6,15,27)</f>
        <v>40338.260729166665</v>
      </c>
      <c r="C201">
        <v>2400</v>
      </c>
      <c r="D201">
        <v>0</v>
      </c>
      <c r="E201">
        <v>0</v>
      </c>
      <c r="F201">
        <v>2400</v>
      </c>
      <c r="G201">
        <v>1370.0161132999999</v>
      </c>
      <c r="H201">
        <v>1360.6839600000001</v>
      </c>
      <c r="I201">
        <v>1292.8336182</v>
      </c>
      <c r="J201">
        <v>1272.7143555</v>
      </c>
      <c r="K201">
        <v>80</v>
      </c>
      <c r="L201">
        <v>79.855415343999994</v>
      </c>
      <c r="M201">
        <v>50</v>
      </c>
      <c r="N201">
        <v>14.998726845</v>
      </c>
    </row>
    <row r="202" spans="1:14" x14ac:dyDescent="0.25">
      <c r="A202">
        <v>39.879438</v>
      </c>
      <c r="B202" s="1">
        <f>DATE(2010,6,9) + TIME(21,6,23)</f>
        <v>40338.879432870373</v>
      </c>
      <c r="C202">
        <v>2400</v>
      </c>
      <c r="D202">
        <v>0</v>
      </c>
      <c r="E202">
        <v>0</v>
      </c>
      <c r="F202">
        <v>2400</v>
      </c>
      <c r="G202">
        <v>1369.9643555</v>
      </c>
      <c r="H202">
        <v>1360.6342772999999</v>
      </c>
      <c r="I202">
        <v>1292.8413086</v>
      </c>
      <c r="J202">
        <v>1272.7199707</v>
      </c>
      <c r="K202">
        <v>80</v>
      </c>
      <c r="L202">
        <v>79.855545043999996</v>
      </c>
      <c r="M202">
        <v>50</v>
      </c>
      <c r="N202">
        <v>14.998737335</v>
      </c>
    </row>
    <row r="203" spans="1:14" x14ac:dyDescent="0.25">
      <c r="A203">
        <v>40.501620000000003</v>
      </c>
      <c r="B203" s="1">
        <f>DATE(2010,6,10) + TIME(12,2,19)</f>
        <v>40339.501608796294</v>
      </c>
      <c r="C203">
        <v>2400</v>
      </c>
      <c r="D203">
        <v>0</v>
      </c>
      <c r="E203">
        <v>0</v>
      </c>
      <c r="F203">
        <v>2400</v>
      </c>
      <c r="G203">
        <v>1369.9128418</v>
      </c>
      <c r="H203">
        <v>1360.5848389</v>
      </c>
      <c r="I203">
        <v>1292.8491211</v>
      </c>
      <c r="J203">
        <v>1272.7257079999999</v>
      </c>
      <c r="K203">
        <v>80</v>
      </c>
      <c r="L203">
        <v>79.855674743999998</v>
      </c>
      <c r="M203">
        <v>50</v>
      </c>
      <c r="N203">
        <v>14.998747826000001</v>
      </c>
    </row>
    <row r="204" spans="1:14" x14ac:dyDescent="0.25">
      <c r="A204">
        <v>41.126553000000001</v>
      </c>
      <c r="B204" s="1">
        <f>DATE(2010,6,11) + TIME(3,2,14)</f>
        <v>40340.126550925925</v>
      </c>
      <c r="C204">
        <v>2400</v>
      </c>
      <c r="D204">
        <v>0</v>
      </c>
      <c r="E204">
        <v>0</v>
      </c>
      <c r="F204">
        <v>2400</v>
      </c>
      <c r="G204">
        <v>1369.8618164</v>
      </c>
      <c r="H204">
        <v>1360.5358887</v>
      </c>
      <c r="I204">
        <v>1292.8569336</v>
      </c>
      <c r="J204">
        <v>1272.7314452999999</v>
      </c>
      <c r="K204">
        <v>80</v>
      </c>
      <c r="L204">
        <v>79.855804442999997</v>
      </c>
      <c r="M204">
        <v>50</v>
      </c>
      <c r="N204">
        <v>14.998758316</v>
      </c>
    </row>
    <row r="205" spans="1:14" x14ac:dyDescent="0.25">
      <c r="A205">
        <v>41.752034999999999</v>
      </c>
      <c r="B205" s="1">
        <f>DATE(2010,6,11) + TIME(18,2,55)</f>
        <v>40340.752025462964</v>
      </c>
      <c r="C205">
        <v>2400</v>
      </c>
      <c r="D205">
        <v>0</v>
      </c>
      <c r="E205">
        <v>0</v>
      </c>
      <c r="F205">
        <v>2400</v>
      </c>
      <c r="G205">
        <v>1369.8112793</v>
      </c>
      <c r="H205">
        <v>1360.4875488</v>
      </c>
      <c r="I205">
        <v>1292.8648682</v>
      </c>
      <c r="J205">
        <v>1272.7371826000001</v>
      </c>
      <c r="K205">
        <v>80</v>
      </c>
      <c r="L205">
        <v>79.855934142999999</v>
      </c>
      <c r="M205">
        <v>50</v>
      </c>
      <c r="N205">
        <v>14.998768805999999</v>
      </c>
    </row>
    <row r="206" spans="1:14" x14ac:dyDescent="0.25">
      <c r="A206">
        <v>42.379049999999999</v>
      </c>
      <c r="B206" s="1">
        <f>DATE(2010,6,12) + TIME(9,5,49)</f>
        <v>40341.37903935185</v>
      </c>
      <c r="C206">
        <v>2400</v>
      </c>
      <c r="D206">
        <v>0</v>
      </c>
      <c r="E206">
        <v>0</v>
      </c>
      <c r="F206">
        <v>2400</v>
      </c>
      <c r="G206">
        <v>1369.7613524999999</v>
      </c>
      <c r="H206">
        <v>1360.4399414</v>
      </c>
      <c r="I206">
        <v>1292.8728027</v>
      </c>
      <c r="J206">
        <v>1272.7429199000001</v>
      </c>
      <c r="K206">
        <v>80</v>
      </c>
      <c r="L206">
        <v>79.856063843000001</v>
      </c>
      <c r="M206">
        <v>50</v>
      </c>
      <c r="N206">
        <v>14.998778343</v>
      </c>
    </row>
    <row r="207" spans="1:14" x14ac:dyDescent="0.25">
      <c r="A207">
        <v>43.008558999999998</v>
      </c>
      <c r="B207" s="1">
        <f>DATE(2010,6,13) + TIME(0,12,19)</f>
        <v>40342.008553240739</v>
      </c>
      <c r="C207">
        <v>2400</v>
      </c>
      <c r="D207">
        <v>0</v>
      </c>
      <c r="E207">
        <v>0</v>
      </c>
      <c r="F207">
        <v>2400</v>
      </c>
      <c r="G207">
        <v>1369.7120361</v>
      </c>
      <c r="H207">
        <v>1360.3928223</v>
      </c>
      <c r="I207">
        <v>1292.8808594</v>
      </c>
      <c r="J207">
        <v>1272.7487793</v>
      </c>
      <c r="K207">
        <v>80</v>
      </c>
      <c r="L207">
        <v>79.856193542</v>
      </c>
      <c r="M207">
        <v>50</v>
      </c>
      <c r="N207">
        <v>14.998788834000001</v>
      </c>
    </row>
    <row r="208" spans="1:14" x14ac:dyDescent="0.25">
      <c r="A208">
        <v>43.641527000000004</v>
      </c>
      <c r="B208" s="1">
        <f>DATE(2010,6,13) + TIME(15,23,47)</f>
        <v>40342.641516203701</v>
      </c>
      <c r="C208">
        <v>2400</v>
      </c>
      <c r="D208">
        <v>0</v>
      </c>
      <c r="E208">
        <v>0</v>
      </c>
      <c r="F208">
        <v>2400</v>
      </c>
      <c r="G208">
        <v>1369.6633300999999</v>
      </c>
      <c r="H208">
        <v>1360.3463135</v>
      </c>
      <c r="I208">
        <v>1292.8889160000001</v>
      </c>
      <c r="J208">
        <v>1272.7546387</v>
      </c>
      <c r="K208">
        <v>80</v>
      </c>
      <c r="L208">
        <v>79.856323242000002</v>
      </c>
      <c r="M208">
        <v>50</v>
      </c>
      <c r="N208">
        <v>14.998799324</v>
      </c>
    </row>
    <row r="209" spans="1:14" x14ac:dyDescent="0.25">
      <c r="A209">
        <v>44.278911000000001</v>
      </c>
      <c r="B209" s="1">
        <f>DATE(2010,6,14) + TIME(6,41,37)</f>
        <v>40343.278900462959</v>
      </c>
      <c r="C209">
        <v>2400</v>
      </c>
      <c r="D209">
        <v>0</v>
      </c>
      <c r="E209">
        <v>0</v>
      </c>
      <c r="F209">
        <v>2400</v>
      </c>
      <c r="G209">
        <v>1369.6148682</v>
      </c>
      <c r="H209">
        <v>1360.3001709</v>
      </c>
      <c r="I209">
        <v>1292.8970947</v>
      </c>
      <c r="J209">
        <v>1272.7604980000001</v>
      </c>
      <c r="K209">
        <v>80</v>
      </c>
      <c r="L209">
        <v>79.856452942000004</v>
      </c>
      <c r="M209">
        <v>50</v>
      </c>
      <c r="N209">
        <v>14.998808861000001</v>
      </c>
    </row>
    <row r="210" spans="1:14" x14ac:dyDescent="0.25">
      <c r="A210">
        <v>44.921689000000001</v>
      </c>
      <c r="B210" s="1">
        <f>DATE(2010,6,14) + TIME(22,7,13)</f>
        <v>40343.921678240738</v>
      </c>
      <c r="C210">
        <v>2400</v>
      </c>
      <c r="D210">
        <v>0</v>
      </c>
      <c r="E210">
        <v>0</v>
      </c>
      <c r="F210">
        <v>2400</v>
      </c>
      <c r="G210">
        <v>1369.5667725000001</v>
      </c>
      <c r="H210">
        <v>1360.2543945</v>
      </c>
      <c r="I210">
        <v>1292.9052733999999</v>
      </c>
      <c r="J210">
        <v>1272.7666016000001</v>
      </c>
      <c r="K210">
        <v>80</v>
      </c>
      <c r="L210">
        <v>79.856590271000002</v>
      </c>
      <c r="M210">
        <v>50</v>
      </c>
      <c r="N210">
        <v>14.998819351</v>
      </c>
    </row>
    <row r="211" spans="1:14" x14ac:dyDescent="0.25">
      <c r="A211">
        <v>45.570858000000001</v>
      </c>
      <c r="B211" s="1">
        <f>DATE(2010,6,15) + TIME(13,42,2)</f>
        <v>40344.570856481485</v>
      </c>
      <c r="C211">
        <v>2400</v>
      </c>
      <c r="D211">
        <v>0</v>
      </c>
      <c r="E211">
        <v>0</v>
      </c>
      <c r="F211">
        <v>2400</v>
      </c>
      <c r="G211">
        <v>1369.5189209</v>
      </c>
      <c r="H211">
        <v>1360.2088623</v>
      </c>
      <c r="I211">
        <v>1292.9136963000001</v>
      </c>
      <c r="J211">
        <v>1272.7725829999999</v>
      </c>
      <c r="K211">
        <v>80</v>
      </c>
      <c r="L211">
        <v>79.856719971000004</v>
      </c>
      <c r="M211">
        <v>50</v>
      </c>
      <c r="N211">
        <v>14.998829841999999</v>
      </c>
    </row>
    <row r="212" spans="1:14" x14ac:dyDescent="0.25">
      <c r="A212">
        <v>46.227448000000003</v>
      </c>
      <c r="B212" s="1">
        <f>DATE(2010,6,16) + TIME(5,27,31)</f>
        <v>40345.227442129632</v>
      </c>
      <c r="C212">
        <v>2400</v>
      </c>
      <c r="D212">
        <v>0</v>
      </c>
      <c r="E212">
        <v>0</v>
      </c>
      <c r="F212">
        <v>2400</v>
      </c>
      <c r="G212">
        <v>1369.4713135</v>
      </c>
      <c r="H212">
        <v>1360.1635742000001</v>
      </c>
      <c r="I212">
        <v>1292.9221190999999</v>
      </c>
      <c r="J212">
        <v>1272.7788086</v>
      </c>
      <c r="K212">
        <v>80</v>
      </c>
      <c r="L212">
        <v>79.856849670000003</v>
      </c>
      <c r="M212">
        <v>50</v>
      </c>
      <c r="N212">
        <v>14.998839378</v>
      </c>
    </row>
    <row r="213" spans="1:14" x14ac:dyDescent="0.25">
      <c r="A213">
        <v>46.892614000000002</v>
      </c>
      <c r="B213" s="1">
        <f>DATE(2010,6,16) + TIME(21,25,21)</f>
        <v>40345.892604166664</v>
      </c>
      <c r="C213">
        <v>2400</v>
      </c>
      <c r="D213">
        <v>0</v>
      </c>
      <c r="E213">
        <v>0</v>
      </c>
      <c r="F213">
        <v>2400</v>
      </c>
      <c r="G213">
        <v>1369.4237060999999</v>
      </c>
      <c r="H213">
        <v>1360.1185303</v>
      </c>
      <c r="I213">
        <v>1292.9306641000001</v>
      </c>
      <c r="J213">
        <v>1272.7850341999999</v>
      </c>
      <c r="K213">
        <v>80</v>
      </c>
      <c r="L213">
        <v>79.856987000000004</v>
      </c>
      <c r="M213">
        <v>50</v>
      </c>
      <c r="N213">
        <v>14.998849869000001</v>
      </c>
    </row>
    <row r="214" spans="1:14" x14ac:dyDescent="0.25">
      <c r="A214">
        <v>47.567633000000001</v>
      </c>
      <c r="B214" s="1">
        <f>DATE(2010,6,17) + TIME(13,37,23)</f>
        <v>40346.567627314813</v>
      </c>
      <c r="C214">
        <v>2400</v>
      </c>
      <c r="D214">
        <v>0</v>
      </c>
      <c r="E214">
        <v>0</v>
      </c>
      <c r="F214">
        <v>2400</v>
      </c>
      <c r="G214">
        <v>1369.3762207</v>
      </c>
      <c r="H214">
        <v>1360.0733643000001</v>
      </c>
      <c r="I214">
        <v>1292.9394531</v>
      </c>
      <c r="J214">
        <v>1272.7913818</v>
      </c>
      <c r="K214">
        <v>80</v>
      </c>
      <c r="L214">
        <v>79.857116699000002</v>
      </c>
      <c r="M214">
        <v>50</v>
      </c>
      <c r="N214">
        <v>14.998859405999999</v>
      </c>
    </row>
    <row r="215" spans="1:14" x14ac:dyDescent="0.25">
      <c r="A215">
        <v>48.253487</v>
      </c>
      <c r="B215" s="1">
        <f>DATE(2010,6,18) + TIME(6,5,1)</f>
        <v>40347.253483796296</v>
      </c>
      <c r="C215">
        <v>2400</v>
      </c>
      <c r="D215">
        <v>0</v>
      </c>
      <c r="E215">
        <v>0</v>
      </c>
      <c r="F215">
        <v>2400</v>
      </c>
      <c r="G215">
        <v>1369.3286132999999</v>
      </c>
      <c r="H215">
        <v>1360.0283202999999</v>
      </c>
      <c r="I215">
        <v>1292.9483643000001</v>
      </c>
      <c r="J215">
        <v>1272.7978516000001</v>
      </c>
      <c r="K215">
        <v>80</v>
      </c>
      <c r="L215">
        <v>79.857254028</v>
      </c>
      <c r="M215">
        <v>50</v>
      </c>
      <c r="N215">
        <v>14.998869896</v>
      </c>
    </row>
    <row r="216" spans="1:14" x14ac:dyDescent="0.25">
      <c r="A216">
        <v>48.951346000000001</v>
      </c>
      <c r="B216" s="1">
        <f>DATE(2010,6,18) + TIME(22,49,56)</f>
        <v>40347.951342592591</v>
      </c>
      <c r="C216">
        <v>2400</v>
      </c>
      <c r="D216">
        <v>0</v>
      </c>
      <c r="E216">
        <v>0</v>
      </c>
      <c r="F216">
        <v>2400</v>
      </c>
      <c r="G216">
        <v>1369.2808838000001</v>
      </c>
      <c r="H216">
        <v>1359.9831543</v>
      </c>
      <c r="I216">
        <v>1292.9573975000001</v>
      </c>
      <c r="J216">
        <v>1272.8044434000001</v>
      </c>
      <c r="K216">
        <v>80</v>
      </c>
      <c r="L216">
        <v>79.857398986999996</v>
      </c>
      <c r="M216">
        <v>50</v>
      </c>
      <c r="N216">
        <v>14.998880386</v>
      </c>
    </row>
    <row r="217" spans="1:14" x14ac:dyDescent="0.25">
      <c r="A217">
        <v>49.662539000000002</v>
      </c>
      <c r="B217" s="1">
        <f>DATE(2010,6,19) + TIME(15,54,3)</f>
        <v>40348.662534722222</v>
      </c>
      <c r="C217">
        <v>2400</v>
      </c>
      <c r="D217">
        <v>0</v>
      </c>
      <c r="E217">
        <v>0</v>
      </c>
      <c r="F217">
        <v>2400</v>
      </c>
      <c r="G217">
        <v>1369.2330322</v>
      </c>
      <c r="H217">
        <v>1359.9378661999999</v>
      </c>
      <c r="I217">
        <v>1292.9666748</v>
      </c>
      <c r="J217">
        <v>1272.8111572</v>
      </c>
      <c r="K217">
        <v>80</v>
      </c>
      <c r="L217">
        <v>79.857536315999994</v>
      </c>
      <c r="M217">
        <v>50</v>
      </c>
      <c r="N217">
        <v>14.998889923</v>
      </c>
    </row>
    <row r="218" spans="1:14" x14ac:dyDescent="0.25">
      <c r="A218">
        <v>50.386056000000004</v>
      </c>
      <c r="B218" s="1">
        <f>DATE(2010,6,20) + TIME(9,15,55)</f>
        <v>40349.386053240742</v>
      </c>
      <c r="C218">
        <v>2400</v>
      </c>
      <c r="D218">
        <v>0</v>
      </c>
      <c r="E218">
        <v>0</v>
      </c>
      <c r="F218">
        <v>2400</v>
      </c>
      <c r="G218">
        <v>1369.1848144999999</v>
      </c>
      <c r="H218">
        <v>1359.8923339999999</v>
      </c>
      <c r="I218">
        <v>1292.9761963000001</v>
      </c>
      <c r="J218">
        <v>1272.8181152</v>
      </c>
      <c r="K218">
        <v>80</v>
      </c>
      <c r="L218">
        <v>79.857681274000001</v>
      </c>
      <c r="M218">
        <v>50</v>
      </c>
      <c r="N218">
        <v>14.998900414</v>
      </c>
    </row>
    <row r="219" spans="1:14" x14ac:dyDescent="0.25">
      <c r="A219">
        <v>51.121561</v>
      </c>
      <c r="B219" s="1">
        <f>DATE(2010,6,21) + TIME(2,55,2)</f>
        <v>40350.121550925927</v>
      </c>
      <c r="C219">
        <v>2400</v>
      </c>
      <c r="D219">
        <v>0</v>
      </c>
      <c r="E219">
        <v>0</v>
      </c>
      <c r="F219">
        <v>2400</v>
      </c>
      <c r="G219">
        <v>1369.1364745999999</v>
      </c>
      <c r="H219">
        <v>1359.8466797000001</v>
      </c>
      <c r="I219">
        <v>1292.9859618999999</v>
      </c>
      <c r="J219">
        <v>1272.8251952999999</v>
      </c>
      <c r="K219">
        <v>80</v>
      </c>
      <c r="L219">
        <v>79.857826232999997</v>
      </c>
      <c r="M219">
        <v>50</v>
      </c>
      <c r="N219">
        <v>14.998910904000001</v>
      </c>
    </row>
    <row r="220" spans="1:14" x14ac:dyDescent="0.25">
      <c r="A220">
        <v>51.492986000000002</v>
      </c>
      <c r="B220" s="1">
        <f>DATE(2010,6,21) + TIME(11,49,53)</f>
        <v>40350.492974537039</v>
      </c>
      <c r="C220">
        <v>2400</v>
      </c>
      <c r="D220">
        <v>0</v>
      </c>
      <c r="E220">
        <v>0</v>
      </c>
      <c r="F220">
        <v>2400</v>
      </c>
      <c r="G220">
        <v>1369.0874022999999</v>
      </c>
      <c r="H220">
        <v>1359.8004149999999</v>
      </c>
      <c r="I220">
        <v>1292.9954834</v>
      </c>
      <c r="J220">
        <v>1272.8321533000001</v>
      </c>
      <c r="K220">
        <v>80</v>
      </c>
      <c r="L220">
        <v>79.857887267999999</v>
      </c>
      <c r="M220">
        <v>50</v>
      </c>
      <c r="N220">
        <v>14.998917580000001</v>
      </c>
    </row>
    <row r="221" spans="1:14" x14ac:dyDescent="0.25">
      <c r="A221">
        <v>51.864410999999997</v>
      </c>
      <c r="B221" s="1">
        <f>DATE(2010,6,21) + TIME(20,44,45)</f>
        <v>40350.86440972222</v>
      </c>
      <c r="C221">
        <v>2400</v>
      </c>
      <c r="D221">
        <v>0</v>
      </c>
      <c r="E221">
        <v>0</v>
      </c>
      <c r="F221">
        <v>2400</v>
      </c>
      <c r="G221">
        <v>1369.0629882999999</v>
      </c>
      <c r="H221">
        <v>1359.7773437999999</v>
      </c>
      <c r="I221">
        <v>1293.0006103999999</v>
      </c>
      <c r="J221">
        <v>1272.8358154</v>
      </c>
      <c r="K221">
        <v>80</v>
      </c>
      <c r="L221">
        <v>79.857955933</v>
      </c>
      <c r="M221">
        <v>50</v>
      </c>
      <c r="N221">
        <v>14.998923302</v>
      </c>
    </row>
    <row r="222" spans="1:14" x14ac:dyDescent="0.25">
      <c r="A222">
        <v>52.235835999999999</v>
      </c>
      <c r="B222" s="1">
        <f>DATE(2010,6,22) + TIME(5,39,36)</f>
        <v>40351.235833333332</v>
      </c>
      <c r="C222">
        <v>2400</v>
      </c>
      <c r="D222">
        <v>0</v>
      </c>
      <c r="E222">
        <v>0</v>
      </c>
      <c r="F222">
        <v>2400</v>
      </c>
      <c r="G222">
        <v>1369.0388184000001</v>
      </c>
      <c r="H222">
        <v>1359.7545166</v>
      </c>
      <c r="I222">
        <v>1293.0057373</v>
      </c>
      <c r="J222">
        <v>1272.8394774999999</v>
      </c>
      <c r="K222">
        <v>80</v>
      </c>
      <c r="L222">
        <v>79.858024596999996</v>
      </c>
      <c r="M222">
        <v>50</v>
      </c>
      <c r="N222">
        <v>14.998929024000001</v>
      </c>
    </row>
    <row r="223" spans="1:14" x14ac:dyDescent="0.25">
      <c r="A223">
        <v>52.607261000000001</v>
      </c>
      <c r="B223" s="1">
        <f>DATE(2010,6,22) + TIME(14,34,27)</f>
        <v>40351.607256944444</v>
      </c>
      <c r="C223">
        <v>2400</v>
      </c>
      <c r="D223">
        <v>0</v>
      </c>
      <c r="E223">
        <v>0</v>
      </c>
      <c r="F223">
        <v>2400</v>
      </c>
      <c r="G223">
        <v>1369.0148925999999</v>
      </c>
      <c r="H223">
        <v>1359.7320557</v>
      </c>
      <c r="I223">
        <v>1293.0107422000001</v>
      </c>
      <c r="J223">
        <v>1272.8431396000001</v>
      </c>
      <c r="K223">
        <v>80</v>
      </c>
      <c r="L223">
        <v>79.858100891000007</v>
      </c>
      <c r="M223">
        <v>50</v>
      </c>
      <c r="N223">
        <v>14.998934746</v>
      </c>
    </row>
    <row r="224" spans="1:14" x14ac:dyDescent="0.25">
      <c r="A224">
        <v>52.978686000000003</v>
      </c>
      <c r="B224" s="1">
        <f>DATE(2010,6,22) + TIME(23,29,18)</f>
        <v>40351.978680555556</v>
      </c>
      <c r="C224">
        <v>2400</v>
      </c>
      <c r="D224">
        <v>0</v>
      </c>
      <c r="E224">
        <v>0</v>
      </c>
      <c r="F224">
        <v>2400</v>
      </c>
      <c r="G224">
        <v>1368.9910889</v>
      </c>
      <c r="H224">
        <v>1359.7095947</v>
      </c>
      <c r="I224">
        <v>1293.0158690999999</v>
      </c>
      <c r="J224">
        <v>1272.8469238</v>
      </c>
      <c r="K224">
        <v>80</v>
      </c>
      <c r="L224">
        <v>79.858169556000007</v>
      </c>
      <c r="M224">
        <v>50</v>
      </c>
      <c r="N224">
        <v>14.998940468000001</v>
      </c>
    </row>
    <row r="225" spans="1:14" x14ac:dyDescent="0.25">
      <c r="A225">
        <v>53.350110999999998</v>
      </c>
      <c r="B225" s="1">
        <f>DATE(2010,6,23) + TIME(8,24,9)</f>
        <v>40352.350104166668</v>
      </c>
      <c r="C225">
        <v>2400</v>
      </c>
      <c r="D225">
        <v>0</v>
      </c>
      <c r="E225">
        <v>0</v>
      </c>
      <c r="F225">
        <v>2400</v>
      </c>
      <c r="G225">
        <v>1368.9674072</v>
      </c>
      <c r="H225">
        <v>1359.6873779</v>
      </c>
      <c r="I225">
        <v>1293.020874</v>
      </c>
      <c r="J225">
        <v>1272.8505858999999</v>
      </c>
      <c r="K225">
        <v>80</v>
      </c>
      <c r="L225">
        <v>79.858238220000004</v>
      </c>
      <c r="M225">
        <v>50</v>
      </c>
      <c r="N225">
        <v>14.99894619</v>
      </c>
    </row>
    <row r="226" spans="1:14" x14ac:dyDescent="0.25">
      <c r="A226">
        <v>53.721536</v>
      </c>
      <c r="B226" s="1">
        <f>DATE(2010,6,23) + TIME(17,19,0)</f>
        <v>40352.72152777778</v>
      </c>
      <c r="C226">
        <v>2400</v>
      </c>
      <c r="D226">
        <v>0</v>
      </c>
      <c r="E226">
        <v>0</v>
      </c>
      <c r="F226">
        <v>2400</v>
      </c>
      <c r="G226">
        <v>1368.9439697</v>
      </c>
      <c r="H226">
        <v>1359.6652832</v>
      </c>
      <c r="I226">
        <v>1293.026001</v>
      </c>
      <c r="J226">
        <v>1272.8543701000001</v>
      </c>
      <c r="K226">
        <v>80</v>
      </c>
      <c r="L226">
        <v>79.858314514</v>
      </c>
      <c r="M226">
        <v>50</v>
      </c>
      <c r="N226">
        <v>14.998951912000001</v>
      </c>
    </row>
    <row r="227" spans="1:14" x14ac:dyDescent="0.25">
      <c r="A227">
        <v>54.464385999999998</v>
      </c>
      <c r="B227" s="1">
        <f>DATE(2010,6,24) + TIME(11,8,42)</f>
        <v>40353.464375000003</v>
      </c>
      <c r="C227">
        <v>2400</v>
      </c>
      <c r="D227">
        <v>0</v>
      </c>
      <c r="E227">
        <v>0</v>
      </c>
      <c r="F227">
        <v>2400</v>
      </c>
      <c r="G227">
        <v>1368.9211425999999</v>
      </c>
      <c r="H227">
        <v>1359.6439209</v>
      </c>
      <c r="I227">
        <v>1293.0314940999999</v>
      </c>
      <c r="J227">
        <v>1272.8582764</v>
      </c>
      <c r="K227">
        <v>80</v>
      </c>
      <c r="L227">
        <v>79.858467102000006</v>
      </c>
      <c r="M227">
        <v>50</v>
      </c>
      <c r="N227">
        <v>14.998960495</v>
      </c>
    </row>
    <row r="228" spans="1:14" x14ac:dyDescent="0.25">
      <c r="A228">
        <v>55.207915</v>
      </c>
      <c r="B228" s="1">
        <f>DATE(2010,6,25) + TIME(4,59,23)</f>
        <v>40354.207905092589</v>
      </c>
      <c r="C228">
        <v>2400</v>
      </c>
      <c r="D228">
        <v>0</v>
      </c>
      <c r="E228">
        <v>0</v>
      </c>
      <c r="F228">
        <v>2400</v>
      </c>
      <c r="G228">
        <v>1368.8751221</v>
      </c>
      <c r="H228">
        <v>1359.6007079999999</v>
      </c>
      <c r="I228">
        <v>1293.041626</v>
      </c>
      <c r="J228">
        <v>1272.8657227000001</v>
      </c>
      <c r="K228">
        <v>80</v>
      </c>
      <c r="L228">
        <v>79.858612061000002</v>
      </c>
      <c r="M228">
        <v>50</v>
      </c>
      <c r="N228">
        <v>14.998970032000001</v>
      </c>
    </row>
    <row r="229" spans="1:14" x14ac:dyDescent="0.25">
      <c r="A229">
        <v>55.955739000000001</v>
      </c>
      <c r="B229" s="1">
        <f>DATE(2010,6,25) + TIME(22,56,15)</f>
        <v>40354.955729166664</v>
      </c>
      <c r="C229">
        <v>2400</v>
      </c>
      <c r="D229">
        <v>0</v>
      </c>
      <c r="E229">
        <v>0</v>
      </c>
      <c r="F229">
        <v>2400</v>
      </c>
      <c r="G229">
        <v>1368.8294678</v>
      </c>
      <c r="H229">
        <v>1359.5578613</v>
      </c>
      <c r="I229">
        <v>1293.0520019999999</v>
      </c>
      <c r="J229">
        <v>1272.8732910000001</v>
      </c>
      <c r="K229">
        <v>80</v>
      </c>
      <c r="L229">
        <v>79.858757018999995</v>
      </c>
      <c r="M229">
        <v>50</v>
      </c>
      <c r="N229">
        <v>14.998979567999999</v>
      </c>
    </row>
    <row r="230" spans="1:14" x14ac:dyDescent="0.25">
      <c r="A230">
        <v>56.708986000000003</v>
      </c>
      <c r="B230" s="1">
        <f>DATE(2010,6,26) + TIME(17,0,56)</f>
        <v>40355.708981481483</v>
      </c>
      <c r="C230">
        <v>2400</v>
      </c>
      <c r="D230">
        <v>0</v>
      </c>
      <c r="E230">
        <v>0</v>
      </c>
      <c r="F230">
        <v>2400</v>
      </c>
      <c r="G230">
        <v>1368.7840576000001</v>
      </c>
      <c r="H230">
        <v>1359.5153809000001</v>
      </c>
      <c r="I230">
        <v>1293.0623779</v>
      </c>
      <c r="J230">
        <v>1272.8808594</v>
      </c>
      <c r="K230">
        <v>80</v>
      </c>
      <c r="L230">
        <v>79.858909607000001</v>
      </c>
      <c r="M230">
        <v>50</v>
      </c>
      <c r="N230">
        <v>14.998989105</v>
      </c>
    </row>
    <row r="231" spans="1:14" x14ac:dyDescent="0.25">
      <c r="A231">
        <v>57.468808000000003</v>
      </c>
      <c r="B231" s="1">
        <f>DATE(2010,6,27) + TIME(11,15,5)</f>
        <v>40356.468807870369</v>
      </c>
      <c r="C231">
        <v>2400</v>
      </c>
      <c r="D231">
        <v>0</v>
      </c>
      <c r="E231">
        <v>0</v>
      </c>
      <c r="F231">
        <v>2400</v>
      </c>
      <c r="G231">
        <v>1368.7390137</v>
      </c>
      <c r="H231">
        <v>1359.4731445</v>
      </c>
      <c r="I231">
        <v>1293.0729980000001</v>
      </c>
      <c r="J231">
        <v>1272.8885498</v>
      </c>
      <c r="K231">
        <v>80</v>
      </c>
      <c r="L231">
        <v>79.859054564999994</v>
      </c>
      <c r="M231">
        <v>50</v>
      </c>
      <c r="N231">
        <v>14.998998642</v>
      </c>
    </row>
    <row r="232" spans="1:14" x14ac:dyDescent="0.25">
      <c r="A232">
        <v>58.236381000000002</v>
      </c>
      <c r="B232" s="1">
        <f>DATE(2010,6,28) + TIME(5,40,23)</f>
        <v>40357.236377314817</v>
      </c>
      <c r="C232">
        <v>2400</v>
      </c>
      <c r="D232">
        <v>0</v>
      </c>
      <c r="E232">
        <v>0</v>
      </c>
      <c r="F232">
        <v>2400</v>
      </c>
      <c r="G232">
        <v>1368.6939697</v>
      </c>
      <c r="H232">
        <v>1359.4311522999999</v>
      </c>
      <c r="I232">
        <v>1293.0837402</v>
      </c>
      <c r="J232">
        <v>1272.8963623</v>
      </c>
      <c r="K232">
        <v>80</v>
      </c>
      <c r="L232">
        <v>79.859199524000005</v>
      </c>
      <c r="M232">
        <v>50</v>
      </c>
      <c r="N232">
        <v>14.999009131999999</v>
      </c>
    </row>
    <row r="233" spans="1:14" x14ac:dyDescent="0.25">
      <c r="A233">
        <v>59.012925000000003</v>
      </c>
      <c r="B233" s="1">
        <f>DATE(2010,6,29) + TIME(0,18,36)</f>
        <v>40358.012916666667</v>
      </c>
      <c r="C233">
        <v>2400</v>
      </c>
      <c r="D233">
        <v>0</v>
      </c>
      <c r="E233">
        <v>0</v>
      </c>
      <c r="F233">
        <v>2400</v>
      </c>
      <c r="G233">
        <v>1368.6491699000001</v>
      </c>
      <c r="H233">
        <v>1359.3891602000001</v>
      </c>
      <c r="I233">
        <v>1293.0946045000001</v>
      </c>
      <c r="J233">
        <v>1272.9041748</v>
      </c>
      <c r="K233">
        <v>80</v>
      </c>
      <c r="L233">
        <v>79.859344481999997</v>
      </c>
      <c r="M233">
        <v>50</v>
      </c>
      <c r="N233">
        <v>14.999019623000001</v>
      </c>
    </row>
    <row r="234" spans="1:14" x14ac:dyDescent="0.25">
      <c r="A234">
        <v>59.799886000000001</v>
      </c>
      <c r="B234" s="1">
        <f>DATE(2010,6,29) + TIME(19,11,50)</f>
        <v>40358.799884259257</v>
      </c>
      <c r="C234">
        <v>2400</v>
      </c>
      <c r="D234">
        <v>0</v>
      </c>
      <c r="E234">
        <v>0</v>
      </c>
      <c r="F234">
        <v>2400</v>
      </c>
      <c r="G234">
        <v>1368.6042480000001</v>
      </c>
      <c r="H234">
        <v>1359.3472899999999</v>
      </c>
      <c r="I234">
        <v>1293.1057129000001</v>
      </c>
      <c r="J234">
        <v>1272.9122314000001</v>
      </c>
      <c r="K234">
        <v>80</v>
      </c>
      <c r="L234">
        <v>79.859497070000003</v>
      </c>
      <c r="M234">
        <v>50</v>
      </c>
      <c r="N234">
        <v>14.999029159999999</v>
      </c>
    </row>
    <row r="235" spans="1:14" x14ac:dyDescent="0.25">
      <c r="A235">
        <v>60.598646000000002</v>
      </c>
      <c r="B235" s="1">
        <f>DATE(2010,6,30) + TIME(14,22,3)</f>
        <v>40359.598645833335</v>
      </c>
      <c r="C235">
        <v>2400</v>
      </c>
      <c r="D235">
        <v>0</v>
      </c>
      <c r="E235">
        <v>0</v>
      </c>
      <c r="F235">
        <v>2400</v>
      </c>
      <c r="G235">
        <v>1368.5593262</v>
      </c>
      <c r="H235">
        <v>1359.3055420000001</v>
      </c>
      <c r="I235">
        <v>1293.1169434000001</v>
      </c>
      <c r="J235">
        <v>1272.9204102000001</v>
      </c>
      <c r="K235">
        <v>80</v>
      </c>
      <c r="L235">
        <v>79.859649657999995</v>
      </c>
      <c r="M235">
        <v>50</v>
      </c>
      <c r="N235">
        <v>14.99903965</v>
      </c>
    </row>
    <row r="236" spans="1:14" x14ac:dyDescent="0.25">
      <c r="A236">
        <v>61</v>
      </c>
      <c r="B236" s="1">
        <f>DATE(2010,7,1) + TIME(0,0,0)</f>
        <v>40360</v>
      </c>
      <c r="C236">
        <v>2400</v>
      </c>
      <c r="D236">
        <v>0</v>
      </c>
      <c r="E236">
        <v>0</v>
      </c>
      <c r="F236">
        <v>2400</v>
      </c>
      <c r="G236">
        <v>1368.5140381000001</v>
      </c>
      <c r="H236">
        <v>1359.2631836</v>
      </c>
      <c r="I236">
        <v>1293.1281738</v>
      </c>
      <c r="J236">
        <v>1272.9284668</v>
      </c>
      <c r="K236">
        <v>80</v>
      </c>
      <c r="L236">
        <v>79.859710692999997</v>
      </c>
      <c r="M236">
        <v>50</v>
      </c>
      <c r="N236">
        <v>14.999047278999999</v>
      </c>
    </row>
    <row r="237" spans="1:14" x14ac:dyDescent="0.25">
      <c r="A237">
        <v>61.81176</v>
      </c>
      <c r="B237" s="1">
        <f>DATE(2010,7,1) + TIME(19,28,56)</f>
        <v>40360.811759259261</v>
      </c>
      <c r="C237">
        <v>2400</v>
      </c>
      <c r="D237">
        <v>0</v>
      </c>
      <c r="E237">
        <v>0</v>
      </c>
      <c r="F237">
        <v>2400</v>
      </c>
      <c r="G237">
        <v>1368.4918213000001</v>
      </c>
      <c r="H237">
        <v>1359.2425536999999</v>
      </c>
      <c r="I237">
        <v>1293.1343993999999</v>
      </c>
      <c r="J237">
        <v>1272.9331055</v>
      </c>
      <c r="K237">
        <v>80</v>
      </c>
      <c r="L237">
        <v>79.859870911000002</v>
      </c>
      <c r="M237">
        <v>50</v>
      </c>
      <c r="N237">
        <v>14.999056816</v>
      </c>
    </row>
    <row r="238" spans="1:14" x14ac:dyDescent="0.25">
      <c r="A238">
        <v>62.645766999999999</v>
      </c>
      <c r="B238" s="1">
        <f>DATE(2010,7,2) + TIME(15,29,54)</f>
        <v>40361.64576388889</v>
      </c>
      <c r="C238">
        <v>2400</v>
      </c>
      <c r="D238">
        <v>0</v>
      </c>
      <c r="E238">
        <v>0</v>
      </c>
      <c r="F238">
        <v>2400</v>
      </c>
      <c r="G238">
        <v>1368.4470214999999</v>
      </c>
      <c r="H238">
        <v>1359.2009277</v>
      </c>
      <c r="I238">
        <v>1293.1462402</v>
      </c>
      <c r="J238">
        <v>1272.9416504000001</v>
      </c>
      <c r="K238">
        <v>80</v>
      </c>
      <c r="L238">
        <v>79.860031128000003</v>
      </c>
      <c r="M238">
        <v>50</v>
      </c>
      <c r="N238">
        <v>14.999067307000001</v>
      </c>
    </row>
    <row r="239" spans="1:14" x14ac:dyDescent="0.25">
      <c r="A239">
        <v>63.495849</v>
      </c>
      <c r="B239" s="1">
        <f>DATE(2010,7,3) + TIME(11,54,1)</f>
        <v>40362.495844907404</v>
      </c>
      <c r="C239">
        <v>2400</v>
      </c>
      <c r="D239">
        <v>0</v>
      </c>
      <c r="E239">
        <v>0</v>
      </c>
      <c r="F239">
        <v>2400</v>
      </c>
      <c r="G239">
        <v>1368.4013672000001</v>
      </c>
      <c r="H239">
        <v>1359.1584473</v>
      </c>
      <c r="I239">
        <v>1293.1584473</v>
      </c>
      <c r="J239">
        <v>1272.9505615</v>
      </c>
      <c r="K239">
        <v>80</v>
      </c>
      <c r="L239">
        <v>79.860191345000004</v>
      </c>
      <c r="M239">
        <v>50</v>
      </c>
      <c r="N239">
        <v>14.999078751000001</v>
      </c>
    </row>
    <row r="240" spans="1:14" x14ac:dyDescent="0.25">
      <c r="A240">
        <v>63.924427999999999</v>
      </c>
      <c r="B240" s="1">
        <f>DATE(2010,7,3) + TIME(22,11,10)</f>
        <v>40362.924421296295</v>
      </c>
      <c r="C240">
        <v>2400</v>
      </c>
      <c r="D240">
        <v>0</v>
      </c>
      <c r="E240">
        <v>0</v>
      </c>
      <c r="F240">
        <v>2400</v>
      </c>
      <c r="G240">
        <v>1368.3551024999999</v>
      </c>
      <c r="H240">
        <v>1359.1153564000001</v>
      </c>
      <c r="I240">
        <v>1293.1706543</v>
      </c>
      <c r="J240">
        <v>1272.9593506000001</v>
      </c>
      <c r="K240">
        <v>80</v>
      </c>
      <c r="L240">
        <v>79.860260010000005</v>
      </c>
      <c r="M240">
        <v>50</v>
      </c>
      <c r="N240">
        <v>14.99908638</v>
      </c>
    </row>
    <row r="241" spans="1:14" x14ac:dyDescent="0.25">
      <c r="A241">
        <v>64.353007000000005</v>
      </c>
      <c r="B241" s="1">
        <f>DATE(2010,7,4) + TIME(8,28,19)</f>
        <v>40363.352997685186</v>
      </c>
      <c r="C241">
        <v>2400</v>
      </c>
      <c r="D241">
        <v>0</v>
      </c>
      <c r="E241">
        <v>0</v>
      </c>
      <c r="F241">
        <v>2400</v>
      </c>
      <c r="G241">
        <v>1368.3319091999999</v>
      </c>
      <c r="H241">
        <v>1359.0938721</v>
      </c>
      <c r="I241">
        <v>1293.177124</v>
      </c>
      <c r="J241">
        <v>1272.9639893000001</v>
      </c>
      <c r="K241">
        <v>80</v>
      </c>
      <c r="L241">
        <v>79.860336304</v>
      </c>
      <c r="M241">
        <v>50</v>
      </c>
      <c r="N241">
        <v>14.999093056</v>
      </c>
    </row>
    <row r="242" spans="1:14" x14ac:dyDescent="0.25">
      <c r="A242">
        <v>64.781587000000002</v>
      </c>
      <c r="B242" s="1">
        <f>DATE(2010,7,4) + TIME(18,45,29)</f>
        <v>40363.781585648147</v>
      </c>
      <c r="C242">
        <v>2400</v>
      </c>
      <c r="D242">
        <v>0</v>
      </c>
      <c r="E242">
        <v>0</v>
      </c>
      <c r="F242">
        <v>2400</v>
      </c>
      <c r="G242">
        <v>1368.309082</v>
      </c>
      <c r="H242">
        <v>1359.0726318</v>
      </c>
      <c r="I242">
        <v>1293.1834716999999</v>
      </c>
      <c r="J242">
        <v>1272.9686279</v>
      </c>
      <c r="K242">
        <v>80</v>
      </c>
      <c r="L242">
        <v>79.860412597999996</v>
      </c>
      <c r="M242">
        <v>50</v>
      </c>
      <c r="N242">
        <v>14.999099730999999</v>
      </c>
    </row>
    <row r="243" spans="1:14" x14ac:dyDescent="0.25">
      <c r="A243">
        <v>65.210166000000001</v>
      </c>
      <c r="B243" s="1">
        <f>DATE(2010,7,5) + TIME(5,2,38)</f>
        <v>40364.210162037038</v>
      </c>
      <c r="C243">
        <v>2400</v>
      </c>
      <c r="D243">
        <v>0</v>
      </c>
      <c r="E243">
        <v>0</v>
      </c>
      <c r="F243">
        <v>2400</v>
      </c>
      <c r="G243">
        <v>1368.2863769999999</v>
      </c>
      <c r="H243">
        <v>1359.0515137</v>
      </c>
      <c r="I243">
        <v>1293.1899414</v>
      </c>
      <c r="J243">
        <v>1272.9732666</v>
      </c>
      <c r="K243">
        <v>80</v>
      </c>
      <c r="L243">
        <v>79.860488892000006</v>
      </c>
      <c r="M243">
        <v>50</v>
      </c>
      <c r="N243">
        <v>14.999106406999999</v>
      </c>
    </row>
    <row r="244" spans="1:14" x14ac:dyDescent="0.25">
      <c r="A244">
        <v>65.638745</v>
      </c>
      <c r="B244" s="1">
        <f>DATE(2010,7,5) + TIME(15,19,47)</f>
        <v>40364.638738425929</v>
      </c>
      <c r="C244">
        <v>2400</v>
      </c>
      <c r="D244">
        <v>0</v>
      </c>
      <c r="E244">
        <v>0</v>
      </c>
      <c r="F244">
        <v>2400</v>
      </c>
      <c r="G244">
        <v>1368.2639160000001</v>
      </c>
      <c r="H244">
        <v>1359.0306396000001</v>
      </c>
      <c r="I244">
        <v>1293.1964111</v>
      </c>
      <c r="J244">
        <v>1272.9780272999999</v>
      </c>
      <c r="K244">
        <v>80</v>
      </c>
      <c r="L244">
        <v>79.860572814999998</v>
      </c>
      <c r="M244">
        <v>50</v>
      </c>
      <c r="N244">
        <v>14.999113082999999</v>
      </c>
    </row>
    <row r="245" spans="1:14" x14ac:dyDescent="0.25">
      <c r="A245">
        <v>66.067323999999999</v>
      </c>
      <c r="B245" s="1">
        <f>DATE(2010,7,6) + TIME(1,36,56)</f>
        <v>40365.067314814813</v>
      </c>
      <c r="C245">
        <v>2400</v>
      </c>
      <c r="D245">
        <v>0</v>
      </c>
      <c r="E245">
        <v>0</v>
      </c>
      <c r="F245">
        <v>2400</v>
      </c>
      <c r="G245">
        <v>1368.2414550999999</v>
      </c>
      <c r="H245">
        <v>1359.0098877</v>
      </c>
      <c r="I245">
        <v>1293.2028809000001</v>
      </c>
      <c r="J245">
        <v>1272.9826660000001</v>
      </c>
      <c r="K245">
        <v>80</v>
      </c>
      <c r="L245">
        <v>79.860649108999993</v>
      </c>
      <c r="M245">
        <v>50</v>
      </c>
      <c r="N245">
        <v>14.999119758999999</v>
      </c>
    </row>
    <row r="246" spans="1:14" x14ac:dyDescent="0.25">
      <c r="A246">
        <v>66.495902999999998</v>
      </c>
      <c r="B246" s="1">
        <f>DATE(2010,7,6) + TIME(11,54,6)</f>
        <v>40365.49590277778</v>
      </c>
      <c r="C246">
        <v>2400</v>
      </c>
      <c r="D246">
        <v>0</v>
      </c>
      <c r="E246">
        <v>0</v>
      </c>
      <c r="F246">
        <v>2400</v>
      </c>
      <c r="G246">
        <v>1368.2191161999999</v>
      </c>
      <c r="H246">
        <v>1358.9891356999999</v>
      </c>
      <c r="I246">
        <v>1293.2093506000001</v>
      </c>
      <c r="J246">
        <v>1272.9874268000001</v>
      </c>
      <c r="K246">
        <v>80</v>
      </c>
      <c r="L246">
        <v>79.860725403000004</v>
      </c>
      <c r="M246">
        <v>50</v>
      </c>
      <c r="N246">
        <v>14.999126434000001</v>
      </c>
    </row>
    <row r="247" spans="1:14" x14ac:dyDescent="0.25">
      <c r="A247">
        <v>66.924481999999998</v>
      </c>
      <c r="B247" s="1">
        <f>DATE(2010,7,6) + TIME(22,11,15)</f>
        <v>40365.924479166664</v>
      </c>
      <c r="C247">
        <v>2400</v>
      </c>
      <c r="D247">
        <v>0</v>
      </c>
      <c r="E247">
        <v>0</v>
      </c>
      <c r="F247">
        <v>2400</v>
      </c>
      <c r="G247">
        <v>1368.1970214999999</v>
      </c>
      <c r="H247">
        <v>1358.9686279</v>
      </c>
      <c r="I247">
        <v>1293.2159423999999</v>
      </c>
      <c r="J247">
        <v>1272.9920654</v>
      </c>
      <c r="K247">
        <v>80</v>
      </c>
      <c r="L247">
        <v>79.860809325999995</v>
      </c>
      <c r="M247">
        <v>50</v>
      </c>
      <c r="N247">
        <v>14.999133110000001</v>
      </c>
    </row>
    <row r="248" spans="1:14" x14ac:dyDescent="0.25">
      <c r="A248">
        <v>67.781640999999993</v>
      </c>
      <c r="B248" s="1">
        <f>DATE(2010,7,7) + TIME(18,45,33)</f>
        <v>40366.781631944446</v>
      </c>
      <c r="C248">
        <v>2400</v>
      </c>
      <c r="D248">
        <v>0</v>
      </c>
      <c r="E248">
        <v>0</v>
      </c>
      <c r="F248">
        <v>2400</v>
      </c>
      <c r="G248">
        <v>1368.1755370999999</v>
      </c>
      <c r="H248">
        <v>1358.9488524999999</v>
      </c>
      <c r="I248">
        <v>1293.2227783000001</v>
      </c>
      <c r="J248">
        <v>1272.9970702999999</v>
      </c>
      <c r="K248">
        <v>80</v>
      </c>
      <c r="L248">
        <v>79.860977172999995</v>
      </c>
      <c r="M248">
        <v>50</v>
      </c>
      <c r="N248">
        <v>14.9991436</v>
      </c>
    </row>
    <row r="249" spans="1:14" x14ac:dyDescent="0.25">
      <c r="A249">
        <v>68.639381</v>
      </c>
      <c r="B249" s="1">
        <f>DATE(2010,7,8) + TIME(15,20,42)</f>
        <v>40367.639374999999</v>
      </c>
      <c r="C249">
        <v>2400</v>
      </c>
      <c r="D249">
        <v>0</v>
      </c>
      <c r="E249">
        <v>0</v>
      </c>
      <c r="F249">
        <v>2400</v>
      </c>
      <c r="G249">
        <v>1368.1319579999999</v>
      </c>
      <c r="H249">
        <v>1358.9085693</v>
      </c>
      <c r="I249">
        <v>1293.2358397999999</v>
      </c>
      <c r="J249">
        <v>1273.0065918</v>
      </c>
      <c r="K249">
        <v>80</v>
      </c>
      <c r="L249">
        <v>79.861137389999996</v>
      </c>
      <c r="M249">
        <v>50</v>
      </c>
      <c r="N249">
        <v>14.999155998000001</v>
      </c>
    </row>
    <row r="250" spans="1:14" x14ac:dyDescent="0.25">
      <c r="A250">
        <v>69.502655000000004</v>
      </c>
      <c r="B250" s="1">
        <f>DATE(2010,7,9) + TIME(12,3,49)</f>
        <v>40368.502650462964</v>
      </c>
      <c r="C250">
        <v>2400</v>
      </c>
      <c r="D250">
        <v>0</v>
      </c>
      <c r="E250">
        <v>0</v>
      </c>
      <c r="F250">
        <v>2400</v>
      </c>
      <c r="G250">
        <v>1368.0888672000001</v>
      </c>
      <c r="H250">
        <v>1358.8686522999999</v>
      </c>
      <c r="I250">
        <v>1293.2490233999999</v>
      </c>
      <c r="J250">
        <v>1273.0161132999999</v>
      </c>
      <c r="K250">
        <v>80</v>
      </c>
      <c r="L250">
        <v>79.861297606999997</v>
      </c>
      <c r="M250">
        <v>50</v>
      </c>
      <c r="N250">
        <v>14.999169350000001</v>
      </c>
    </row>
    <row r="251" spans="1:14" x14ac:dyDescent="0.25">
      <c r="A251">
        <v>70.372761999999994</v>
      </c>
      <c r="B251" s="1">
        <f>DATE(2010,7,10) + TIME(8,56,46)</f>
        <v>40369.372754629629</v>
      </c>
      <c r="C251">
        <v>2400</v>
      </c>
      <c r="D251">
        <v>0</v>
      </c>
      <c r="E251">
        <v>0</v>
      </c>
      <c r="F251">
        <v>2400</v>
      </c>
      <c r="G251">
        <v>1368.0458983999999</v>
      </c>
      <c r="H251">
        <v>1358.8291016000001</v>
      </c>
      <c r="I251">
        <v>1293.2624512</v>
      </c>
      <c r="J251">
        <v>1273.0257568</v>
      </c>
      <c r="K251">
        <v>80</v>
      </c>
      <c r="L251">
        <v>79.861457825000002</v>
      </c>
      <c r="M251">
        <v>50</v>
      </c>
      <c r="N251">
        <v>14.999183655</v>
      </c>
    </row>
    <row r="252" spans="1:14" x14ac:dyDescent="0.25">
      <c r="A252">
        <v>71.251064999999997</v>
      </c>
      <c r="B252" s="1">
        <f>DATE(2010,7,11) + TIME(6,1,31)</f>
        <v>40370.25105324074</v>
      </c>
      <c r="C252">
        <v>2400</v>
      </c>
      <c r="D252">
        <v>0</v>
      </c>
      <c r="E252">
        <v>0</v>
      </c>
      <c r="F252">
        <v>2400</v>
      </c>
      <c r="G252">
        <v>1368.0030518000001</v>
      </c>
      <c r="H252">
        <v>1358.7895507999999</v>
      </c>
      <c r="I252">
        <v>1293.2761230000001</v>
      </c>
      <c r="J252">
        <v>1273.0356445</v>
      </c>
      <c r="K252">
        <v>80</v>
      </c>
      <c r="L252">
        <v>79.861625670999999</v>
      </c>
      <c r="M252">
        <v>50</v>
      </c>
      <c r="N252">
        <v>14.999198914000001</v>
      </c>
    </row>
    <row r="253" spans="1:14" x14ac:dyDescent="0.25">
      <c r="A253">
        <v>72.138964000000001</v>
      </c>
      <c r="B253" s="1">
        <f>DATE(2010,7,12) + TIME(3,20,6)</f>
        <v>40371.138958333337</v>
      </c>
      <c r="C253">
        <v>2400</v>
      </c>
      <c r="D253">
        <v>0</v>
      </c>
      <c r="E253">
        <v>0</v>
      </c>
      <c r="F253">
        <v>2400</v>
      </c>
      <c r="G253">
        <v>1367.9603271000001</v>
      </c>
      <c r="H253">
        <v>1358.7501221</v>
      </c>
      <c r="I253">
        <v>1293.2899170000001</v>
      </c>
      <c r="J253">
        <v>1273.0456543</v>
      </c>
      <c r="K253">
        <v>80</v>
      </c>
      <c r="L253">
        <v>79.861785889000004</v>
      </c>
      <c r="M253">
        <v>50</v>
      </c>
      <c r="N253">
        <v>14.99921608</v>
      </c>
    </row>
    <row r="254" spans="1:14" x14ac:dyDescent="0.25">
      <c r="A254">
        <v>73.038101999999995</v>
      </c>
      <c r="B254" s="1">
        <f>DATE(2010,7,13) + TIME(0,54,51)</f>
        <v>40372.038090277776</v>
      </c>
      <c r="C254">
        <v>2400</v>
      </c>
      <c r="D254">
        <v>0</v>
      </c>
      <c r="E254">
        <v>0</v>
      </c>
      <c r="F254">
        <v>2400</v>
      </c>
      <c r="G254">
        <v>1367.9176024999999</v>
      </c>
      <c r="H254">
        <v>1358.7108154</v>
      </c>
      <c r="I254">
        <v>1293.3040771000001</v>
      </c>
      <c r="J254">
        <v>1273.0557861</v>
      </c>
      <c r="K254">
        <v>80</v>
      </c>
      <c r="L254">
        <v>79.861946106000005</v>
      </c>
      <c r="M254">
        <v>50</v>
      </c>
      <c r="N254">
        <v>14.9992342</v>
      </c>
    </row>
    <row r="255" spans="1:14" x14ac:dyDescent="0.25">
      <c r="A255">
        <v>73.950073000000003</v>
      </c>
      <c r="B255" s="1">
        <f>DATE(2010,7,13) + TIME(22,48,6)</f>
        <v>40372.950069444443</v>
      </c>
      <c r="C255">
        <v>2400</v>
      </c>
      <c r="D255">
        <v>0</v>
      </c>
      <c r="E255">
        <v>0</v>
      </c>
      <c r="F255">
        <v>2400</v>
      </c>
      <c r="G255">
        <v>1367.8748779</v>
      </c>
      <c r="H255">
        <v>1358.6715088000001</v>
      </c>
      <c r="I255">
        <v>1293.3184814000001</v>
      </c>
      <c r="J255">
        <v>1273.0661620999999</v>
      </c>
      <c r="K255">
        <v>80</v>
      </c>
      <c r="L255">
        <v>79.862113953000005</v>
      </c>
      <c r="M255">
        <v>50</v>
      </c>
      <c r="N255">
        <v>14.99925518</v>
      </c>
    </row>
    <row r="256" spans="1:14" x14ac:dyDescent="0.25">
      <c r="A256">
        <v>74.876294999999999</v>
      </c>
      <c r="B256" s="1">
        <f>DATE(2010,7,14) + TIME(21,1,51)</f>
        <v>40373.876284722224</v>
      </c>
      <c r="C256">
        <v>2400</v>
      </c>
      <c r="D256">
        <v>0</v>
      </c>
      <c r="E256">
        <v>0</v>
      </c>
      <c r="F256">
        <v>2400</v>
      </c>
      <c r="G256">
        <v>1367.8319091999999</v>
      </c>
      <c r="H256">
        <v>1358.6319579999999</v>
      </c>
      <c r="I256">
        <v>1293.3332519999999</v>
      </c>
      <c r="J256">
        <v>1273.0767822</v>
      </c>
      <c r="K256">
        <v>80</v>
      </c>
      <c r="L256">
        <v>79.862281799000002</v>
      </c>
      <c r="M256">
        <v>50</v>
      </c>
      <c r="N256">
        <v>14.999278069000001</v>
      </c>
    </row>
    <row r="257" spans="1:14" x14ac:dyDescent="0.25">
      <c r="A257">
        <v>75.813874999999996</v>
      </c>
      <c r="B257" s="1">
        <f>DATE(2010,7,15) + TIME(19,31,58)</f>
        <v>40374.81386574074</v>
      </c>
      <c r="C257">
        <v>2400</v>
      </c>
      <c r="D257">
        <v>0</v>
      </c>
      <c r="E257">
        <v>0</v>
      </c>
      <c r="F257">
        <v>2400</v>
      </c>
      <c r="G257">
        <v>1367.7888184000001</v>
      </c>
      <c r="H257">
        <v>1358.5924072</v>
      </c>
      <c r="I257">
        <v>1293.3483887</v>
      </c>
      <c r="J257">
        <v>1273.0876464999999</v>
      </c>
      <c r="K257">
        <v>80</v>
      </c>
      <c r="L257">
        <v>79.862449646000002</v>
      </c>
      <c r="M257">
        <v>50</v>
      </c>
      <c r="N257">
        <v>14.999302864000001</v>
      </c>
    </row>
    <row r="258" spans="1:14" x14ac:dyDescent="0.25">
      <c r="A258">
        <v>76.759574999999998</v>
      </c>
      <c r="B258" s="1">
        <f>DATE(2010,7,16) + TIME(18,13,47)</f>
        <v>40375.759571759256</v>
      </c>
      <c r="C258">
        <v>2400</v>
      </c>
      <c r="D258">
        <v>0</v>
      </c>
      <c r="E258">
        <v>0</v>
      </c>
      <c r="F258">
        <v>2400</v>
      </c>
      <c r="G258">
        <v>1367.7456055</v>
      </c>
      <c r="H258">
        <v>1358.5527344</v>
      </c>
      <c r="I258">
        <v>1293.3637695</v>
      </c>
      <c r="J258">
        <v>1273.0986327999999</v>
      </c>
      <c r="K258">
        <v>80</v>
      </c>
      <c r="L258">
        <v>79.862617493000002</v>
      </c>
      <c r="M258">
        <v>50</v>
      </c>
      <c r="N258">
        <v>14.999331474</v>
      </c>
    </row>
    <row r="259" spans="1:14" x14ac:dyDescent="0.25">
      <c r="A259">
        <v>77.714915000000005</v>
      </c>
      <c r="B259" s="1">
        <f>DATE(2010,7,17) + TIME(17,9,28)</f>
        <v>40376.714907407404</v>
      </c>
      <c r="C259">
        <v>2400</v>
      </c>
      <c r="D259">
        <v>0</v>
      </c>
      <c r="E259">
        <v>0</v>
      </c>
      <c r="F259">
        <v>2400</v>
      </c>
      <c r="G259">
        <v>1367.7026367000001</v>
      </c>
      <c r="H259">
        <v>1358.5133057</v>
      </c>
      <c r="I259">
        <v>1293.3793945</v>
      </c>
      <c r="J259">
        <v>1273.1099853999999</v>
      </c>
      <c r="K259">
        <v>80</v>
      </c>
      <c r="L259">
        <v>79.862792968999997</v>
      </c>
      <c r="M259">
        <v>50</v>
      </c>
      <c r="N259">
        <v>14.999363899</v>
      </c>
    </row>
    <row r="260" spans="1:14" x14ac:dyDescent="0.25">
      <c r="A260">
        <v>78.681399999999996</v>
      </c>
      <c r="B260" s="1">
        <f>DATE(2010,7,18) + TIME(16,21,12)</f>
        <v>40377.681388888886</v>
      </c>
      <c r="C260">
        <v>2400</v>
      </c>
      <c r="D260">
        <v>0</v>
      </c>
      <c r="E260">
        <v>0</v>
      </c>
      <c r="F260">
        <v>2400</v>
      </c>
      <c r="G260">
        <v>1367.6595459</v>
      </c>
      <c r="H260">
        <v>1358.4738769999999</v>
      </c>
      <c r="I260">
        <v>1293.3955077999999</v>
      </c>
      <c r="J260">
        <v>1273.1214600000001</v>
      </c>
      <c r="K260">
        <v>80</v>
      </c>
      <c r="L260">
        <v>79.862960814999994</v>
      </c>
      <c r="M260">
        <v>50</v>
      </c>
      <c r="N260">
        <v>14.999401092999999</v>
      </c>
    </row>
    <row r="261" spans="1:14" x14ac:dyDescent="0.25">
      <c r="A261">
        <v>79.651279000000002</v>
      </c>
      <c r="B261" s="1">
        <f>DATE(2010,7,19) + TIME(15,37,50)</f>
        <v>40378.651273148149</v>
      </c>
      <c r="C261">
        <v>2400</v>
      </c>
      <c r="D261">
        <v>0</v>
      </c>
      <c r="E261">
        <v>0</v>
      </c>
      <c r="F261">
        <v>2400</v>
      </c>
      <c r="G261">
        <v>1367.6164550999999</v>
      </c>
      <c r="H261">
        <v>1358.4343262</v>
      </c>
      <c r="I261">
        <v>1293.4117432</v>
      </c>
      <c r="J261">
        <v>1273.1330565999999</v>
      </c>
      <c r="K261">
        <v>80</v>
      </c>
      <c r="L261">
        <v>79.863136291999993</v>
      </c>
      <c r="M261">
        <v>50</v>
      </c>
      <c r="N261">
        <v>14.999443054</v>
      </c>
    </row>
    <row r="262" spans="1:14" x14ac:dyDescent="0.25">
      <c r="A262">
        <v>80.621605000000002</v>
      </c>
      <c r="B262" s="1">
        <f>DATE(2010,7,20) + TIME(14,55,6)</f>
        <v>40379.62159722222</v>
      </c>
      <c r="C262">
        <v>2400</v>
      </c>
      <c r="D262">
        <v>0</v>
      </c>
      <c r="E262">
        <v>0</v>
      </c>
      <c r="F262">
        <v>2400</v>
      </c>
      <c r="G262">
        <v>1367.5737305</v>
      </c>
      <c r="H262">
        <v>1358.3952637</v>
      </c>
      <c r="I262">
        <v>1293.4283447</v>
      </c>
      <c r="J262">
        <v>1273.1448975000001</v>
      </c>
      <c r="K262">
        <v>80</v>
      </c>
      <c r="L262">
        <v>79.863304138000004</v>
      </c>
      <c r="M262">
        <v>50</v>
      </c>
      <c r="N262">
        <v>14.999490738</v>
      </c>
    </row>
    <row r="263" spans="1:14" x14ac:dyDescent="0.25">
      <c r="A263">
        <v>81.593997999999999</v>
      </c>
      <c r="B263" s="1">
        <f>DATE(2010,7,21) + TIME(14,15,21)</f>
        <v>40380.593993055554</v>
      </c>
      <c r="C263">
        <v>2400</v>
      </c>
      <c r="D263">
        <v>0</v>
      </c>
      <c r="E263">
        <v>0</v>
      </c>
      <c r="F263">
        <v>2400</v>
      </c>
      <c r="G263">
        <v>1367.5313721</v>
      </c>
      <c r="H263">
        <v>1358.3565673999999</v>
      </c>
      <c r="I263">
        <v>1293.4450684000001</v>
      </c>
      <c r="J263">
        <v>1273.1568603999999</v>
      </c>
      <c r="K263">
        <v>80</v>
      </c>
      <c r="L263">
        <v>79.863479613999999</v>
      </c>
      <c r="M263">
        <v>50</v>
      </c>
      <c r="N263">
        <v>14.999546050999999</v>
      </c>
    </row>
    <row r="264" spans="1:14" x14ac:dyDescent="0.25">
      <c r="A264">
        <v>82.570043999999996</v>
      </c>
      <c r="B264" s="1">
        <f>DATE(2010,7,22) + TIME(13,40,51)</f>
        <v>40381.570034722223</v>
      </c>
      <c r="C264">
        <v>2400</v>
      </c>
      <c r="D264">
        <v>0</v>
      </c>
      <c r="E264">
        <v>0</v>
      </c>
      <c r="F264">
        <v>2400</v>
      </c>
      <c r="G264">
        <v>1367.4895019999999</v>
      </c>
      <c r="H264">
        <v>1358.3181152</v>
      </c>
      <c r="I264">
        <v>1293.4620361</v>
      </c>
      <c r="J264">
        <v>1273.1689452999999</v>
      </c>
      <c r="K264">
        <v>80</v>
      </c>
      <c r="L264">
        <v>79.863655089999995</v>
      </c>
      <c r="M264">
        <v>50</v>
      </c>
      <c r="N264">
        <v>14.999609947</v>
      </c>
    </row>
    <row r="265" spans="1:14" x14ac:dyDescent="0.25">
      <c r="A265">
        <v>83.551314000000005</v>
      </c>
      <c r="B265" s="1">
        <f>DATE(2010,7,23) + TIME(13,13,53)</f>
        <v>40382.551307870373</v>
      </c>
      <c r="C265">
        <v>2400</v>
      </c>
      <c r="D265">
        <v>0</v>
      </c>
      <c r="E265">
        <v>0</v>
      </c>
      <c r="F265">
        <v>2400</v>
      </c>
      <c r="G265">
        <v>1367.4477539</v>
      </c>
      <c r="H265">
        <v>1358.2801514</v>
      </c>
      <c r="I265">
        <v>1293.479126</v>
      </c>
      <c r="J265">
        <v>1273.1811522999999</v>
      </c>
      <c r="K265">
        <v>80</v>
      </c>
      <c r="L265">
        <v>79.863822936999995</v>
      </c>
      <c r="M265">
        <v>50</v>
      </c>
      <c r="N265">
        <v>14.99968338</v>
      </c>
    </row>
    <row r="266" spans="1:14" x14ac:dyDescent="0.25">
      <c r="A266">
        <v>84.539366000000001</v>
      </c>
      <c r="B266" s="1">
        <f>DATE(2010,7,24) + TIME(12,56,41)</f>
        <v>40383.539363425924</v>
      </c>
      <c r="C266">
        <v>2400</v>
      </c>
      <c r="D266">
        <v>0</v>
      </c>
      <c r="E266">
        <v>0</v>
      </c>
      <c r="F266">
        <v>2400</v>
      </c>
      <c r="G266">
        <v>1367.40625</v>
      </c>
      <c r="H266">
        <v>1358.2421875</v>
      </c>
      <c r="I266">
        <v>1293.496582</v>
      </c>
      <c r="J266">
        <v>1273.1936035000001</v>
      </c>
      <c r="K266">
        <v>80</v>
      </c>
      <c r="L266">
        <v>79.863998413000004</v>
      </c>
      <c r="M266">
        <v>50</v>
      </c>
      <c r="N266">
        <v>14.999768256999999</v>
      </c>
    </row>
    <row r="267" spans="1:14" x14ac:dyDescent="0.25">
      <c r="A267">
        <v>85.535758000000001</v>
      </c>
      <c r="B267" s="1">
        <f>DATE(2010,7,25) + TIME(12,51,29)</f>
        <v>40384.535752314812</v>
      </c>
      <c r="C267">
        <v>2400</v>
      </c>
      <c r="D267">
        <v>0</v>
      </c>
      <c r="E267">
        <v>0</v>
      </c>
      <c r="F267">
        <v>2400</v>
      </c>
      <c r="G267">
        <v>1367.3649902</v>
      </c>
      <c r="H267">
        <v>1358.2044678</v>
      </c>
      <c r="I267">
        <v>1293.5144043</v>
      </c>
      <c r="J267">
        <v>1273.2062988</v>
      </c>
      <c r="K267">
        <v>80</v>
      </c>
      <c r="L267">
        <v>79.864173889</v>
      </c>
      <c r="M267">
        <v>50</v>
      </c>
      <c r="N267">
        <v>14.999867439000001</v>
      </c>
    </row>
    <row r="268" spans="1:14" x14ac:dyDescent="0.25">
      <c r="A268">
        <v>86.539002999999994</v>
      </c>
      <c r="B268" s="1">
        <f>DATE(2010,7,26) + TIME(12,56,9)</f>
        <v>40385.538993055554</v>
      </c>
      <c r="C268">
        <v>2400</v>
      </c>
      <c r="D268">
        <v>0</v>
      </c>
      <c r="E268">
        <v>0</v>
      </c>
      <c r="F268">
        <v>2400</v>
      </c>
      <c r="G268">
        <v>1367.3237305</v>
      </c>
      <c r="H268">
        <v>1358.1668701000001</v>
      </c>
      <c r="I268">
        <v>1293.5324707</v>
      </c>
      <c r="J268">
        <v>1273.2191161999999</v>
      </c>
      <c r="K268">
        <v>80</v>
      </c>
      <c r="L268">
        <v>79.864349364999995</v>
      </c>
      <c r="M268">
        <v>50</v>
      </c>
      <c r="N268">
        <v>14.999982834000001</v>
      </c>
    </row>
    <row r="269" spans="1:14" x14ac:dyDescent="0.25">
      <c r="A269">
        <v>87.545725000000004</v>
      </c>
      <c r="B269" s="1">
        <f>DATE(2010,7,27) + TIME(13,5,50)</f>
        <v>40386.545717592591</v>
      </c>
      <c r="C269">
        <v>2400</v>
      </c>
      <c r="D269">
        <v>0</v>
      </c>
      <c r="E269">
        <v>0</v>
      </c>
      <c r="F269">
        <v>2400</v>
      </c>
      <c r="G269">
        <v>1367.2825928</v>
      </c>
      <c r="H269">
        <v>1358.1293945</v>
      </c>
      <c r="I269">
        <v>1293.5509033000001</v>
      </c>
      <c r="J269">
        <v>1273.2321777</v>
      </c>
      <c r="K269">
        <v>80</v>
      </c>
      <c r="L269">
        <v>79.864524841000005</v>
      </c>
      <c r="M269">
        <v>50</v>
      </c>
      <c r="N269">
        <v>15.000117302</v>
      </c>
    </row>
    <row r="270" spans="1:14" x14ac:dyDescent="0.25">
      <c r="A270">
        <v>88.557595000000006</v>
      </c>
      <c r="B270" s="1">
        <f>DATE(2010,7,28) + TIME(13,22,56)</f>
        <v>40387.557592592595</v>
      </c>
      <c r="C270">
        <v>2400</v>
      </c>
      <c r="D270">
        <v>0</v>
      </c>
      <c r="E270">
        <v>0</v>
      </c>
      <c r="F270">
        <v>2400</v>
      </c>
      <c r="G270">
        <v>1367.2416992000001</v>
      </c>
      <c r="H270">
        <v>1358.0921631000001</v>
      </c>
      <c r="I270">
        <v>1293.5695800999999</v>
      </c>
      <c r="J270">
        <v>1273.2454834</v>
      </c>
      <c r="K270">
        <v>80</v>
      </c>
      <c r="L270">
        <v>79.864700317</v>
      </c>
      <c r="M270">
        <v>50</v>
      </c>
      <c r="N270">
        <v>15.000273705</v>
      </c>
    </row>
    <row r="271" spans="1:14" x14ac:dyDescent="0.25">
      <c r="A271">
        <v>89.576263999999995</v>
      </c>
      <c r="B271" s="1">
        <f>DATE(2010,7,29) + TIME(13,49,49)</f>
        <v>40388.576261574075</v>
      </c>
      <c r="C271">
        <v>2400</v>
      </c>
      <c r="D271">
        <v>0</v>
      </c>
      <c r="E271">
        <v>0</v>
      </c>
      <c r="F271">
        <v>2400</v>
      </c>
      <c r="G271">
        <v>1367.2009277</v>
      </c>
      <c r="H271">
        <v>1358.0551757999999</v>
      </c>
      <c r="I271">
        <v>1293.588501</v>
      </c>
      <c r="J271">
        <v>1273.2589111</v>
      </c>
      <c r="K271">
        <v>80</v>
      </c>
      <c r="L271">
        <v>79.864875792999996</v>
      </c>
      <c r="M271">
        <v>50</v>
      </c>
      <c r="N271">
        <v>15.000455856</v>
      </c>
    </row>
    <row r="272" spans="1:14" x14ac:dyDescent="0.25">
      <c r="A272">
        <v>90.603384000000005</v>
      </c>
      <c r="B272" s="1">
        <f>DATE(2010,7,30) + TIME(14,28,52)</f>
        <v>40389.603379629632</v>
      </c>
      <c r="C272">
        <v>2400</v>
      </c>
      <c r="D272">
        <v>0</v>
      </c>
      <c r="E272">
        <v>0</v>
      </c>
      <c r="F272">
        <v>2400</v>
      </c>
      <c r="G272">
        <v>1367.1604004000001</v>
      </c>
      <c r="H272">
        <v>1358.0181885</v>
      </c>
      <c r="I272">
        <v>1293.6079102000001</v>
      </c>
      <c r="J272">
        <v>1273.2725829999999</v>
      </c>
      <c r="K272">
        <v>80</v>
      </c>
      <c r="L272">
        <v>79.865051269999995</v>
      </c>
      <c r="M272">
        <v>50</v>
      </c>
      <c r="N272">
        <v>15.000667571999999</v>
      </c>
    </row>
    <row r="273" spans="1:14" x14ac:dyDescent="0.25">
      <c r="A273">
        <v>91.640621999999993</v>
      </c>
      <c r="B273" s="1">
        <f>DATE(2010,7,31) + TIME(15,22,29)</f>
        <v>40390.640613425923</v>
      </c>
      <c r="C273">
        <v>2400</v>
      </c>
      <c r="D273">
        <v>0</v>
      </c>
      <c r="E273">
        <v>0</v>
      </c>
      <c r="F273">
        <v>2400</v>
      </c>
      <c r="G273">
        <v>1367.1199951000001</v>
      </c>
      <c r="H273">
        <v>1357.9814452999999</v>
      </c>
      <c r="I273">
        <v>1293.6276855000001</v>
      </c>
      <c r="J273">
        <v>1273.286499</v>
      </c>
      <c r="K273">
        <v>80</v>
      </c>
      <c r="L273">
        <v>79.865234375</v>
      </c>
      <c r="M273">
        <v>50</v>
      </c>
      <c r="N273">
        <v>15.000915527</v>
      </c>
    </row>
    <row r="274" spans="1:14" x14ac:dyDescent="0.25">
      <c r="A274">
        <v>92</v>
      </c>
      <c r="B274" s="1">
        <f>DATE(2010,8,1) + TIME(0,0,0)</f>
        <v>40391</v>
      </c>
      <c r="C274">
        <v>2400</v>
      </c>
      <c r="D274">
        <v>0</v>
      </c>
      <c r="E274">
        <v>0</v>
      </c>
      <c r="F274">
        <v>2400</v>
      </c>
      <c r="G274">
        <v>1367.0792236</v>
      </c>
      <c r="H274">
        <v>1357.9443358999999</v>
      </c>
      <c r="I274">
        <v>1293.6473389</v>
      </c>
      <c r="J274">
        <v>1273.300293</v>
      </c>
      <c r="K274">
        <v>80</v>
      </c>
      <c r="L274">
        <v>79.865287781000006</v>
      </c>
      <c r="M274">
        <v>50</v>
      </c>
      <c r="N274">
        <v>15.001049042</v>
      </c>
    </row>
    <row r="275" spans="1:14" x14ac:dyDescent="0.25">
      <c r="A275">
        <v>93.049080000000004</v>
      </c>
      <c r="B275" s="1">
        <f>DATE(2010,8,2) + TIME(1,10,40)</f>
        <v>40392.049074074072</v>
      </c>
      <c r="C275">
        <v>2400</v>
      </c>
      <c r="D275">
        <v>0</v>
      </c>
      <c r="E275">
        <v>0</v>
      </c>
      <c r="F275">
        <v>2400</v>
      </c>
      <c r="G275">
        <v>1367.0653076000001</v>
      </c>
      <c r="H275">
        <v>1357.9317627</v>
      </c>
      <c r="I275">
        <v>1293.6550293</v>
      </c>
      <c r="J275">
        <v>1273.3057861</v>
      </c>
      <c r="K275">
        <v>80</v>
      </c>
      <c r="L275">
        <v>79.865470885999997</v>
      </c>
      <c r="M275">
        <v>50</v>
      </c>
      <c r="N275">
        <v>15.001342772999999</v>
      </c>
    </row>
    <row r="276" spans="1:14" x14ac:dyDescent="0.25">
      <c r="A276">
        <v>94.117045000000005</v>
      </c>
      <c r="B276" s="1">
        <f>DATE(2010,8,3) + TIME(2,48,32)</f>
        <v>40393.117037037038</v>
      </c>
      <c r="C276">
        <v>2400</v>
      </c>
      <c r="D276">
        <v>0</v>
      </c>
      <c r="E276">
        <v>0</v>
      </c>
      <c r="F276">
        <v>2400</v>
      </c>
      <c r="G276">
        <v>1367.0250243999999</v>
      </c>
      <c r="H276">
        <v>1357.8951416</v>
      </c>
      <c r="I276">
        <v>1293.6757812000001</v>
      </c>
      <c r="J276">
        <v>1273.3204346</v>
      </c>
      <c r="K276">
        <v>80</v>
      </c>
      <c r="L276">
        <v>79.865661621000001</v>
      </c>
      <c r="M276">
        <v>50</v>
      </c>
      <c r="N276">
        <v>15.001694679</v>
      </c>
    </row>
    <row r="277" spans="1:14" x14ac:dyDescent="0.25">
      <c r="A277">
        <v>94.653845000000004</v>
      </c>
      <c r="B277" s="1">
        <f>DATE(2010,8,3) + TIME(15,41,32)</f>
        <v>40393.65384259259</v>
      </c>
      <c r="C277">
        <v>2400</v>
      </c>
      <c r="D277">
        <v>0</v>
      </c>
      <c r="E277">
        <v>0</v>
      </c>
      <c r="F277">
        <v>2400</v>
      </c>
      <c r="G277">
        <v>1366.9838867000001</v>
      </c>
      <c r="H277">
        <v>1357.8577881000001</v>
      </c>
      <c r="I277">
        <v>1293.6968993999999</v>
      </c>
      <c r="J277">
        <v>1273.3352050999999</v>
      </c>
      <c r="K277">
        <v>80</v>
      </c>
      <c r="L277">
        <v>79.865737914999997</v>
      </c>
      <c r="M277">
        <v>50</v>
      </c>
      <c r="N277">
        <v>15.001952170999999</v>
      </c>
    </row>
    <row r="278" spans="1:14" x14ac:dyDescent="0.25">
      <c r="A278">
        <v>95.190567000000001</v>
      </c>
      <c r="B278" s="1">
        <f>DATE(2010,8,4) + TIME(4,34,24)</f>
        <v>40394.190555555557</v>
      </c>
      <c r="C278">
        <v>2400</v>
      </c>
      <c r="D278">
        <v>0</v>
      </c>
      <c r="E278">
        <v>0</v>
      </c>
      <c r="F278">
        <v>2400</v>
      </c>
      <c r="G278">
        <v>1366.9633789</v>
      </c>
      <c r="H278">
        <v>1357.8389893000001</v>
      </c>
      <c r="I278">
        <v>1293.7078856999999</v>
      </c>
      <c r="J278">
        <v>1273.3428954999999</v>
      </c>
      <c r="K278">
        <v>80</v>
      </c>
      <c r="L278">
        <v>79.865829468000001</v>
      </c>
      <c r="M278">
        <v>50</v>
      </c>
      <c r="N278">
        <v>15.002219200000001</v>
      </c>
    </row>
    <row r="279" spans="1:14" x14ac:dyDescent="0.25">
      <c r="A279">
        <v>95.727288999999999</v>
      </c>
      <c r="B279" s="1">
        <f>DATE(2010,8,4) + TIME(17,27,17)</f>
        <v>40394.727280092593</v>
      </c>
      <c r="C279">
        <v>2400</v>
      </c>
      <c r="D279">
        <v>0</v>
      </c>
      <c r="E279">
        <v>0</v>
      </c>
      <c r="F279">
        <v>2400</v>
      </c>
      <c r="G279">
        <v>1366.9429932</v>
      </c>
      <c r="H279">
        <v>1357.8205565999999</v>
      </c>
      <c r="I279">
        <v>1293.7188721</v>
      </c>
      <c r="J279">
        <v>1273.3507079999999</v>
      </c>
      <c r="K279">
        <v>80</v>
      </c>
      <c r="L279">
        <v>79.865913391000007</v>
      </c>
      <c r="M279">
        <v>50</v>
      </c>
      <c r="N279">
        <v>15.00249958</v>
      </c>
    </row>
    <row r="280" spans="1:14" x14ac:dyDescent="0.25">
      <c r="A280">
        <v>96.264010999999996</v>
      </c>
      <c r="B280" s="1">
        <f>DATE(2010,8,5) + TIME(6,20,10)</f>
        <v>40395.264004629629</v>
      </c>
      <c r="C280">
        <v>2400</v>
      </c>
      <c r="D280">
        <v>0</v>
      </c>
      <c r="E280">
        <v>0</v>
      </c>
      <c r="F280">
        <v>2400</v>
      </c>
      <c r="G280">
        <v>1366.9228516000001</v>
      </c>
      <c r="H280">
        <v>1357.8022461</v>
      </c>
      <c r="I280">
        <v>1293.7299805</v>
      </c>
      <c r="J280">
        <v>1273.3583983999999</v>
      </c>
      <c r="K280">
        <v>80</v>
      </c>
      <c r="L280">
        <v>79.866004943999997</v>
      </c>
      <c r="M280">
        <v>50</v>
      </c>
      <c r="N280">
        <v>15.002796173</v>
      </c>
    </row>
    <row r="281" spans="1:14" x14ac:dyDescent="0.25">
      <c r="A281">
        <v>96.800731999999996</v>
      </c>
      <c r="B281" s="1">
        <f>DATE(2010,8,5) + TIME(19,13,3)</f>
        <v>40395.800729166665</v>
      </c>
      <c r="C281">
        <v>2400</v>
      </c>
      <c r="D281">
        <v>0</v>
      </c>
      <c r="E281">
        <v>0</v>
      </c>
      <c r="F281">
        <v>2400</v>
      </c>
      <c r="G281">
        <v>1366.902832</v>
      </c>
      <c r="H281">
        <v>1357.7840576000001</v>
      </c>
      <c r="I281">
        <v>1293.7412108999999</v>
      </c>
      <c r="J281">
        <v>1273.3663329999999</v>
      </c>
      <c r="K281">
        <v>80</v>
      </c>
      <c r="L281">
        <v>79.866096497000001</v>
      </c>
      <c r="M281">
        <v>50</v>
      </c>
      <c r="N281">
        <v>15.003109931999999</v>
      </c>
    </row>
    <row r="282" spans="1:14" x14ac:dyDescent="0.25">
      <c r="A282">
        <v>97.337453999999994</v>
      </c>
      <c r="B282" s="1">
        <f>DATE(2010,8,6) + TIME(8,5,56)</f>
        <v>40396.337453703702</v>
      </c>
      <c r="C282">
        <v>2400</v>
      </c>
      <c r="D282">
        <v>0</v>
      </c>
      <c r="E282">
        <v>0</v>
      </c>
      <c r="F282">
        <v>2400</v>
      </c>
      <c r="G282">
        <v>1366.8828125</v>
      </c>
      <c r="H282">
        <v>1357.7658690999999</v>
      </c>
      <c r="I282">
        <v>1293.7524414</v>
      </c>
      <c r="J282">
        <v>1273.3741454999999</v>
      </c>
      <c r="K282">
        <v>80</v>
      </c>
      <c r="L282">
        <v>79.866188049000002</v>
      </c>
      <c r="M282">
        <v>50</v>
      </c>
      <c r="N282">
        <v>15.003444672000001</v>
      </c>
    </row>
    <row r="283" spans="1:14" x14ac:dyDescent="0.25">
      <c r="A283">
        <v>97.874176000000006</v>
      </c>
      <c r="B283" s="1">
        <f>DATE(2010,8,6) + TIME(20,58,48)</f>
        <v>40396.874166666668</v>
      </c>
      <c r="C283">
        <v>2400</v>
      </c>
      <c r="D283">
        <v>0</v>
      </c>
      <c r="E283">
        <v>0</v>
      </c>
      <c r="F283">
        <v>2400</v>
      </c>
      <c r="G283">
        <v>1366.8629149999999</v>
      </c>
      <c r="H283">
        <v>1357.7478027</v>
      </c>
      <c r="I283">
        <v>1293.7636719</v>
      </c>
      <c r="J283">
        <v>1273.3820800999999</v>
      </c>
      <c r="K283">
        <v>80</v>
      </c>
      <c r="L283">
        <v>79.866279602000006</v>
      </c>
      <c r="M283">
        <v>50</v>
      </c>
      <c r="N283">
        <v>15.003803252999999</v>
      </c>
    </row>
    <row r="284" spans="1:14" x14ac:dyDescent="0.25">
      <c r="A284">
        <v>98.410898000000003</v>
      </c>
      <c r="B284" s="1">
        <f>DATE(2010,8,7) + TIME(9,51,41)</f>
        <v>40397.410891203705</v>
      </c>
      <c r="C284">
        <v>2400</v>
      </c>
      <c r="D284">
        <v>0</v>
      </c>
      <c r="E284">
        <v>0</v>
      </c>
      <c r="F284">
        <v>2400</v>
      </c>
      <c r="G284">
        <v>1366.8430175999999</v>
      </c>
      <c r="H284">
        <v>1357.7297363</v>
      </c>
      <c r="I284">
        <v>1293.7751464999999</v>
      </c>
      <c r="J284">
        <v>1273.3901367000001</v>
      </c>
      <c r="K284">
        <v>80</v>
      </c>
      <c r="L284">
        <v>79.866371154999996</v>
      </c>
      <c r="M284">
        <v>50</v>
      </c>
      <c r="N284">
        <v>15.00418663</v>
      </c>
    </row>
    <row r="285" spans="1:14" x14ac:dyDescent="0.25">
      <c r="A285">
        <v>98.947620000000001</v>
      </c>
      <c r="B285" s="1">
        <f>DATE(2010,8,7) + TIME(22,44,34)</f>
        <v>40397.947615740741</v>
      </c>
      <c r="C285">
        <v>2400</v>
      </c>
      <c r="D285">
        <v>0</v>
      </c>
      <c r="E285">
        <v>0</v>
      </c>
      <c r="F285">
        <v>2400</v>
      </c>
      <c r="G285">
        <v>1366.8233643000001</v>
      </c>
      <c r="H285">
        <v>1357.7119141000001</v>
      </c>
      <c r="I285">
        <v>1293.7866211</v>
      </c>
      <c r="J285">
        <v>1273.3981934000001</v>
      </c>
      <c r="K285">
        <v>80</v>
      </c>
      <c r="L285">
        <v>79.866462708</v>
      </c>
      <c r="M285">
        <v>50</v>
      </c>
      <c r="N285">
        <v>15.00459671</v>
      </c>
    </row>
    <row r="286" spans="1:14" x14ac:dyDescent="0.25">
      <c r="A286">
        <v>99.484341000000001</v>
      </c>
      <c r="B286" s="1">
        <f>DATE(2010,8,8) + TIME(11,37,27)</f>
        <v>40398.484340277777</v>
      </c>
      <c r="C286">
        <v>2400</v>
      </c>
      <c r="D286">
        <v>0</v>
      </c>
      <c r="E286">
        <v>0</v>
      </c>
      <c r="F286">
        <v>2400</v>
      </c>
      <c r="G286">
        <v>1366.8037108999999</v>
      </c>
      <c r="H286">
        <v>1357.6940918</v>
      </c>
      <c r="I286">
        <v>1293.7980957</v>
      </c>
      <c r="J286">
        <v>1273.40625</v>
      </c>
      <c r="K286">
        <v>80</v>
      </c>
      <c r="L286">
        <v>79.866554260000001</v>
      </c>
      <c r="M286">
        <v>50</v>
      </c>
      <c r="N286">
        <v>15.005037308</v>
      </c>
    </row>
    <row r="287" spans="1:14" x14ac:dyDescent="0.25">
      <c r="A287">
        <v>100.021063</v>
      </c>
      <c r="B287" s="1">
        <f>DATE(2010,8,9) + TIME(0,30,19)</f>
        <v>40399.021053240744</v>
      </c>
      <c r="C287">
        <v>2400</v>
      </c>
      <c r="D287">
        <v>0</v>
      </c>
      <c r="E287">
        <v>0</v>
      </c>
      <c r="F287">
        <v>2400</v>
      </c>
      <c r="G287">
        <v>1366.7841797000001</v>
      </c>
      <c r="H287">
        <v>1357.6762695</v>
      </c>
      <c r="I287">
        <v>1293.8098144999999</v>
      </c>
      <c r="J287">
        <v>1273.4144286999999</v>
      </c>
      <c r="K287">
        <v>80</v>
      </c>
      <c r="L287">
        <v>79.866645813000005</v>
      </c>
      <c r="M287">
        <v>50</v>
      </c>
      <c r="N287">
        <v>15.005508423</v>
      </c>
    </row>
    <row r="288" spans="1:14" x14ac:dyDescent="0.25">
      <c r="A288">
        <v>100.557785</v>
      </c>
      <c r="B288" s="1">
        <f>DATE(2010,8,9) + TIME(13,23,12)</f>
        <v>40399.55777777778</v>
      </c>
      <c r="C288">
        <v>2400</v>
      </c>
      <c r="D288">
        <v>0</v>
      </c>
      <c r="E288">
        <v>0</v>
      </c>
      <c r="F288">
        <v>2400</v>
      </c>
      <c r="G288">
        <v>1366.7646483999999</v>
      </c>
      <c r="H288">
        <v>1357.6586914</v>
      </c>
      <c r="I288">
        <v>1293.8215332</v>
      </c>
      <c r="J288">
        <v>1273.4226074000001</v>
      </c>
      <c r="K288">
        <v>80</v>
      </c>
      <c r="L288">
        <v>79.866737365999995</v>
      </c>
      <c r="M288">
        <v>50</v>
      </c>
      <c r="N288">
        <v>15.006014823999999</v>
      </c>
    </row>
    <row r="289" spans="1:14" x14ac:dyDescent="0.25">
      <c r="A289">
        <v>101.09450699999999</v>
      </c>
      <c r="B289" s="1">
        <f>DATE(2010,8,10) + TIME(2,16,5)</f>
        <v>40400.094502314816</v>
      </c>
      <c r="C289">
        <v>2400</v>
      </c>
      <c r="D289">
        <v>0</v>
      </c>
      <c r="E289">
        <v>0</v>
      </c>
      <c r="F289">
        <v>2400</v>
      </c>
      <c r="G289">
        <v>1366.7452393000001</v>
      </c>
      <c r="H289">
        <v>1357.6411132999999</v>
      </c>
      <c r="I289">
        <v>1293.833374</v>
      </c>
      <c r="J289">
        <v>1273.4309082</v>
      </c>
      <c r="K289">
        <v>80</v>
      </c>
      <c r="L289">
        <v>79.866828917999996</v>
      </c>
      <c r="M289">
        <v>50</v>
      </c>
      <c r="N289">
        <v>15.006557465</v>
      </c>
    </row>
    <row r="290" spans="1:14" x14ac:dyDescent="0.25">
      <c r="A290">
        <v>101.631229</v>
      </c>
      <c r="B290" s="1">
        <f>DATE(2010,8,10) + TIME(15,8,58)</f>
        <v>40400.631226851852</v>
      </c>
      <c r="C290">
        <v>2400</v>
      </c>
      <c r="D290">
        <v>0</v>
      </c>
      <c r="E290">
        <v>0</v>
      </c>
      <c r="F290">
        <v>2400</v>
      </c>
      <c r="G290">
        <v>1366.7259521000001</v>
      </c>
      <c r="H290">
        <v>1357.6235352000001</v>
      </c>
      <c r="I290">
        <v>1293.8452147999999</v>
      </c>
      <c r="J290">
        <v>1273.4392089999999</v>
      </c>
      <c r="K290">
        <v>80</v>
      </c>
      <c r="L290">
        <v>79.866920471</v>
      </c>
      <c r="M290">
        <v>50</v>
      </c>
      <c r="N290">
        <v>15.007139206</v>
      </c>
    </row>
    <row r="291" spans="1:14" x14ac:dyDescent="0.25">
      <c r="A291">
        <v>102.167951</v>
      </c>
      <c r="B291" s="1">
        <f>DATE(2010,8,11) + TIME(4,1,50)</f>
        <v>40401.167939814812</v>
      </c>
      <c r="C291">
        <v>2400</v>
      </c>
      <c r="D291">
        <v>0</v>
      </c>
      <c r="E291">
        <v>0</v>
      </c>
      <c r="F291">
        <v>2400</v>
      </c>
      <c r="G291">
        <v>1366.7067870999999</v>
      </c>
      <c r="H291">
        <v>1357.6062012</v>
      </c>
      <c r="I291">
        <v>1293.8572998</v>
      </c>
      <c r="J291">
        <v>1273.4476318</v>
      </c>
      <c r="K291">
        <v>80</v>
      </c>
      <c r="L291">
        <v>79.867012024000005</v>
      </c>
      <c r="M291">
        <v>50</v>
      </c>
      <c r="N291">
        <v>15.007762909</v>
      </c>
    </row>
    <row r="292" spans="1:14" x14ac:dyDescent="0.25">
      <c r="A292">
        <v>102.704672</v>
      </c>
      <c r="B292" s="1">
        <f>DATE(2010,8,11) + TIME(16,54,43)</f>
        <v>40401.704664351855</v>
      </c>
      <c r="C292">
        <v>2400</v>
      </c>
      <c r="D292">
        <v>0</v>
      </c>
      <c r="E292">
        <v>0</v>
      </c>
      <c r="F292">
        <v>2400</v>
      </c>
      <c r="G292">
        <v>1366.6876221</v>
      </c>
      <c r="H292">
        <v>1357.5887451000001</v>
      </c>
      <c r="I292">
        <v>1293.8693848</v>
      </c>
      <c r="J292">
        <v>1273.4560547000001</v>
      </c>
      <c r="K292">
        <v>80</v>
      </c>
      <c r="L292">
        <v>79.867095946999996</v>
      </c>
      <c r="M292">
        <v>50</v>
      </c>
      <c r="N292">
        <v>15.008430481</v>
      </c>
    </row>
    <row r="293" spans="1:14" x14ac:dyDescent="0.25">
      <c r="A293">
        <v>103.778116</v>
      </c>
      <c r="B293" s="1">
        <f>DATE(2010,8,12) + TIME(18,40,29)</f>
        <v>40402.778113425928</v>
      </c>
      <c r="C293">
        <v>2400</v>
      </c>
      <c r="D293">
        <v>0</v>
      </c>
      <c r="E293">
        <v>0</v>
      </c>
      <c r="F293">
        <v>2400</v>
      </c>
      <c r="G293">
        <v>1366.6689452999999</v>
      </c>
      <c r="H293">
        <v>1357.5720214999999</v>
      </c>
      <c r="I293">
        <v>1293.8817139</v>
      </c>
      <c r="J293">
        <v>1273.4648437999999</v>
      </c>
      <c r="K293">
        <v>80</v>
      </c>
      <c r="L293">
        <v>79.867294311999999</v>
      </c>
      <c r="M293">
        <v>50</v>
      </c>
      <c r="N293">
        <v>15.009584427</v>
      </c>
    </row>
    <row r="294" spans="1:14" x14ac:dyDescent="0.25">
      <c r="A294">
        <v>104.854461</v>
      </c>
      <c r="B294" s="1">
        <f>DATE(2010,8,13) + TIME(20,30,25)</f>
        <v>40403.854456018518</v>
      </c>
      <c r="C294">
        <v>2400</v>
      </c>
      <c r="D294">
        <v>0</v>
      </c>
      <c r="E294">
        <v>0</v>
      </c>
      <c r="F294">
        <v>2400</v>
      </c>
      <c r="G294">
        <v>1366.6312256000001</v>
      </c>
      <c r="H294">
        <v>1357.5378418</v>
      </c>
      <c r="I294">
        <v>1293.9061279</v>
      </c>
      <c r="J294">
        <v>1273.4820557</v>
      </c>
      <c r="K294">
        <v>80</v>
      </c>
      <c r="L294">
        <v>79.867485045999999</v>
      </c>
      <c r="M294">
        <v>50</v>
      </c>
      <c r="N294">
        <v>15.011009216</v>
      </c>
    </row>
    <row r="295" spans="1:14" x14ac:dyDescent="0.25">
      <c r="A295">
        <v>105.94327800000001</v>
      </c>
      <c r="B295" s="1">
        <f>DATE(2010,8,14) + TIME(22,38,19)</f>
        <v>40404.94327546296</v>
      </c>
      <c r="C295">
        <v>2400</v>
      </c>
      <c r="D295">
        <v>0</v>
      </c>
      <c r="E295">
        <v>0</v>
      </c>
      <c r="F295">
        <v>2400</v>
      </c>
      <c r="G295">
        <v>1366.5936279</v>
      </c>
      <c r="H295">
        <v>1357.5037841999999</v>
      </c>
      <c r="I295">
        <v>1293.9311522999999</v>
      </c>
      <c r="J295">
        <v>1273.4995117000001</v>
      </c>
      <c r="K295">
        <v>80</v>
      </c>
      <c r="L295">
        <v>79.867668151999993</v>
      </c>
      <c r="M295">
        <v>50</v>
      </c>
      <c r="N295">
        <v>15.012711525</v>
      </c>
    </row>
    <row r="296" spans="1:14" x14ac:dyDescent="0.25">
      <c r="A296">
        <v>107.04624</v>
      </c>
      <c r="B296" s="1">
        <f>DATE(2010,8,16) + TIME(1,6,35)</f>
        <v>40406.046238425923</v>
      </c>
      <c r="C296">
        <v>2400</v>
      </c>
      <c r="D296">
        <v>0</v>
      </c>
      <c r="E296">
        <v>0</v>
      </c>
      <c r="F296">
        <v>2400</v>
      </c>
      <c r="G296">
        <v>1366.5559082</v>
      </c>
      <c r="H296">
        <v>1357.4697266000001</v>
      </c>
      <c r="I296">
        <v>1293.9569091999999</v>
      </c>
      <c r="J296">
        <v>1273.5174560999999</v>
      </c>
      <c r="K296">
        <v>80</v>
      </c>
      <c r="L296">
        <v>79.867851256999998</v>
      </c>
      <c r="M296">
        <v>50</v>
      </c>
      <c r="N296">
        <v>15.014710426000001</v>
      </c>
    </row>
    <row r="297" spans="1:14" x14ac:dyDescent="0.25">
      <c r="A297">
        <v>108.165143</v>
      </c>
      <c r="B297" s="1">
        <f>DATE(2010,8,17) + TIME(3,57,48)</f>
        <v>40407.165138888886</v>
      </c>
      <c r="C297">
        <v>2400</v>
      </c>
      <c r="D297">
        <v>0</v>
      </c>
      <c r="E297">
        <v>0</v>
      </c>
      <c r="F297">
        <v>2400</v>
      </c>
      <c r="G297">
        <v>1366.5179443</v>
      </c>
      <c r="H297">
        <v>1357.4354248</v>
      </c>
      <c r="I297">
        <v>1293.9833983999999</v>
      </c>
      <c r="J297">
        <v>1273.5358887</v>
      </c>
      <c r="K297">
        <v>80</v>
      </c>
      <c r="L297">
        <v>79.868041992000002</v>
      </c>
      <c r="M297">
        <v>50</v>
      </c>
      <c r="N297">
        <v>15.017039299</v>
      </c>
    </row>
    <row r="298" spans="1:14" x14ac:dyDescent="0.25">
      <c r="A298">
        <v>108.733755</v>
      </c>
      <c r="B298" s="1">
        <f>DATE(2010,8,17) + TIME(17,36,36)</f>
        <v>40407.733749999999</v>
      </c>
      <c r="C298">
        <v>2400</v>
      </c>
      <c r="D298">
        <v>0</v>
      </c>
      <c r="E298">
        <v>0</v>
      </c>
      <c r="F298">
        <v>2400</v>
      </c>
      <c r="G298">
        <v>1366.4794922000001</v>
      </c>
      <c r="H298">
        <v>1357.4005127</v>
      </c>
      <c r="I298">
        <v>1294.0107422000001</v>
      </c>
      <c r="J298">
        <v>1273.5546875</v>
      </c>
      <c r="K298">
        <v>80</v>
      </c>
      <c r="L298">
        <v>79.868125915999997</v>
      </c>
      <c r="M298">
        <v>50</v>
      </c>
      <c r="N298">
        <v>15.018731117</v>
      </c>
    </row>
    <row r="299" spans="1:14" x14ac:dyDescent="0.25">
      <c r="A299">
        <v>109.302367</v>
      </c>
      <c r="B299" s="1">
        <f>DATE(2010,8,18) + TIME(7,15,24)</f>
        <v>40408.302361111113</v>
      </c>
      <c r="C299">
        <v>2400</v>
      </c>
      <c r="D299">
        <v>0</v>
      </c>
      <c r="E299">
        <v>0</v>
      </c>
      <c r="F299">
        <v>2400</v>
      </c>
      <c r="G299">
        <v>1366.4599608999999</v>
      </c>
      <c r="H299">
        <v>1357.3828125</v>
      </c>
      <c r="I299">
        <v>1294.0249022999999</v>
      </c>
      <c r="J299">
        <v>1273.5646973</v>
      </c>
      <c r="K299">
        <v>80</v>
      </c>
      <c r="L299">
        <v>79.868217467999997</v>
      </c>
      <c r="M299">
        <v>50</v>
      </c>
      <c r="N299">
        <v>15.02046299</v>
      </c>
    </row>
    <row r="300" spans="1:14" x14ac:dyDescent="0.25">
      <c r="A300">
        <v>109.87097900000001</v>
      </c>
      <c r="B300" s="1">
        <f>DATE(2010,8,18) + TIME(20,54,12)</f>
        <v>40408.870972222219</v>
      </c>
      <c r="C300">
        <v>2400</v>
      </c>
      <c r="D300">
        <v>0</v>
      </c>
      <c r="E300">
        <v>0</v>
      </c>
      <c r="F300">
        <v>2400</v>
      </c>
      <c r="G300">
        <v>1366.4406738</v>
      </c>
      <c r="H300">
        <v>1357.3653564000001</v>
      </c>
      <c r="I300">
        <v>1294.0391846</v>
      </c>
      <c r="J300">
        <v>1273.574707</v>
      </c>
      <c r="K300">
        <v>80</v>
      </c>
      <c r="L300">
        <v>79.868309021000002</v>
      </c>
      <c r="M300">
        <v>50</v>
      </c>
      <c r="N300">
        <v>15.022255897999999</v>
      </c>
    </row>
    <row r="301" spans="1:14" x14ac:dyDescent="0.25">
      <c r="A301">
        <v>110.43959</v>
      </c>
      <c r="B301" s="1">
        <f>DATE(2010,8,19) + TIME(10,33,0)</f>
        <v>40409.439583333333</v>
      </c>
      <c r="C301">
        <v>2400</v>
      </c>
      <c r="D301">
        <v>0</v>
      </c>
      <c r="E301">
        <v>0</v>
      </c>
      <c r="F301">
        <v>2400</v>
      </c>
      <c r="G301">
        <v>1366.4215088000001</v>
      </c>
      <c r="H301">
        <v>1357.3480225000001</v>
      </c>
      <c r="I301">
        <v>1294.0535889</v>
      </c>
      <c r="J301">
        <v>1273.5848389</v>
      </c>
      <c r="K301">
        <v>80</v>
      </c>
      <c r="L301">
        <v>79.868400574000006</v>
      </c>
      <c r="M301">
        <v>50</v>
      </c>
      <c r="N301">
        <v>15.024128914</v>
      </c>
    </row>
    <row r="302" spans="1:14" x14ac:dyDescent="0.25">
      <c r="A302">
        <v>111.008202</v>
      </c>
      <c r="B302" s="1">
        <f>DATE(2010,8,20) + TIME(0,11,48)</f>
        <v>40410.008194444446</v>
      </c>
      <c r="C302">
        <v>2400</v>
      </c>
      <c r="D302">
        <v>0</v>
      </c>
      <c r="E302">
        <v>0</v>
      </c>
      <c r="F302">
        <v>2400</v>
      </c>
      <c r="G302">
        <v>1366.4024658000001</v>
      </c>
      <c r="H302">
        <v>1357.3308105000001</v>
      </c>
      <c r="I302">
        <v>1294.0681152</v>
      </c>
      <c r="J302">
        <v>1273.5949707</v>
      </c>
      <c r="K302">
        <v>80</v>
      </c>
      <c r="L302">
        <v>79.868492126000007</v>
      </c>
      <c r="M302">
        <v>50</v>
      </c>
      <c r="N302">
        <v>15.026097298</v>
      </c>
    </row>
    <row r="303" spans="1:14" x14ac:dyDescent="0.25">
      <c r="A303">
        <v>111.576814</v>
      </c>
      <c r="B303" s="1">
        <f>DATE(2010,8,20) + TIME(13,50,36)</f>
        <v>40410.576805555553</v>
      </c>
      <c r="C303">
        <v>2400</v>
      </c>
      <c r="D303">
        <v>0</v>
      </c>
      <c r="E303">
        <v>0</v>
      </c>
      <c r="F303">
        <v>2400</v>
      </c>
      <c r="G303">
        <v>1366.3834228999999</v>
      </c>
      <c r="H303">
        <v>1357.3135986</v>
      </c>
      <c r="I303">
        <v>1294.0827637</v>
      </c>
      <c r="J303">
        <v>1273.6053466999999</v>
      </c>
      <c r="K303">
        <v>80</v>
      </c>
      <c r="L303">
        <v>79.868583678999997</v>
      </c>
      <c r="M303">
        <v>50</v>
      </c>
      <c r="N303">
        <v>15.028173447</v>
      </c>
    </row>
    <row r="304" spans="1:14" x14ac:dyDescent="0.25">
      <c r="A304">
        <v>112.145426</v>
      </c>
      <c r="B304" s="1">
        <f>DATE(2010,8,21) + TIME(3,29,24)</f>
        <v>40411.145416666666</v>
      </c>
      <c r="C304">
        <v>2400</v>
      </c>
      <c r="D304">
        <v>0</v>
      </c>
      <c r="E304">
        <v>0</v>
      </c>
      <c r="F304">
        <v>2400</v>
      </c>
      <c r="G304">
        <v>1366.3645019999999</v>
      </c>
      <c r="H304">
        <v>1357.2963867000001</v>
      </c>
      <c r="I304">
        <v>1294.0975341999999</v>
      </c>
      <c r="J304">
        <v>1273.6157227000001</v>
      </c>
      <c r="K304">
        <v>80</v>
      </c>
      <c r="L304">
        <v>79.868682860999996</v>
      </c>
      <c r="M304">
        <v>50</v>
      </c>
      <c r="N304">
        <v>15.030370712</v>
      </c>
    </row>
    <row r="305" spans="1:14" x14ac:dyDescent="0.25">
      <c r="A305">
        <v>112.714038</v>
      </c>
      <c r="B305" s="1">
        <f>DATE(2010,8,21) + TIME(17,8,12)</f>
        <v>40411.71402777778</v>
      </c>
      <c r="C305">
        <v>2400</v>
      </c>
      <c r="D305">
        <v>0</v>
      </c>
      <c r="E305">
        <v>0</v>
      </c>
      <c r="F305">
        <v>2400</v>
      </c>
      <c r="G305">
        <v>1366.3457031</v>
      </c>
      <c r="H305">
        <v>1357.2794189000001</v>
      </c>
      <c r="I305">
        <v>1294.1125488</v>
      </c>
      <c r="J305">
        <v>1273.6262207</v>
      </c>
      <c r="K305">
        <v>80</v>
      </c>
      <c r="L305">
        <v>79.868774414000001</v>
      </c>
      <c r="M305">
        <v>50</v>
      </c>
      <c r="N305">
        <v>15.032700539</v>
      </c>
    </row>
    <row r="306" spans="1:14" x14ac:dyDescent="0.25">
      <c r="A306">
        <v>113.28264900000001</v>
      </c>
      <c r="B306" s="1">
        <f>DATE(2010,8,22) + TIME(6,47,0)</f>
        <v>40412.282638888886</v>
      </c>
      <c r="C306">
        <v>2400</v>
      </c>
      <c r="D306">
        <v>0</v>
      </c>
      <c r="E306">
        <v>0</v>
      </c>
      <c r="F306">
        <v>2400</v>
      </c>
      <c r="G306">
        <v>1366.3269043</v>
      </c>
      <c r="H306">
        <v>1357.2623291</v>
      </c>
      <c r="I306">
        <v>1294.1275635</v>
      </c>
      <c r="J306">
        <v>1273.6369629000001</v>
      </c>
      <c r="K306">
        <v>80</v>
      </c>
      <c r="L306">
        <v>79.868865967000005</v>
      </c>
      <c r="M306">
        <v>50</v>
      </c>
      <c r="N306">
        <v>15.035173415999999</v>
      </c>
    </row>
    <row r="307" spans="1:14" x14ac:dyDescent="0.25">
      <c r="A307">
        <v>113.85126099999999</v>
      </c>
      <c r="B307" s="1">
        <f>DATE(2010,8,22) + TIME(20,25,48)</f>
        <v>40412.85125</v>
      </c>
      <c r="C307">
        <v>2400</v>
      </c>
      <c r="D307">
        <v>0</v>
      </c>
      <c r="E307">
        <v>0</v>
      </c>
      <c r="F307">
        <v>2400</v>
      </c>
      <c r="G307">
        <v>1366.3081055</v>
      </c>
      <c r="H307">
        <v>1357.2453613</v>
      </c>
      <c r="I307">
        <v>1294.1428223</v>
      </c>
      <c r="J307">
        <v>1273.6477050999999</v>
      </c>
      <c r="K307">
        <v>80</v>
      </c>
      <c r="L307">
        <v>79.868965149000005</v>
      </c>
      <c r="M307">
        <v>50</v>
      </c>
      <c r="N307">
        <v>15.037800789</v>
      </c>
    </row>
    <row r="308" spans="1:14" x14ac:dyDescent="0.25">
      <c r="A308">
        <v>114.419873</v>
      </c>
      <c r="B308" s="1">
        <f>DATE(2010,8,23) + TIME(10,4,37)</f>
        <v>40413.419872685183</v>
      </c>
      <c r="C308">
        <v>2400</v>
      </c>
      <c r="D308">
        <v>0</v>
      </c>
      <c r="E308">
        <v>0</v>
      </c>
      <c r="F308">
        <v>2400</v>
      </c>
      <c r="G308">
        <v>1366.2895507999999</v>
      </c>
      <c r="H308">
        <v>1357.2285156</v>
      </c>
      <c r="I308">
        <v>1294.1582031</v>
      </c>
      <c r="J308">
        <v>1273.6585693</v>
      </c>
      <c r="K308">
        <v>80</v>
      </c>
      <c r="L308">
        <v>79.869056701999995</v>
      </c>
      <c r="M308">
        <v>50</v>
      </c>
      <c r="N308">
        <v>15.040592194</v>
      </c>
    </row>
    <row r="309" spans="1:14" x14ac:dyDescent="0.25">
      <c r="A309">
        <v>114.988485</v>
      </c>
      <c r="B309" s="1">
        <f>DATE(2010,8,23) + TIME(23,43,25)</f>
        <v>40413.988483796296</v>
      </c>
      <c r="C309">
        <v>2400</v>
      </c>
      <c r="D309">
        <v>0</v>
      </c>
      <c r="E309">
        <v>0</v>
      </c>
      <c r="F309">
        <v>2400</v>
      </c>
      <c r="G309">
        <v>1366.270874</v>
      </c>
      <c r="H309">
        <v>1357.2116699000001</v>
      </c>
      <c r="I309">
        <v>1294.1737060999999</v>
      </c>
      <c r="J309">
        <v>1273.6695557</v>
      </c>
      <c r="K309">
        <v>80</v>
      </c>
      <c r="L309">
        <v>79.869148253999995</v>
      </c>
      <c r="M309">
        <v>50</v>
      </c>
      <c r="N309">
        <v>15.043559073999999</v>
      </c>
    </row>
    <row r="310" spans="1:14" x14ac:dyDescent="0.25">
      <c r="A310">
        <v>115.557096</v>
      </c>
      <c r="B310" s="1">
        <f>DATE(2010,8,24) + TIME(13,22,13)</f>
        <v>40414.55709490741</v>
      </c>
      <c r="C310">
        <v>2400</v>
      </c>
      <c r="D310">
        <v>0</v>
      </c>
      <c r="E310">
        <v>0</v>
      </c>
      <c r="F310">
        <v>2400</v>
      </c>
      <c r="G310">
        <v>1366.2524414</v>
      </c>
      <c r="H310">
        <v>1357.1949463000001</v>
      </c>
      <c r="I310">
        <v>1294.1894531</v>
      </c>
      <c r="J310">
        <v>1273.6806641000001</v>
      </c>
      <c r="K310">
        <v>80</v>
      </c>
      <c r="L310">
        <v>79.869247436999999</v>
      </c>
      <c r="M310">
        <v>50</v>
      </c>
      <c r="N310">
        <v>15.046711922</v>
      </c>
    </row>
    <row r="311" spans="1:14" x14ac:dyDescent="0.25">
      <c r="A311">
        <v>116.125708</v>
      </c>
      <c r="B311" s="1">
        <f>DATE(2010,8,25) + TIME(3,1,1)</f>
        <v>40415.125706018516</v>
      </c>
      <c r="C311">
        <v>2400</v>
      </c>
      <c r="D311">
        <v>0</v>
      </c>
      <c r="E311">
        <v>0</v>
      </c>
      <c r="F311">
        <v>2400</v>
      </c>
      <c r="G311">
        <v>1366.2338867000001</v>
      </c>
      <c r="H311">
        <v>1357.1782227000001</v>
      </c>
      <c r="I311">
        <v>1294.2053223</v>
      </c>
      <c r="J311">
        <v>1273.6918945</v>
      </c>
      <c r="K311">
        <v>80</v>
      </c>
      <c r="L311">
        <v>79.869338988999999</v>
      </c>
      <c r="M311">
        <v>50</v>
      </c>
      <c r="N311">
        <v>15.050061226</v>
      </c>
    </row>
    <row r="312" spans="1:14" x14ac:dyDescent="0.25">
      <c r="A312">
        <v>116.69432</v>
      </c>
      <c r="B312" s="1">
        <f>DATE(2010,8,25) + TIME(16,39,49)</f>
        <v>40415.69431712963</v>
      </c>
      <c r="C312">
        <v>2400</v>
      </c>
      <c r="D312">
        <v>0</v>
      </c>
      <c r="E312">
        <v>0</v>
      </c>
      <c r="F312">
        <v>2400</v>
      </c>
      <c r="G312">
        <v>1366.2155762</v>
      </c>
      <c r="H312">
        <v>1357.1616211</v>
      </c>
      <c r="I312">
        <v>1294.2213135</v>
      </c>
      <c r="J312">
        <v>1273.7032471</v>
      </c>
      <c r="K312">
        <v>80</v>
      </c>
      <c r="L312">
        <v>79.869430542000003</v>
      </c>
      <c r="M312">
        <v>50</v>
      </c>
      <c r="N312">
        <v>15.053620338</v>
      </c>
    </row>
    <row r="313" spans="1:14" x14ac:dyDescent="0.25">
      <c r="A313">
        <v>117.26293200000001</v>
      </c>
      <c r="B313" s="1">
        <f>DATE(2010,8,26) + TIME(6,18,37)</f>
        <v>40416.262928240743</v>
      </c>
      <c r="C313">
        <v>2400</v>
      </c>
      <c r="D313">
        <v>0</v>
      </c>
      <c r="E313">
        <v>0</v>
      </c>
      <c r="F313">
        <v>2400</v>
      </c>
      <c r="G313">
        <v>1366.1972656</v>
      </c>
      <c r="H313">
        <v>1357.1450195</v>
      </c>
      <c r="I313">
        <v>1294.2374268000001</v>
      </c>
      <c r="J313">
        <v>1273.7148437999999</v>
      </c>
      <c r="K313">
        <v>80</v>
      </c>
      <c r="L313">
        <v>79.869522094999994</v>
      </c>
      <c r="M313">
        <v>50</v>
      </c>
      <c r="N313">
        <v>15.05739975</v>
      </c>
    </row>
    <row r="314" spans="1:14" x14ac:dyDescent="0.25">
      <c r="A314">
        <v>117.83154399999999</v>
      </c>
      <c r="B314" s="1">
        <f>DATE(2010,8,26) + TIME(19,57,25)</f>
        <v>40416.83153935185</v>
      </c>
      <c r="C314">
        <v>2400</v>
      </c>
      <c r="D314">
        <v>0</v>
      </c>
      <c r="E314">
        <v>0</v>
      </c>
      <c r="F314">
        <v>2400</v>
      </c>
      <c r="G314">
        <v>1366.1789550999999</v>
      </c>
      <c r="H314">
        <v>1357.128418</v>
      </c>
      <c r="I314">
        <v>1294.2537841999999</v>
      </c>
      <c r="J314">
        <v>1273.7264404</v>
      </c>
      <c r="K314">
        <v>80</v>
      </c>
      <c r="L314">
        <v>79.869621276999993</v>
      </c>
      <c r="M314">
        <v>50</v>
      </c>
      <c r="N314">
        <v>15.061410904000001</v>
      </c>
    </row>
    <row r="315" spans="1:14" x14ac:dyDescent="0.25">
      <c r="A315">
        <v>118.968767</v>
      </c>
      <c r="B315" s="1">
        <f>DATE(2010,8,27) + TIME(23,15,1)</f>
        <v>40417.968761574077</v>
      </c>
      <c r="C315">
        <v>2400</v>
      </c>
      <c r="D315">
        <v>0</v>
      </c>
      <c r="E315">
        <v>0</v>
      </c>
      <c r="F315">
        <v>2400</v>
      </c>
      <c r="G315">
        <v>1366.1611327999999</v>
      </c>
      <c r="H315">
        <v>1357.1124268000001</v>
      </c>
      <c r="I315">
        <v>1294.2697754000001</v>
      </c>
      <c r="J315">
        <v>1273.7387695</v>
      </c>
      <c r="K315">
        <v>80</v>
      </c>
      <c r="L315">
        <v>79.869819641000007</v>
      </c>
      <c r="M315">
        <v>50</v>
      </c>
      <c r="N315">
        <v>15.068214417</v>
      </c>
    </row>
    <row r="316" spans="1:14" x14ac:dyDescent="0.25">
      <c r="A316">
        <v>120.107437</v>
      </c>
      <c r="B316" s="1">
        <f>DATE(2010,8,29) + TIME(2,34,42)</f>
        <v>40419.107430555552</v>
      </c>
      <c r="C316">
        <v>2400</v>
      </c>
      <c r="D316">
        <v>0</v>
      </c>
      <c r="E316">
        <v>0</v>
      </c>
      <c r="F316">
        <v>2400</v>
      </c>
      <c r="G316">
        <v>1366.1251221</v>
      </c>
      <c r="H316">
        <v>1357.0798339999999</v>
      </c>
      <c r="I316">
        <v>1294.3031006000001</v>
      </c>
      <c r="J316">
        <v>1273.7625731999999</v>
      </c>
      <c r="K316">
        <v>80</v>
      </c>
      <c r="L316">
        <v>79.870010375999996</v>
      </c>
      <c r="M316">
        <v>50</v>
      </c>
      <c r="N316">
        <v>15.076538085999999</v>
      </c>
    </row>
    <row r="317" spans="1:14" x14ac:dyDescent="0.25">
      <c r="A317">
        <v>121.261702</v>
      </c>
      <c r="B317" s="1">
        <f>DATE(2010,8,30) + TIME(6,16,51)</f>
        <v>40420.261701388888</v>
      </c>
      <c r="C317">
        <v>2400</v>
      </c>
      <c r="D317">
        <v>0</v>
      </c>
      <c r="E317">
        <v>0</v>
      </c>
      <c r="F317">
        <v>2400</v>
      </c>
      <c r="G317">
        <v>1366.0891113</v>
      </c>
      <c r="H317">
        <v>1357.0472411999999</v>
      </c>
      <c r="I317">
        <v>1294.3371582</v>
      </c>
      <c r="J317">
        <v>1273.7869873</v>
      </c>
      <c r="K317">
        <v>80</v>
      </c>
      <c r="L317">
        <v>79.870201111</v>
      </c>
      <c r="M317">
        <v>50</v>
      </c>
      <c r="N317">
        <v>15.086355209000001</v>
      </c>
    </row>
    <row r="318" spans="1:14" x14ac:dyDescent="0.25">
      <c r="A318">
        <v>122.433744</v>
      </c>
      <c r="B318" s="1">
        <f>DATE(2010,8,31) + TIME(10,24,35)</f>
        <v>40421.433738425927</v>
      </c>
      <c r="C318">
        <v>2400</v>
      </c>
      <c r="D318">
        <v>0</v>
      </c>
      <c r="E318">
        <v>0</v>
      </c>
      <c r="F318">
        <v>2400</v>
      </c>
      <c r="G318">
        <v>1366.0528564000001</v>
      </c>
      <c r="H318">
        <v>1357.0145264</v>
      </c>
      <c r="I318">
        <v>1294.3723144999999</v>
      </c>
      <c r="J318">
        <v>1273.8125</v>
      </c>
      <c r="K318">
        <v>80</v>
      </c>
      <c r="L318">
        <v>79.870391846000004</v>
      </c>
      <c r="M318">
        <v>50</v>
      </c>
      <c r="N318">
        <v>15.097730637</v>
      </c>
    </row>
    <row r="319" spans="1:14" x14ac:dyDescent="0.25">
      <c r="A319">
        <v>123</v>
      </c>
      <c r="B319" s="1">
        <f>DATE(2010,9,1) + TIME(0,0,0)</f>
        <v>40422</v>
      </c>
      <c r="C319">
        <v>2400</v>
      </c>
      <c r="D319">
        <v>0</v>
      </c>
      <c r="E319">
        <v>0</v>
      </c>
      <c r="F319">
        <v>2400</v>
      </c>
      <c r="G319">
        <v>1366.0161132999999</v>
      </c>
      <c r="H319">
        <v>1356.9812012</v>
      </c>
      <c r="I319">
        <v>1294.409668</v>
      </c>
      <c r="J319">
        <v>1273.8382568</v>
      </c>
      <c r="K319">
        <v>80</v>
      </c>
      <c r="L319">
        <v>79.870475768999995</v>
      </c>
      <c r="M319">
        <v>50</v>
      </c>
      <c r="N319">
        <v>15.105668068</v>
      </c>
    </row>
    <row r="320" spans="1:14" x14ac:dyDescent="0.25">
      <c r="A320">
        <v>123.59028600000001</v>
      </c>
      <c r="B320" s="1">
        <f>DATE(2010,9,1) + TIME(14,10,0)</f>
        <v>40422.590277777781</v>
      </c>
      <c r="C320">
        <v>2400</v>
      </c>
      <c r="D320">
        <v>0</v>
      </c>
      <c r="E320">
        <v>0</v>
      </c>
      <c r="F320">
        <v>2400</v>
      </c>
      <c r="G320">
        <v>1365.9982910000001</v>
      </c>
      <c r="H320">
        <v>1356.9649658000001</v>
      </c>
      <c r="I320">
        <v>1294.4277344</v>
      </c>
      <c r="J320">
        <v>1273.8519286999999</v>
      </c>
      <c r="K320">
        <v>80</v>
      </c>
      <c r="L320">
        <v>79.870567321999999</v>
      </c>
      <c r="M320">
        <v>50</v>
      </c>
      <c r="N320">
        <v>15.113924025999999</v>
      </c>
    </row>
    <row r="321" spans="1:14" x14ac:dyDescent="0.25">
      <c r="A321">
        <v>124.180572</v>
      </c>
      <c r="B321" s="1">
        <f>DATE(2010,9,2) + TIME(4,20,1)</f>
        <v>40423.180567129632</v>
      </c>
      <c r="C321">
        <v>2400</v>
      </c>
      <c r="D321">
        <v>0</v>
      </c>
      <c r="E321">
        <v>0</v>
      </c>
      <c r="F321">
        <v>2400</v>
      </c>
      <c r="G321">
        <v>1365.9799805</v>
      </c>
      <c r="H321">
        <v>1356.9483643000001</v>
      </c>
      <c r="I321">
        <v>1294.4465332</v>
      </c>
      <c r="J321">
        <v>1273.8659668</v>
      </c>
      <c r="K321">
        <v>80</v>
      </c>
      <c r="L321">
        <v>79.870658875000004</v>
      </c>
      <c r="M321">
        <v>50</v>
      </c>
      <c r="N321">
        <v>15.12238121</v>
      </c>
    </row>
    <row r="322" spans="1:14" x14ac:dyDescent="0.25">
      <c r="A322">
        <v>124.770858</v>
      </c>
      <c r="B322" s="1">
        <f>DATE(2010,9,2) + TIME(18,30,2)</f>
        <v>40423.770856481482</v>
      </c>
      <c r="C322">
        <v>2400</v>
      </c>
      <c r="D322">
        <v>0</v>
      </c>
      <c r="E322">
        <v>0</v>
      </c>
      <c r="F322">
        <v>2400</v>
      </c>
      <c r="G322">
        <v>1365.9617920000001</v>
      </c>
      <c r="H322">
        <v>1356.9317627</v>
      </c>
      <c r="I322">
        <v>1294.4655762</v>
      </c>
      <c r="J322">
        <v>1273.8803711</v>
      </c>
      <c r="K322">
        <v>80</v>
      </c>
      <c r="L322">
        <v>79.870758057000003</v>
      </c>
      <c r="M322">
        <v>50</v>
      </c>
      <c r="N322">
        <v>15.131123542999999</v>
      </c>
    </row>
    <row r="323" spans="1:14" x14ac:dyDescent="0.25">
      <c r="A323">
        <v>125.361144</v>
      </c>
      <c r="B323" s="1">
        <f>DATE(2010,9,3) + TIME(8,40,2)</f>
        <v>40424.361134259256</v>
      </c>
      <c r="C323">
        <v>2400</v>
      </c>
      <c r="D323">
        <v>0</v>
      </c>
      <c r="E323">
        <v>0</v>
      </c>
      <c r="F323">
        <v>2400</v>
      </c>
      <c r="G323">
        <v>1365.9436035000001</v>
      </c>
      <c r="H323">
        <v>1356.9152832</v>
      </c>
      <c r="I323">
        <v>1294.4848632999999</v>
      </c>
      <c r="J323">
        <v>1273.8948975000001</v>
      </c>
      <c r="K323">
        <v>80</v>
      </c>
      <c r="L323">
        <v>79.870849609000004</v>
      </c>
      <c r="M323">
        <v>50</v>
      </c>
      <c r="N323">
        <v>15.140218734999999</v>
      </c>
    </row>
    <row r="324" spans="1:14" x14ac:dyDescent="0.25">
      <c r="A324">
        <v>125.95143</v>
      </c>
      <c r="B324" s="1">
        <f>DATE(2010,9,3) + TIME(22,50,3)</f>
        <v>40424.951423611114</v>
      </c>
      <c r="C324">
        <v>2400</v>
      </c>
      <c r="D324">
        <v>0</v>
      </c>
      <c r="E324">
        <v>0</v>
      </c>
      <c r="F324">
        <v>2400</v>
      </c>
      <c r="G324">
        <v>1365.9255370999999</v>
      </c>
      <c r="H324">
        <v>1356.8989257999999</v>
      </c>
      <c r="I324">
        <v>1294.5042725000001</v>
      </c>
      <c r="J324">
        <v>1273.909668</v>
      </c>
      <c r="K324">
        <v>80</v>
      </c>
      <c r="L324">
        <v>79.870948791999993</v>
      </c>
      <c r="M324">
        <v>50</v>
      </c>
      <c r="N324">
        <v>15.149724007</v>
      </c>
    </row>
    <row r="325" spans="1:14" x14ac:dyDescent="0.25">
      <c r="A325">
        <v>126.54171599999999</v>
      </c>
      <c r="B325" s="1">
        <f>DATE(2010,9,4) + TIME(13,0,4)</f>
        <v>40425.541712962964</v>
      </c>
      <c r="C325">
        <v>2400</v>
      </c>
      <c r="D325">
        <v>0</v>
      </c>
      <c r="E325">
        <v>0</v>
      </c>
      <c r="F325">
        <v>2400</v>
      </c>
      <c r="G325">
        <v>1365.9074707</v>
      </c>
      <c r="H325">
        <v>1356.8824463000001</v>
      </c>
      <c r="I325">
        <v>1294.5240478999999</v>
      </c>
      <c r="J325">
        <v>1273.9246826000001</v>
      </c>
      <c r="K325">
        <v>80</v>
      </c>
      <c r="L325">
        <v>79.871040343999994</v>
      </c>
      <c r="M325">
        <v>50</v>
      </c>
      <c r="N325">
        <v>15.15968895</v>
      </c>
    </row>
    <row r="326" spans="1:14" x14ac:dyDescent="0.25">
      <c r="A326">
        <v>127.132002</v>
      </c>
      <c r="B326" s="1">
        <f>DATE(2010,9,5) + TIME(3,10,4)</f>
        <v>40426.131990740738</v>
      </c>
      <c r="C326">
        <v>2400</v>
      </c>
      <c r="D326">
        <v>0</v>
      </c>
      <c r="E326">
        <v>0</v>
      </c>
      <c r="F326">
        <v>2400</v>
      </c>
      <c r="G326">
        <v>1365.8894043</v>
      </c>
      <c r="H326">
        <v>1356.8660889</v>
      </c>
      <c r="I326">
        <v>1294.5439452999999</v>
      </c>
      <c r="J326">
        <v>1273.9398193</v>
      </c>
      <c r="K326">
        <v>80</v>
      </c>
      <c r="L326">
        <v>79.871139525999993</v>
      </c>
      <c r="M326">
        <v>50</v>
      </c>
      <c r="N326">
        <v>15.170157433</v>
      </c>
    </row>
    <row r="327" spans="1:14" x14ac:dyDescent="0.25">
      <c r="A327">
        <v>127.72228800000001</v>
      </c>
      <c r="B327" s="1">
        <f>DATE(2010,9,5) + TIME(17,20,5)</f>
        <v>40426.722280092596</v>
      </c>
      <c r="C327">
        <v>2400</v>
      </c>
      <c r="D327">
        <v>0</v>
      </c>
      <c r="E327">
        <v>0</v>
      </c>
      <c r="F327">
        <v>2400</v>
      </c>
      <c r="G327">
        <v>1365.8714600000001</v>
      </c>
      <c r="H327">
        <v>1356.8497314000001</v>
      </c>
      <c r="I327">
        <v>1294.5642089999999</v>
      </c>
      <c r="J327">
        <v>1273.9553223</v>
      </c>
      <c r="K327">
        <v>80</v>
      </c>
      <c r="L327">
        <v>79.871231078999998</v>
      </c>
      <c r="M327">
        <v>50</v>
      </c>
      <c r="N327">
        <v>15.181170463999999</v>
      </c>
    </row>
    <row r="328" spans="1:14" x14ac:dyDescent="0.25">
      <c r="A328">
        <v>128.31257400000001</v>
      </c>
      <c r="B328" s="1">
        <f>DATE(2010,9,6) + TIME(7,30,6)</f>
        <v>40427.312569444446</v>
      </c>
      <c r="C328">
        <v>2400</v>
      </c>
      <c r="D328">
        <v>0</v>
      </c>
      <c r="E328">
        <v>0</v>
      </c>
      <c r="F328">
        <v>2400</v>
      </c>
      <c r="G328">
        <v>1365.8535156</v>
      </c>
      <c r="H328">
        <v>1356.8334961</v>
      </c>
      <c r="I328">
        <v>1294.5845947</v>
      </c>
      <c r="J328">
        <v>1273.9710693</v>
      </c>
      <c r="K328">
        <v>80</v>
      </c>
      <c r="L328">
        <v>79.871330260999997</v>
      </c>
      <c r="M328">
        <v>50</v>
      </c>
      <c r="N328">
        <v>15.192765236</v>
      </c>
    </row>
    <row r="329" spans="1:14" x14ac:dyDescent="0.25">
      <c r="A329">
        <v>128.90286</v>
      </c>
      <c r="B329" s="1">
        <f>DATE(2010,9,6) + TIME(21,40,7)</f>
        <v>40427.902858796297</v>
      </c>
      <c r="C329">
        <v>2400</v>
      </c>
      <c r="D329">
        <v>0</v>
      </c>
      <c r="E329">
        <v>0</v>
      </c>
      <c r="F329">
        <v>2400</v>
      </c>
      <c r="G329">
        <v>1365.8356934000001</v>
      </c>
      <c r="H329">
        <v>1356.8172606999999</v>
      </c>
      <c r="I329">
        <v>1294.6051024999999</v>
      </c>
      <c r="J329">
        <v>1273.9870605000001</v>
      </c>
      <c r="K329">
        <v>80</v>
      </c>
      <c r="L329">
        <v>79.871421814000001</v>
      </c>
      <c r="M329">
        <v>50</v>
      </c>
      <c r="N329">
        <v>15.204977989</v>
      </c>
    </row>
    <row r="330" spans="1:14" x14ac:dyDescent="0.25">
      <c r="A330">
        <v>129.493146</v>
      </c>
      <c r="B330" s="1">
        <f>DATE(2010,9,7) + TIME(11,50,7)</f>
        <v>40428.493136574078</v>
      </c>
      <c r="C330">
        <v>2400</v>
      </c>
      <c r="D330">
        <v>0</v>
      </c>
      <c r="E330">
        <v>0</v>
      </c>
      <c r="F330">
        <v>2400</v>
      </c>
      <c r="G330">
        <v>1365.8178711</v>
      </c>
      <c r="H330">
        <v>1356.8010254000001</v>
      </c>
      <c r="I330">
        <v>1294.6259766000001</v>
      </c>
      <c r="J330">
        <v>1274.0032959</v>
      </c>
      <c r="K330">
        <v>80</v>
      </c>
      <c r="L330">
        <v>79.871520996000001</v>
      </c>
      <c r="M330">
        <v>50</v>
      </c>
      <c r="N330">
        <v>15.217844009</v>
      </c>
    </row>
    <row r="331" spans="1:14" x14ac:dyDescent="0.25">
      <c r="A331">
        <v>130.08343199999999</v>
      </c>
      <c r="B331" s="1">
        <f>DATE(2010,9,8) + TIME(2,0,8)</f>
        <v>40429.083425925928</v>
      </c>
      <c r="C331">
        <v>2400</v>
      </c>
      <c r="D331">
        <v>0</v>
      </c>
      <c r="E331">
        <v>0</v>
      </c>
      <c r="F331">
        <v>2400</v>
      </c>
      <c r="G331">
        <v>1365.8001709</v>
      </c>
      <c r="H331">
        <v>1356.7849120999999</v>
      </c>
      <c r="I331">
        <v>1294.6470947</v>
      </c>
      <c r="J331">
        <v>1274.0198975000001</v>
      </c>
      <c r="K331">
        <v>80</v>
      </c>
      <c r="L331">
        <v>79.871612549000005</v>
      </c>
      <c r="M331">
        <v>50</v>
      </c>
      <c r="N331">
        <v>15.231398582000001</v>
      </c>
    </row>
    <row r="332" spans="1:14" x14ac:dyDescent="0.25">
      <c r="A332">
        <v>131.264004</v>
      </c>
      <c r="B332" s="1">
        <f>DATE(2010,9,9) + TIME(6,20,9)</f>
        <v>40430.263993055552</v>
      </c>
      <c r="C332">
        <v>2400</v>
      </c>
      <c r="D332">
        <v>0</v>
      </c>
      <c r="E332">
        <v>0</v>
      </c>
      <c r="F332">
        <v>2400</v>
      </c>
      <c r="G332">
        <v>1365.7827147999999</v>
      </c>
      <c r="H332">
        <v>1356.7691649999999</v>
      </c>
      <c r="I332">
        <v>1294.6662598</v>
      </c>
      <c r="J332">
        <v>1274.0379639</v>
      </c>
      <c r="K332">
        <v>80</v>
      </c>
      <c r="L332">
        <v>79.871818542</v>
      </c>
      <c r="M332">
        <v>50</v>
      </c>
      <c r="N332">
        <v>15.25405407</v>
      </c>
    </row>
    <row r="333" spans="1:14" x14ac:dyDescent="0.25">
      <c r="A333">
        <v>132.44546500000001</v>
      </c>
      <c r="B333" s="1">
        <f>DATE(2010,9,10) + TIME(10,41,28)</f>
        <v>40431.445462962962</v>
      </c>
      <c r="C333">
        <v>2400</v>
      </c>
      <c r="D333">
        <v>0</v>
      </c>
      <c r="E333">
        <v>0</v>
      </c>
      <c r="F333">
        <v>2400</v>
      </c>
      <c r="G333">
        <v>1365.7476807</v>
      </c>
      <c r="H333">
        <v>1356.7371826000001</v>
      </c>
      <c r="I333">
        <v>1294.7098389</v>
      </c>
      <c r="J333">
        <v>1274.0717772999999</v>
      </c>
      <c r="K333">
        <v>80</v>
      </c>
      <c r="L333">
        <v>79.872016907000003</v>
      </c>
      <c r="M333">
        <v>50</v>
      </c>
      <c r="N333">
        <v>15.281575202999999</v>
      </c>
    </row>
    <row r="334" spans="1:14" x14ac:dyDescent="0.25">
      <c r="A334">
        <v>133.64392699999999</v>
      </c>
      <c r="B334" s="1">
        <f>DATE(2010,9,11) + TIME(15,27,15)</f>
        <v>40432.643923611111</v>
      </c>
      <c r="C334">
        <v>2400</v>
      </c>
      <c r="D334">
        <v>0</v>
      </c>
      <c r="E334">
        <v>0</v>
      </c>
      <c r="F334">
        <v>2400</v>
      </c>
      <c r="G334">
        <v>1365.7125243999999</v>
      </c>
      <c r="H334">
        <v>1356.7053223</v>
      </c>
      <c r="I334">
        <v>1294.7539062000001</v>
      </c>
      <c r="J334">
        <v>1274.1071777</v>
      </c>
      <c r="K334">
        <v>80</v>
      </c>
      <c r="L334">
        <v>79.872207642000006</v>
      </c>
      <c r="M334">
        <v>50</v>
      </c>
      <c r="N334">
        <v>15.313706398000001</v>
      </c>
    </row>
    <row r="335" spans="1:14" x14ac:dyDescent="0.25">
      <c r="A335">
        <v>134.25263100000001</v>
      </c>
      <c r="B335" s="1">
        <f>DATE(2010,9,12) + TIME(6,3,47)</f>
        <v>40433.252627314818</v>
      </c>
      <c r="C335">
        <v>2400</v>
      </c>
      <c r="D335">
        <v>0</v>
      </c>
      <c r="E335">
        <v>0</v>
      </c>
      <c r="F335">
        <v>2400</v>
      </c>
      <c r="G335">
        <v>1365.6768798999999</v>
      </c>
      <c r="H335">
        <v>1356.6727295000001</v>
      </c>
      <c r="I335">
        <v>1294.8027344</v>
      </c>
      <c r="J335">
        <v>1274.1428223</v>
      </c>
      <c r="K335">
        <v>80</v>
      </c>
      <c r="L335">
        <v>79.872299193999993</v>
      </c>
      <c r="M335">
        <v>50</v>
      </c>
      <c r="N335">
        <v>15.337035179000001</v>
      </c>
    </row>
    <row r="336" spans="1:14" x14ac:dyDescent="0.25">
      <c r="A336">
        <v>134.86133599999999</v>
      </c>
      <c r="B336" s="1">
        <f>DATE(2010,9,12) + TIME(20,40,19)</f>
        <v>40433.861331018517</v>
      </c>
      <c r="C336">
        <v>2400</v>
      </c>
      <c r="D336">
        <v>0</v>
      </c>
      <c r="E336">
        <v>0</v>
      </c>
      <c r="F336">
        <v>2400</v>
      </c>
      <c r="G336">
        <v>1365.6588135</v>
      </c>
      <c r="H336">
        <v>1356.6561279</v>
      </c>
      <c r="I336">
        <v>1294.8258057</v>
      </c>
      <c r="J336">
        <v>1274.1629639</v>
      </c>
      <c r="K336">
        <v>80</v>
      </c>
      <c r="L336">
        <v>79.872390746999997</v>
      </c>
      <c r="M336">
        <v>50</v>
      </c>
      <c r="N336">
        <v>15.360492706</v>
      </c>
    </row>
    <row r="337" spans="1:14" x14ac:dyDescent="0.25">
      <c r="A337">
        <v>135.47004000000001</v>
      </c>
      <c r="B337" s="1">
        <f>DATE(2010,9,13) + TIME(11,16,51)</f>
        <v>40434.470034722224</v>
      </c>
      <c r="C337">
        <v>2400</v>
      </c>
      <c r="D337">
        <v>0</v>
      </c>
      <c r="E337">
        <v>0</v>
      </c>
      <c r="F337">
        <v>2400</v>
      </c>
      <c r="G337">
        <v>1365.6408690999999</v>
      </c>
      <c r="H337">
        <v>1356.6397704999999</v>
      </c>
      <c r="I337">
        <v>1294.8492432</v>
      </c>
      <c r="J337">
        <v>1274.1834716999999</v>
      </c>
      <c r="K337">
        <v>80</v>
      </c>
      <c r="L337">
        <v>79.872489928999997</v>
      </c>
      <c r="M337">
        <v>50</v>
      </c>
      <c r="N337">
        <v>15.384370804</v>
      </c>
    </row>
    <row r="338" spans="1:14" x14ac:dyDescent="0.25">
      <c r="A338">
        <v>136.078745</v>
      </c>
      <c r="B338" s="1">
        <f>DATE(2010,9,14) + TIME(1,53,23)</f>
        <v>40435.078738425924</v>
      </c>
      <c r="C338">
        <v>2400</v>
      </c>
      <c r="D338">
        <v>0</v>
      </c>
      <c r="E338">
        <v>0</v>
      </c>
      <c r="F338">
        <v>2400</v>
      </c>
      <c r="G338">
        <v>1365.6230469</v>
      </c>
      <c r="H338">
        <v>1356.6234131000001</v>
      </c>
      <c r="I338">
        <v>1294.8729248</v>
      </c>
      <c r="J338">
        <v>1274.2042236</v>
      </c>
      <c r="K338">
        <v>80</v>
      </c>
      <c r="L338">
        <v>79.872581482000001</v>
      </c>
      <c r="M338">
        <v>50</v>
      </c>
      <c r="N338">
        <v>15.408898354</v>
      </c>
    </row>
    <row r="339" spans="1:14" x14ac:dyDescent="0.25">
      <c r="A339">
        <v>136.68744899999999</v>
      </c>
      <c r="B339" s="1">
        <f>DATE(2010,9,14) + TIME(16,29,55)</f>
        <v>40435.687442129631</v>
      </c>
      <c r="C339">
        <v>2400</v>
      </c>
      <c r="D339">
        <v>0</v>
      </c>
      <c r="E339">
        <v>0</v>
      </c>
      <c r="F339">
        <v>2400</v>
      </c>
      <c r="G339">
        <v>1365.6052245999999</v>
      </c>
      <c r="H339">
        <v>1356.6071777</v>
      </c>
      <c r="I339">
        <v>1294.8969727000001</v>
      </c>
      <c r="J339">
        <v>1274.2254639</v>
      </c>
      <c r="K339">
        <v>80</v>
      </c>
      <c r="L339">
        <v>79.872680664000001</v>
      </c>
      <c r="M339">
        <v>50</v>
      </c>
      <c r="N339">
        <v>15.434252739</v>
      </c>
    </row>
    <row r="340" spans="1:14" x14ac:dyDescent="0.25">
      <c r="A340">
        <v>137.296154</v>
      </c>
      <c r="B340" s="1">
        <f>DATE(2010,9,15) + TIME(7,6,27)</f>
        <v>40436.29614583333</v>
      </c>
      <c r="C340">
        <v>2400</v>
      </c>
      <c r="D340">
        <v>0</v>
      </c>
      <c r="E340">
        <v>0</v>
      </c>
      <c r="F340">
        <v>2400</v>
      </c>
      <c r="G340">
        <v>1365.5874022999999</v>
      </c>
      <c r="H340">
        <v>1356.5908202999999</v>
      </c>
      <c r="I340">
        <v>1294.9212646000001</v>
      </c>
      <c r="J340">
        <v>1274.2469481999999</v>
      </c>
      <c r="K340">
        <v>80</v>
      </c>
      <c r="L340">
        <v>79.872779846</v>
      </c>
      <c r="M340">
        <v>50</v>
      </c>
      <c r="N340">
        <v>15.460581779</v>
      </c>
    </row>
    <row r="341" spans="1:14" x14ac:dyDescent="0.25">
      <c r="A341">
        <v>137.90485899999999</v>
      </c>
      <c r="B341" s="1">
        <f>DATE(2010,9,15) + TIME(21,42,59)</f>
        <v>40436.904849537037</v>
      </c>
      <c r="C341">
        <v>2400</v>
      </c>
      <c r="D341">
        <v>0</v>
      </c>
      <c r="E341">
        <v>0</v>
      </c>
      <c r="F341">
        <v>2400</v>
      </c>
      <c r="G341">
        <v>1365.5697021000001</v>
      </c>
      <c r="H341">
        <v>1356.5745850000001</v>
      </c>
      <c r="I341">
        <v>1294.9459228999999</v>
      </c>
      <c r="J341">
        <v>1274.269043</v>
      </c>
      <c r="K341">
        <v>80</v>
      </c>
      <c r="L341">
        <v>79.872879028</v>
      </c>
      <c r="M341">
        <v>50</v>
      </c>
      <c r="N341">
        <v>15.488003730999999</v>
      </c>
    </row>
    <row r="342" spans="1:14" x14ac:dyDescent="0.25">
      <c r="A342">
        <v>138.513563</v>
      </c>
      <c r="B342" s="1">
        <f>DATE(2010,9,16) + TIME(12,19,31)</f>
        <v>40437.513553240744</v>
      </c>
      <c r="C342">
        <v>2400</v>
      </c>
      <c r="D342">
        <v>0</v>
      </c>
      <c r="E342">
        <v>0</v>
      </c>
      <c r="F342">
        <v>2400</v>
      </c>
      <c r="G342">
        <v>1365.5520019999999</v>
      </c>
      <c r="H342">
        <v>1356.5583495999999</v>
      </c>
      <c r="I342">
        <v>1294.9707031</v>
      </c>
      <c r="J342">
        <v>1274.2915039</v>
      </c>
      <c r="K342">
        <v>80</v>
      </c>
      <c r="L342">
        <v>79.872978209999999</v>
      </c>
      <c r="M342">
        <v>50</v>
      </c>
      <c r="N342">
        <v>15.51662159</v>
      </c>
    </row>
    <row r="343" spans="1:14" x14ac:dyDescent="0.25">
      <c r="A343">
        <v>139.12226799999999</v>
      </c>
      <c r="B343" s="1">
        <f>DATE(2010,9,17) + TIME(2,56,3)</f>
        <v>40438.122256944444</v>
      </c>
      <c r="C343">
        <v>2400</v>
      </c>
      <c r="D343">
        <v>0</v>
      </c>
      <c r="E343">
        <v>0</v>
      </c>
      <c r="F343">
        <v>2400</v>
      </c>
      <c r="G343">
        <v>1365.5343018000001</v>
      </c>
      <c r="H343">
        <v>1356.5422363</v>
      </c>
      <c r="I343">
        <v>1294.9958495999999</v>
      </c>
      <c r="J343">
        <v>1274.3144531</v>
      </c>
      <c r="K343">
        <v>80</v>
      </c>
      <c r="L343">
        <v>79.873069763000004</v>
      </c>
      <c r="M343">
        <v>50</v>
      </c>
      <c r="N343">
        <v>15.546525001999999</v>
      </c>
    </row>
    <row r="344" spans="1:14" x14ac:dyDescent="0.25">
      <c r="A344">
        <v>139.73097200000001</v>
      </c>
      <c r="B344" s="1">
        <f>DATE(2010,9,17) + TIME(17,32,35)</f>
        <v>40438.73096064815</v>
      </c>
      <c r="C344">
        <v>2400</v>
      </c>
      <c r="D344">
        <v>0</v>
      </c>
      <c r="E344">
        <v>0</v>
      </c>
      <c r="F344">
        <v>2400</v>
      </c>
      <c r="G344">
        <v>1365.5167236</v>
      </c>
      <c r="H344">
        <v>1356.526001</v>
      </c>
      <c r="I344">
        <v>1295.0212402</v>
      </c>
      <c r="J344">
        <v>1274.3377685999999</v>
      </c>
      <c r="K344">
        <v>80</v>
      </c>
      <c r="L344">
        <v>79.873168945000003</v>
      </c>
      <c r="M344">
        <v>50</v>
      </c>
      <c r="N344">
        <v>15.577795029000001</v>
      </c>
    </row>
    <row r="345" spans="1:14" x14ac:dyDescent="0.25">
      <c r="A345">
        <v>140.33967699999999</v>
      </c>
      <c r="B345" s="1">
        <f>DATE(2010,9,18) + TIME(8,9,8)</f>
        <v>40439.339675925927</v>
      </c>
      <c r="C345">
        <v>2400</v>
      </c>
      <c r="D345">
        <v>0</v>
      </c>
      <c r="E345">
        <v>0</v>
      </c>
      <c r="F345">
        <v>2400</v>
      </c>
      <c r="G345">
        <v>1365.4991454999999</v>
      </c>
      <c r="H345">
        <v>1356.5098877</v>
      </c>
      <c r="I345">
        <v>1295.0467529</v>
      </c>
      <c r="J345">
        <v>1274.3616943</v>
      </c>
      <c r="K345">
        <v>80</v>
      </c>
      <c r="L345">
        <v>79.873268127000003</v>
      </c>
      <c r="M345">
        <v>50</v>
      </c>
      <c r="N345">
        <v>15.610505104</v>
      </c>
    </row>
    <row r="346" spans="1:14" x14ac:dyDescent="0.25">
      <c r="A346">
        <v>140.948238</v>
      </c>
      <c r="B346" s="1">
        <f>DATE(2010,9,18) + TIME(22,45,27)</f>
        <v>40439.948229166665</v>
      </c>
      <c r="C346">
        <v>2400</v>
      </c>
      <c r="D346">
        <v>0</v>
      </c>
      <c r="E346">
        <v>0</v>
      </c>
      <c r="F346">
        <v>2400</v>
      </c>
      <c r="G346">
        <v>1365.4815673999999</v>
      </c>
      <c r="H346">
        <v>1356.4936522999999</v>
      </c>
      <c r="I346">
        <v>1295.0726318</v>
      </c>
      <c r="J346">
        <v>1274.3862305</v>
      </c>
      <c r="K346">
        <v>80</v>
      </c>
      <c r="L346">
        <v>79.873367310000006</v>
      </c>
      <c r="M346">
        <v>50</v>
      </c>
      <c r="N346">
        <v>15.644719124</v>
      </c>
    </row>
    <row r="347" spans="1:14" x14ac:dyDescent="0.25">
      <c r="A347">
        <v>141.55603500000001</v>
      </c>
      <c r="B347" s="1">
        <f>DATE(2010,9,19) + TIME(13,20,41)</f>
        <v>40440.556030092594</v>
      </c>
      <c r="C347">
        <v>2400</v>
      </c>
      <c r="D347">
        <v>0</v>
      </c>
      <c r="E347">
        <v>0</v>
      </c>
      <c r="F347">
        <v>2400</v>
      </c>
      <c r="G347">
        <v>1365.4641113</v>
      </c>
      <c r="H347">
        <v>1356.4775391000001</v>
      </c>
      <c r="I347">
        <v>1295.0986327999999</v>
      </c>
      <c r="J347">
        <v>1274.4111327999999</v>
      </c>
      <c r="K347">
        <v>80</v>
      </c>
      <c r="L347">
        <v>79.873466492000006</v>
      </c>
      <c r="M347">
        <v>50</v>
      </c>
      <c r="N347">
        <v>15.680474281</v>
      </c>
    </row>
    <row r="348" spans="1:14" x14ac:dyDescent="0.25">
      <c r="A348">
        <v>142.16327799999999</v>
      </c>
      <c r="B348" s="1">
        <f>DATE(2010,9,20) + TIME(3,55,7)</f>
        <v>40441.163275462961</v>
      </c>
      <c r="C348">
        <v>2400</v>
      </c>
      <c r="D348">
        <v>0</v>
      </c>
      <c r="E348">
        <v>0</v>
      </c>
      <c r="F348">
        <v>2400</v>
      </c>
      <c r="G348">
        <v>1365.4466553</v>
      </c>
      <c r="H348">
        <v>1356.4615478999999</v>
      </c>
      <c r="I348">
        <v>1295.1248779</v>
      </c>
      <c r="J348">
        <v>1274.4366454999999</v>
      </c>
      <c r="K348">
        <v>80</v>
      </c>
      <c r="L348">
        <v>79.873565674000005</v>
      </c>
      <c r="M348">
        <v>50</v>
      </c>
      <c r="N348">
        <v>15.717837334</v>
      </c>
    </row>
    <row r="349" spans="1:14" x14ac:dyDescent="0.25">
      <c r="A349">
        <v>142.77013400000001</v>
      </c>
      <c r="B349" s="1">
        <f>DATE(2010,9,20) + TIME(18,28,59)</f>
        <v>40441.770127314812</v>
      </c>
      <c r="C349">
        <v>2400</v>
      </c>
      <c r="D349">
        <v>0</v>
      </c>
      <c r="E349">
        <v>0</v>
      </c>
      <c r="F349">
        <v>2400</v>
      </c>
      <c r="G349">
        <v>1365.4291992000001</v>
      </c>
      <c r="H349">
        <v>1356.4454346</v>
      </c>
      <c r="I349">
        <v>1295.1512451000001</v>
      </c>
      <c r="J349">
        <v>1274.4626464999999</v>
      </c>
      <c r="K349">
        <v>80</v>
      </c>
      <c r="L349">
        <v>79.873657226999995</v>
      </c>
      <c r="M349">
        <v>50</v>
      </c>
      <c r="N349">
        <v>15.756873131000001</v>
      </c>
    </row>
    <row r="350" spans="1:14" x14ac:dyDescent="0.25">
      <c r="A350">
        <v>143.37678299999999</v>
      </c>
      <c r="B350" s="1">
        <f>DATE(2010,9,21) + TIME(9,2,34)</f>
        <v>40442.376782407409</v>
      </c>
      <c r="C350">
        <v>2400</v>
      </c>
      <c r="D350">
        <v>0</v>
      </c>
      <c r="E350">
        <v>0</v>
      </c>
      <c r="F350">
        <v>2400</v>
      </c>
      <c r="G350">
        <v>1365.4118652</v>
      </c>
      <c r="H350">
        <v>1356.4294434000001</v>
      </c>
      <c r="I350">
        <v>1295.1778564000001</v>
      </c>
      <c r="J350">
        <v>1274.4892577999999</v>
      </c>
      <c r="K350">
        <v>80</v>
      </c>
      <c r="L350">
        <v>79.873756408999995</v>
      </c>
      <c r="M350">
        <v>50</v>
      </c>
      <c r="N350">
        <v>15.797646522999999</v>
      </c>
    </row>
    <row r="351" spans="1:14" x14ac:dyDescent="0.25">
      <c r="A351">
        <v>144.59004400000001</v>
      </c>
      <c r="B351" s="1">
        <f>DATE(2010,9,22) + TIME(14,9,39)</f>
        <v>40443.59003472222</v>
      </c>
      <c r="C351">
        <v>2400</v>
      </c>
      <c r="D351">
        <v>0</v>
      </c>
      <c r="E351">
        <v>0</v>
      </c>
      <c r="F351">
        <v>2400</v>
      </c>
      <c r="G351">
        <v>1365.3947754000001</v>
      </c>
      <c r="H351">
        <v>1356.4136963000001</v>
      </c>
      <c r="I351">
        <v>1295.1984863</v>
      </c>
      <c r="J351">
        <v>1274.5195312000001</v>
      </c>
      <c r="K351">
        <v>80</v>
      </c>
      <c r="L351">
        <v>79.873962402000004</v>
      </c>
      <c r="M351">
        <v>50</v>
      </c>
      <c r="N351">
        <v>15.864725113</v>
      </c>
    </row>
    <row r="352" spans="1:14" x14ac:dyDescent="0.25">
      <c r="A352">
        <v>145.808009</v>
      </c>
      <c r="B352" s="1">
        <f>DATE(2010,9,23) + TIME(19,23,31)</f>
        <v>40444.807997685188</v>
      </c>
      <c r="C352">
        <v>2400</v>
      </c>
      <c r="D352">
        <v>0</v>
      </c>
      <c r="E352">
        <v>0</v>
      </c>
      <c r="F352">
        <v>2400</v>
      </c>
      <c r="G352">
        <v>1365.3603516000001</v>
      </c>
      <c r="H352">
        <v>1356.3819579999999</v>
      </c>
      <c r="I352">
        <v>1295.2541504000001</v>
      </c>
      <c r="J352">
        <v>1274.5738524999999</v>
      </c>
      <c r="K352">
        <v>80</v>
      </c>
      <c r="L352">
        <v>79.874168396000002</v>
      </c>
      <c r="M352">
        <v>50</v>
      </c>
      <c r="N352">
        <v>15.94560051</v>
      </c>
    </row>
    <row r="353" spans="1:14" x14ac:dyDescent="0.25">
      <c r="A353">
        <v>147.04831200000001</v>
      </c>
      <c r="B353" s="1">
        <f>DATE(2010,9,25) + TIME(1,9,34)</f>
        <v>40446.048310185186</v>
      </c>
      <c r="C353">
        <v>2400</v>
      </c>
      <c r="D353">
        <v>0</v>
      </c>
      <c r="E353">
        <v>0</v>
      </c>
      <c r="F353">
        <v>2400</v>
      </c>
      <c r="G353">
        <v>1365.3259277</v>
      </c>
      <c r="H353">
        <v>1356.3500977000001</v>
      </c>
      <c r="I353">
        <v>1295.3096923999999</v>
      </c>
      <c r="J353">
        <v>1274.6314697</v>
      </c>
      <c r="K353">
        <v>80</v>
      </c>
      <c r="L353">
        <v>79.874366760000001</v>
      </c>
      <c r="M353">
        <v>50</v>
      </c>
      <c r="N353">
        <v>16.038984298999999</v>
      </c>
    </row>
    <row r="354" spans="1:14" x14ac:dyDescent="0.25">
      <c r="A354">
        <v>147.677841</v>
      </c>
      <c r="B354" s="1">
        <f>DATE(2010,9,25) + TIME(16,16,5)</f>
        <v>40446.677835648145</v>
      </c>
      <c r="C354">
        <v>2400</v>
      </c>
      <c r="D354">
        <v>0</v>
      </c>
      <c r="E354">
        <v>0</v>
      </c>
      <c r="F354">
        <v>2400</v>
      </c>
      <c r="G354">
        <v>1365.2907714999999</v>
      </c>
      <c r="H354">
        <v>1356.3175048999999</v>
      </c>
      <c r="I354">
        <v>1295.3762207</v>
      </c>
      <c r="J354">
        <v>1274.6885986</v>
      </c>
      <c r="K354">
        <v>80</v>
      </c>
      <c r="L354">
        <v>79.874458313000005</v>
      </c>
      <c r="M354">
        <v>50</v>
      </c>
      <c r="N354">
        <v>16.106338501</v>
      </c>
    </row>
    <row r="355" spans="1:14" x14ac:dyDescent="0.25">
      <c r="A355">
        <v>148.88296399999999</v>
      </c>
      <c r="B355" s="1">
        <f>DATE(2010,9,26) + TIME(21,11,28)</f>
        <v>40447.882962962962</v>
      </c>
      <c r="C355">
        <v>2400</v>
      </c>
      <c r="D355">
        <v>0</v>
      </c>
      <c r="E355">
        <v>0</v>
      </c>
      <c r="F355">
        <v>2400</v>
      </c>
      <c r="G355">
        <v>1365.2729492000001</v>
      </c>
      <c r="H355">
        <v>1356.3010254000001</v>
      </c>
      <c r="I355">
        <v>1295.3945312000001</v>
      </c>
      <c r="J355">
        <v>1274.7270507999999</v>
      </c>
      <c r="K355">
        <v>80</v>
      </c>
      <c r="L355">
        <v>79.874656677000004</v>
      </c>
      <c r="M355">
        <v>50</v>
      </c>
      <c r="N355">
        <v>16.208196640000001</v>
      </c>
    </row>
    <row r="356" spans="1:14" x14ac:dyDescent="0.25">
      <c r="A356">
        <v>149.505099</v>
      </c>
      <c r="B356" s="1">
        <f>DATE(2010,9,27) + TIME(12,7,20)</f>
        <v>40448.50509259259</v>
      </c>
      <c r="C356">
        <v>2400</v>
      </c>
      <c r="D356">
        <v>0</v>
      </c>
      <c r="E356">
        <v>0</v>
      </c>
      <c r="F356">
        <v>2400</v>
      </c>
      <c r="G356">
        <v>1365.2391356999999</v>
      </c>
      <c r="H356">
        <v>1356.2695312000001</v>
      </c>
      <c r="I356">
        <v>1295.4611815999999</v>
      </c>
      <c r="J356">
        <v>1274.7861327999999</v>
      </c>
      <c r="K356">
        <v>80</v>
      </c>
      <c r="L356">
        <v>79.874755859000004</v>
      </c>
      <c r="M356">
        <v>50</v>
      </c>
      <c r="N356">
        <v>16.282272338999999</v>
      </c>
    </row>
    <row r="357" spans="1:14" x14ac:dyDescent="0.25">
      <c r="A357">
        <v>150.70097799999999</v>
      </c>
      <c r="B357" s="1">
        <f>DATE(2010,9,28) + TIME(16,49,24)</f>
        <v>40449.700972222221</v>
      </c>
      <c r="C357">
        <v>2400</v>
      </c>
      <c r="D357">
        <v>0</v>
      </c>
      <c r="E357">
        <v>0</v>
      </c>
      <c r="F357">
        <v>2400</v>
      </c>
      <c r="G357">
        <v>1365.2215576000001</v>
      </c>
      <c r="H357">
        <v>1356.2531738</v>
      </c>
      <c r="I357">
        <v>1295.4786377</v>
      </c>
      <c r="J357">
        <v>1274.8272704999999</v>
      </c>
      <c r="K357">
        <v>80</v>
      </c>
      <c r="L357">
        <v>79.874954224000007</v>
      </c>
      <c r="M357">
        <v>50</v>
      </c>
      <c r="N357">
        <v>16.394851684999999</v>
      </c>
    </row>
    <row r="358" spans="1:14" x14ac:dyDescent="0.25">
      <c r="A358">
        <v>151.94130999999999</v>
      </c>
      <c r="B358" s="1">
        <f>DATE(2010,9,29) + TIME(22,35,29)</f>
        <v>40450.941307870373</v>
      </c>
      <c r="C358">
        <v>2400</v>
      </c>
      <c r="D358">
        <v>0</v>
      </c>
      <c r="E358">
        <v>0</v>
      </c>
      <c r="F358">
        <v>2400</v>
      </c>
      <c r="G358">
        <v>1365.1882324000001</v>
      </c>
      <c r="H358">
        <v>1356.2220459</v>
      </c>
      <c r="I358">
        <v>1295.5352783000001</v>
      </c>
      <c r="J358">
        <v>1274.8953856999999</v>
      </c>
      <c r="K358">
        <v>80</v>
      </c>
      <c r="L358">
        <v>79.875152588000006</v>
      </c>
      <c r="M358">
        <v>50</v>
      </c>
      <c r="N358">
        <v>16.523498535000002</v>
      </c>
    </row>
    <row r="359" spans="1:14" x14ac:dyDescent="0.25">
      <c r="A359">
        <v>153</v>
      </c>
      <c r="B359" s="1">
        <f>DATE(2010,10,1) + TIME(0,0,0)</f>
        <v>40452</v>
      </c>
      <c r="C359">
        <v>2400</v>
      </c>
      <c r="D359">
        <v>0</v>
      </c>
      <c r="E359">
        <v>0</v>
      </c>
      <c r="F359">
        <v>2400</v>
      </c>
      <c r="G359">
        <v>1365.1535644999999</v>
      </c>
      <c r="H359">
        <v>1356.1896973</v>
      </c>
      <c r="I359">
        <v>1295.5977783000001</v>
      </c>
      <c r="J359">
        <v>1274.9676514</v>
      </c>
      <c r="K359">
        <v>80</v>
      </c>
      <c r="L359">
        <v>79.875320435000006</v>
      </c>
      <c r="M359">
        <v>50</v>
      </c>
      <c r="N359">
        <v>16.653264999000001</v>
      </c>
    </row>
    <row r="360" spans="1:14" x14ac:dyDescent="0.25">
      <c r="A360">
        <v>154.24606900000001</v>
      </c>
      <c r="B360" s="1">
        <f>DATE(2010,10,2) + TIME(5,54,20)</f>
        <v>40453.246064814812</v>
      </c>
      <c r="C360">
        <v>2400</v>
      </c>
      <c r="D360">
        <v>0</v>
      </c>
      <c r="E360">
        <v>0</v>
      </c>
      <c r="F360">
        <v>2400</v>
      </c>
      <c r="G360">
        <v>1365.1241454999999</v>
      </c>
      <c r="H360">
        <v>1356.1621094</v>
      </c>
      <c r="I360">
        <v>1295.6442870999999</v>
      </c>
      <c r="J360">
        <v>1275.0362548999999</v>
      </c>
      <c r="K360">
        <v>80</v>
      </c>
      <c r="L360">
        <v>79.875526428000001</v>
      </c>
      <c r="M360">
        <v>50</v>
      </c>
      <c r="N360">
        <v>16.803220749000001</v>
      </c>
    </row>
    <row r="361" spans="1:14" x14ac:dyDescent="0.25">
      <c r="A361">
        <v>154.87168299999999</v>
      </c>
      <c r="B361" s="1">
        <f>DATE(2010,10,2) + TIME(20,55,13)</f>
        <v>40453.871678240743</v>
      </c>
      <c r="C361">
        <v>2400</v>
      </c>
      <c r="D361">
        <v>0</v>
      </c>
      <c r="E361">
        <v>0</v>
      </c>
      <c r="F361">
        <v>2400</v>
      </c>
      <c r="G361">
        <v>1365.0894774999999</v>
      </c>
      <c r="H361">
        <v>1356.1297606999999</v>
      </c>
      <c r="I361">
        <v>1295.7193603999999</v>
      </c>
      <c r="J361">
        <v>1275.1097411999999</v>
      </c>
      <c r="K361">
        <v>80</v>
      </c>
      <c r="L361">
        <v>79.875617981000005</v>
      </c>
      <c r="M361">
        <v>50</v>
      </c>
      <c r="N361">
        <v>16.908575058</v>
      </c>
    </row>
    <row r="362" spans="1:14" x14ac:dyDescent="0.25">
      <c r="A362">
        <v>155.49391600000001</v>
      </c>
      <c r="B362" s="1">
        <f>DATE(2010,10,3) + TIME(11,51,14)</f>
        <v>40454.49391203704</v>
      </c>
      <c r="C362">
        <v>2400</v>
      </c>
      <c r="D362">
        <v>0</v>
      </c>
      <c r="E362">
        <v>0</v>
      </c>
      <c r="F362">
        <v>2400</v>
      </c>
      <c r="G362">
        <v>1365.0718993999999</v>
      </c>
      <c r="H362">
        <v>1356.1131591999999</v>
      </c>
      <c r="I362">
        <v>1295.746582</v>
      </c>
      <c r="J362">
        <v>1275.1545410000001</v>
      </c>
      <c r="K362">
        <v>80</v>
      </c>
      <c r="L362">
        <v>79.875717163000004</v>
      </c>
      <c r="M362">
        <v>50</v>
      </c>
      <c r="N362">
        <v>17.011285782000002</v>
      </c>
    </row>
    <row r="363" spans="1:14" x14ac:dyDescent="0.25">
      <c r="A363">
        <v>156.11614900000001</v>
      </c>
      <c r="B363" s="1">
        <f>DATE(2010,10,4) + TIME(2,47,15)</f>
        <v>40455.11614583333</v>
      </c>
      <c r="C363">
        <v>2400</v>
      </c>
      <c r="D363">
        <v>0</v>
      </c>
      <c r="E363">
        <v>0</v>
      </c>
      <c r="F363">
        <v>2400</v>
      </c>
      <c r="G363">
        <v>1365.0546875</v>
      </c>
      <c r="H363">
        <v>1356.0968018000001</v>
      </c>
      <c r="I363">
        <v>1295.7744141000001</v>
      </c>
      <c r="J363">
        <v>1275.1995850000001</v>
      </c>
      <c r="K363">
        <v>80</v>
      </c>
      <c r="L363">
        <v>79.875816345000004</v>
      </c>
      <c r="M363">
        <v>50</v>
      </c>
      <c r="N363">
        <v>17.113203048999999</v>
      </c>
    </row>
    <row r="364" spans="1:14" x14ac:dyDescent="0.25">
      <c r="A364">
        <v>156.738382</v>
      </c>
      <c r="B364" s="1">
        <f>DATE(2010,10,4) + TIME(17,43,16)</f>
        <v>40455.738379629627</v>
      </c>
      <c r="C364">
        <v>2400</v>
      </c>
      <c r="D364">
        <v>0</v>
      </c>
      <c r="E364">
        <v>0</v>
      </c>
      <c r="F364">
        <v>2400</v>
      </c>
      <c r="G364">
        <v>1365.0374756000001</v>
      </c>
      <c r="H364">
        <v>1356.0805664</v>
      </c>
      <c r="I364">
        <v>1295.8029785000001</v>
      </c>
      <c r="J364">
        <v>1275.2452393000001</v>
      </c>
      <c r="K364">
        <v>80</v>
      </c>
      <c r="L364">
        <v>79.875915527000004</v>
      </c>
      <c r="M364">
        <v>50</v>
      </c>
      <c r="N364">
        <v>17.215396881</v>
      </c>
    </row>
    <row r="365" spans="1:14" x14ac:dyDescent="0.25">
      <c r="A365">
        <v>157.360614</v>
      </c>
      <c r="B365" s="1">
        <f>DATE(2010,10,5) + TIME(8,39,17)</f>
        <v>40456.360613425924</v>
      </c>
      <c r="C365">
        <v>2400</v>
      </c>
      <c r="D365">
        <v>0</v>
      </c>
      <c r="E365">
        <v>0</v>
      </c>
      <c r="F365">
        <v>2400</v>
      </c>
      <c r="G365">
        <v>1365.0202637</v>
      </c>
      <c r="H365">
        <v>1356.0643310999999</v>
      </c>
      <c r="I365">
        <v>1295.8320312000001</v>
      </c>
      <c r="J365">
        <v>1275.2915039</v>
      </c>
      <c r="K365">
        <v>80</v>
      </c>
      <c r="L365">
        <v>79.876022339000002</v>
      </c>
      <c r="M365">
        <v>50</v>
      </c>
      <c r="N365">
        <v>17.318634032999999</v>
      </c>
    </row>
    <row r="366" spans="1:14" x14ac:dyDescent="0.25">
      <c r="A366">
        <v>157.98284699999999</v>
      </c>
      <c r="B366" s="1">
        <f>DATE(2010,10,5) + TIME(23,35,18)</f>
        <v>40456.982847222222</v>
      </c>
      <c r="C366">
        <v>2400</v>
      </c>
      <c r="D366">
        <v>0</v>
      </c>
      <c r="E366">
        <v>0</v>
      </c>
      <c r="F366">
        <v>2400</v>
      </c>
      <c r="G366">
        <v>1365.0030518000001</v>
      </c>
      <c r="H366">
        <v>1356.0480957</v>
      </c>
      <c r="I366">
        <v>1295.8613281</v>
      </c>
      <c r="J366">
        <v>1275.338501</v>
      </c>
      <c r="K366">
        <v>80</v>
      </c>
      <c r="L366">
        <v>79.876121521000002</v>
      </c>
      <c r="M366">
        <v>50</v>
      </c>
      <c r="N366">
        <v>17.423473357999999</v>
      </c>
    </row>
    <row r="367" spans="1:14" x14ac:dyDescent="0.25">
      <c r="A367">
        <v>158.60507999999999</v>
      </c>
      <c r="B367" s="1">
        <f>DATE(2010,10,6) + TIME(14,31,18)</f>
        <v>40457.605069444442</v>
      </c>
      <c r="C367">
        <v>2400</v>
      </c>
      <c r="D367">
        <v>0</v>
      </c>
      <c r="E367">
        <v>0</v>
      </c>
      <c r="F367">
        <v>2400</v>
      </c>
      <c r="G367">
        <v>1364.9859618999999</v>
      </c>
      <c r="H367">
        <v>1356.0318603999999</v>
      </c>
      <c r="I367">
        <v>1295.8909911999999</v>
      </c>
      <c r="J367">
        <v>1275.3864745999999</v>
      </c>
      <c r="K367">
        <v>80</v>
      </c>
      <c r="L367">
        <v>79.876220703000001</v>
      </c>
      <c r="M367">
        <v>50</v>
      </c>
      <c r="N367">
        <v>17.530313492000001</v>
      </c>
    </row>
    <row r="368" spans="1:14" x14ac:dyDescent="0.25">
      <c r="A368">
        <v>159.22731300000001</v>
      </c>
      <c r="B368" s="1">
        <f>DATE(2010,10,7) + TIME(5,27,19)</f>
        <v>40458.227303240739</v>
      </c>
      <c r="C368">
        <v>2400</v>
      </c>
      <c r="D368">
        <v>0</v>
      </c>
      <c r="E368">
        <v>0</v>
      </c>
      <c r="F368">
        <v>2400</v>
      </c>
      <c r="G368">
        <v>1364.9688721</v>
      </c>
      <c r="H368">
        <v>1356.015625</v>
      </c>
      <c r="I368">
        <v>1295.9207764</v>
      </c>
      <c r="J368">
        <v>1275.4353027</v>
      </c>
      <c r="K368">
        <v>80</v>
      </c>
      <c r="L368">
        <v>79.876319885000001</v>
      </c>
      <c r="M368">
        <v>50</v>
      </c>
      <c r="N368">
        <v>17.639440535999999</v>
      </c>
    </row>
    <row r="369" spans="1:14" x14ac:dyDescent="0.25">
      <c r="A369">
        <v>159.849546</v>
      </c>
      <c r="B369" s="1">
        <f>DATE(2010,10,7) + TIME(20,23,20)</f>
        <v>40458.849537037036</v>
      </c>
      <c r="C369">
        <v>2400</v>
      </c>
      <c r="D369">
        <v>0</v>
      </c>
      <c r="E369">
        <v>0</v>
      </c>
      <c r="F369">
        <v>2400</v>
      </c>
      <c r="G369">
        <v>1364.9517822</v>
      </c>
      <c r="H369">
        <v>1355.9993896000001</v>
      </c>
      <c r="I369">
        <v>1295.9508057</v>
      </c>
      <c r="J369">
        <v>1275.4849853999999</v>
      </c>
      <c r="K369">
        <v>80</v>
      </c>
      <c r="L369">
        <v>79.876426696999999</v>
      </c>
      <c r="M369">
        <v>50</v>
      </c>
      <c r="N369">
        <v>17.751058577999999</v>
      </c>
    </row>
    <row r="370" spans="1:14" x14ac:dyDescent="0.25">
      <c r="A370">
        <v>160.471779</v>
      </c>
      <c r="B370" s="1">
        <f>DATE(2010,10,8) + TIME(11,19,21)</f>
        <v>40459.471770833334</v>
      </c>
      <c r="C370">
        <v>2400</v>
      </c>
      <c r="D370">
        <v>0</v>
      </c>
      <c r="E370">
        <v>0</v>
      </c>
      <c r="F370">
        <v>2400</v>
      </c>
      <c r="G370">
        <v>1364.9346923999999</v>
      </c>
      <c r="H370">
        <v>1355.9831543</v>
      </c>
      <c r="I370">
        <v>1295.9808350000001</v>
      </c>
      <c r="J370">
        <v>1275.5357666</v>
      </c>
      <c r="K370">
        <v>80</v>
      </c>
      <c r="L370">
        <v>79.876525878999999</v>
      </c>
      <c r="M370">
        <v>50</v>
      </c>
      <c r="N370">
        <v>17.865304946999998</v>
      </c>
    </row>
    <row r="371" spans="1:14" x14ac:dyDescent="0.25">
      <c r="A371">
        <v>161.09401199999999</v>
      </c>
      <c r="B371" s="1">
        <f>DATE(2010,10,9) + TIME(2,15,22)</f>
        <v>40460.094004629631</v>
      </c>
      <c r="C371">
        <v>2400</v>
      </c>
      <c r="D371">
        <v>0</v>
      </c>
      <c r="E371">
        <v>0</v>
      </c>
      <c r="F371">
        <v>2400</v>
      </c>
      <c r="G371">
        <v>1364.9177245999999</v>
      </c>
      <c r="H371">
        <v>1355.9670410000001</v>
      </c>
      <c r="I371">
        <v>1296.0109863</v>
      </c>
      <c r="J371">
        <v>1275.5874022999999</v>
      </c>
      <c r="K371">
        <v>80</v>
      </c>
      <c r="L371">
        <v>79.876625060999999</v>
      </c>
      <c r="M371">
        <v>50</v>
      </c>
      <c r="N371">
        <v>17.982276917</v>
      </c>
    </row>
    <row r="372" spans="1:14" x14ac:dyDescent="0.25">
      <c r="A372">
        <v>161.71624399999999</v>
      </c>
      <c r="B372" s="1">
        <f>DATE(2010,10,9) + TIME(17,11,23)</f>
        <v>40460.716238425928</v>
      </c>
      <c r="C372">
        <v>2400</v>
      </c>
      <c r="D372">
        <v>0</v>
      </c>
      <c r="E372">
        <v>0</v>
      </c>
      <c r="F372">
        <v>2400</v>
      </c>
      <c r="G372">
        <v>1364.9006348</v>
      </c>
      <c r="H372">
        <v>1355.9508057</v>
      </c>
      <c r="I372">
        <v>1296.0412598</v>
      </c>
      <c r="J372">
        <v>1275.6401367000001</v>
      </c>
      <c r="K372">
        <v>80</v>
      </c>
      <c r="L372">
        <v>79.876731872999997</v>
      </c>
      <c r="M372">
        <v>50</v>
      </c>
      <c r="N372">
        <v>18.102033615</v>
      </c>
    </row>
    <row r="373" spans="1:14" x14ac:dyDescent="0.25">
      <c r="A373">
        <v>162.33847700000001</v>
      </c>
      <c r="B373" s="1">
        <f>DATE(2010,10,10) + TIME(8,7,24)</f>
        <v>40461.338472222225</v>
      </c>
      <c r="C373">
        <v>2400</v>
      </c>
      <c r="D373">
        <v>0</v>
      </c>
      <c r="E373">
        <v>0</v>
      </c>
      <c r="F373">
        <v>2400</v>
      </c>
      <c r="G373">
        <v>1364.8836670000001</v>
      </c>
      <c r="H373">
        <v>1355.9345702999999</v>
      </c>
      <c r="I373">
        <v>1296.0715332</v>
      </c>
      <c r="J373">
        <v>1275.6938477000001</v>
      </c>
      <c r="K373">
        <v>80</v>
      </c>
      <c r="L373">
        <v>79.876831054999997</v>
      </c>
      <c r="M373">
        <v>50</v>
      </c>
      <c r="N373">
        <v>18.224607467999999</v>
      </c>
    </row>
    <row r="374" spans="1:14" x14ac:dyDescent="0.25">
      <c r="A374">
        <v>162.96071000000001</v>
      </c>
      <c r="B374" s="1">
        <f>DATE(2010,10,10) + TIME(23,3,25)</f>
        <v>40461.960706018515</v>
      </c>
      <c r="C374">
        <v>2400</v>
      </c>
      <c r="D374">
        <v>0</v>
      </c>
      <c r="E374">
        <v>0</v>
      </c>
      <c r="F374">
        <v>2400</v>
      </c>
      <c r="G374">
        <v>1364.8666992000001</v>
      </c>
      <c r="H374">
        <v>1355.918457</v>
      </c>
      <c r="I374">
        <v>1296.1018065999999</v>
      </c>
      <c r="J374">
        <v>1275.7486572</v>
      </c>
      <c r="K374">
        <v>80</v>
      </c>
      <c r="L374">
        <v>79.876930236999996</v>
      </c>
      <c r="M374">
        <v>50</v>
      </c>
      <c r="N374">
        <v>18.350011825999999</v>
      </c>
    </row>
    <row r="375" spans="1:14" x14ac:dyDescent="0.25">
      <c r="A375">
        <v>163.582943</v>
      </c>
      <c r="B375" s="1">
        <f>DATE(2010,10,11) + TIME(13,59,26)</f>
        <v>40462.582939814813</v>
      </c>
      <c r="C375">
        <v>2400</v>
      </c>
      <c r="D375">
        <v>0</v>
      </c>
      <c r="E375">
        <v>0</v>
      </c>
      <c r="F375">
        <v>2400</v>
      </c>
      <c r="G375">
        <v>1364.8497314000001</v>
      </c>
      <c r="H375">
        <v>1355.9023437999999</v>
      </c>
      <c r="I375">
        <v>1296.1322021000001</v>
      </c>
      <c r="J375">
        <v>1275.8044434000001</v>
      </c>
      <c r="K375">
        <v>80</v>
      </c>
      <c r="L375">
        <v>79.877037048000005</v>
      </c>
      <c r="M375">
        <v>50</v>
      </c>
      <c r="N375">
        <v>18.478240967000001</v>
      </c>
    </row>
    <row r="376" spans="1:14" x14ac:dyDescent="0.25">
      <c r="A376">
        <v>164.20517599999999</v>
      </c>
      <c r="B376" s="1">
        <f>DATE(2010,10,12) + TIME(4,55,27)</f>
        <v>40463.20517361111</v>
      </c>
      <c r="C376">
        <v>2400</v>
      </c>
      <c r="D376">
        <v>0</v>
      </c>
      <c r="E376">
        <v>0</v>
      </c>
      <c r="F376">
        <v>2400</v>
      </c>
      <c r="G376">
        <v>1364.8328856999999</v>
      </c>
      <c r="H376">
        <v>1355.8861084</v>
      </c>
      <c r="I376">
        <v>1296.1625977000001</v>
      </c>
      <c r="J376">
        <v>1275.8613281</v>
      </c>
      <c r="K376">
        <v>80</v>
      </c>
      <c r="L376">
        <v>79.877136230000005</v>
      </c>
      <c r="M376">
        <v>50</v>
      </c>
      <c r="N376">
        <v>18.609279633</v>
      </c>
    </row>
    <row r="377" spans="1:14" x14ac:dyDescent="0.25">
      <c r="A377">
        <v>164.82740899999999</v>
      </c>
      <c r="B377" s="1">
        <f>DATE(2010,10,12) + TIME(19,51,28)</f>
        <v>40463.827407407407</v>
      </c>
      <c r="C377">
        <v>2400</v>
      </c>
      <c r="D377">
        <v>0</v>
      </c>
      <c r="E377">
        <v>0</v>
      </c>
      <c r="F377">
        <v>2400</v>
      </c>
      <c r="G377">
        <v>1364.8160399999999</v>
      </c>
      <c r="H377">
        <v>1355.8699951000001</v>
      </c>
      <c r="I377">
        <v>1296.1931152</v>
      </c>
      <c r="J377">
        <v>1275.9191894999999</v>
      </c>
      <c r="K377">
        <v>80</v>
      </c>
      <c r="L377">
        <v>79.877235412999994</v>
      </c>
      <c r="M377">
        <v>50</v>
      </c>
      <c r="N377">
        <v>18.743095398000001</v>
      </c>
    </row>
    <row r="378" spans="1:14" x14ac:dyDescent="0.25">
      <c r="A378">
        <v>166.07187400000001</v>
      </c>
      <c r="B378" s="1">
        <f>DATE(2010,10,14) + TIME(1,43,29)</f>
        <v>40465.071863425925</v>
      </c>
      <c r="C378">
        <v>2400</v>
      </c>
      <c r="D378">
        <v>0</v>
      </c>
      <c r="E378">
        <v>0</v>
      </c>
      <c r="F378">
        <v>2400</v>
      </c>
      <c r="G378">
        <v>1364.7993164</v>
      </c>
      <c r="H378">
        <v>1355.8538818</v>
      </c>
      <c r="I378">
        <v>1296.2060547000001</v>
      </c>
      <c r="J378">
        <v>1275.9885254000001</v>
      </c>
      <c r="K378">
        <v>80</v>
      </c>
      <c r="L378">
        <v>79.877449036000002</v>
      </c>
      <c r="M378">
        <v>50</v>
      </c>
      <c r="N378">
        <v>18.955224991000001</v>
      </c>
    </row>
    <row r="379" spans="1:14" x14ac:dyDescent="0.25">
      <c r="A379">
        <v>167.32143400000001</v>
      </c>
      <c r="B379" s="1">
        <f>DATE(2010,10,15) + TIME(7,42,51)</f>
        <v>40466.321423611109</v>
      </c>
      <c r="C379">
        <v>2400</v>
      </c>
      <c r="D379">
        <v>0</v>
      </c>
      <c r="E379">
        <v>0</v>
      </c>
      <c r="F379">
        <v>2400</v>
      </c>
      <c r="G379">
        <v>1364.7658690999999</v>
      </c>
      <c r="H379">
        <v>1355.8220214999999</v>
      </c>
      <c r="I379">
        <v>1296.2730713000001</v>
      </c>
      <c r="J379">
        <v>1276.1024170000001</v>
      </c>
      <c r="K379">
        <v>80</v>
      </c>
      <c r="L379">
        <v>79.877655028999996</v>
      </c>
      <c r="M379">
        <v>50</v>
      </c>
      <c r="N379">
        <v>19.203662871999999</v>
      </c>
    </row>
    <row r="380" spans="1:14" x14ac:dyDescent="0.25">
      <c r="A380">
        <v>168.60501400000001</v>
      </c>
      <c r="B380" s="1">
        <f>DATE(2010,10,16) + TIME(14,31,13)</f>
        <v>40467.605011574073</v>
      </c>
      <c r="C380">
        <v>2400</v>
      </c>
      <c r="D380">
        <v>0</v>
      </c>
      <c r="E380">
        <v>0</v>
      </c>
      <c r="F380">
        <v>2400</v>
      </c>
      <c r="G380">
        <v>1364.7322998</v>
      </c>
      <c r="H380">
        <v>1355.7897949000001</v>
      </c>
      <c r="I380">
        <v>1296.3372803</v>
      </c>
      <c r="J380">
        <v>1276.2238769999999</v>
      </c>
      <c r="K380">
        <v>80</v>
      </c>
      <c r="L380">
        <v>79.877868652000004</v>
      </c>
      <c r="M380">
        <v>50</v>
      </c>
      <c r="N380">
        <v>19.480815886999999</v>
      </c>
    </row>
    <row r="381" spans="1:14" x14ac:dyDescent="0.25">
      <c r="A381">
        <v>169.923946</v>
      </c>
      <c r="B381" s="1">
        <f>DATE(2010,10,17) + TIME(22,10,28)</f>
        <v>40468.923935185187</v>
      </c>
      <c r="C381">
        <v>2400</v>
      </c>
      <c r="D381">
        <v>0</v>
      </c>
      <c r="E381">
        <v>0</v>
      </c>
      <c r="F381">
        <v>2400</v>
      </c>
      <c r="G381">
        <v>1364.6979980000001</v>
      </c>
      <c r="H381">
        <v>1355.7568358999999</v>
      </c>
      <c r="I381">
        <v>1296.4020995999999</v>
      </c>
      <c r="J381">
        <v>1276.3540039</v>
      </c>
      <c r="K381">
        <v>80</v>
      </c>
      <c r="L381">
        <v>79.878082274999997</v>
      </c>
      <c r="M381">
        <v>50</v>
      </c>
      <c r="N381">
        <v>19.782636642</v>
      </c>
    </row>
    <row r="382" spans="1:14" x14ac:dyDescent="0.25">
      <c r="A382">
        <v>170.601302</v>
      </c>
      <c r="B382" s="1">
        <f>DATE(2010,10,18) + TIME(14,25,52)</f>
        <v>40469.6012962963</v>
      </c>
      <c r="C382">
        <v>2400</v>
      </c>
      <c r="D382">
        <v>0</v>
      </c>
      <c r="E382">
        <v>0</v>
      </c>
      <c r="F382">
        <v>2400</v>
      </c>
      <c r="G382">
        <v>1364.6628418</v>
      </c>
      <c r="H382">
        <v>1355.7233887</v>
      </c>
      <c r="I382">
        <v>1296.4934082</v>
      </c>
      <c r="J382">
        <v>1276.4765625</v>
      </c>
      <c r="K382">
        <v>80</v>
      </c>
      <c r="L382">
        <v>79.878189086999996</v>
      </c>
      <c r="M382">
        <v>50</v>
      </c>
      <c r="N382">
        <v>19.994867325000001</v>
      </c>
    </row>
    <row r="383" spans="1:14" x14ac:dyDescent="0.25">
      <c r="A383">
        <v>171.88213099999999</v>
      </c>
      <c r="B383" s="1">
        <f>DATE(2010,10,19) + TIME(21,10,16)</f>
        <v>40470.88212962963</v>
      </c>
      <c r="C383">
        <v>2400</v>
      </c>
      <c r="D383">
        <v>0</v>
      </c>
      <c r="E383">
        <v>0</v>
      </c>
      <c r="F383">
        <v>2400</v>
      </c>
      <c r="G383">
        <v>1364.6446533000001</v>
      </c>
      <c r="H383">
        <v>1355.7055664</v>
      </c>
      <c r="I383">
        <v>1296.5003661999999</v>
      </c>
      <c r="J383">
        <v>1276.5701904</v>
      </c>
      <c r="K383">
        <v>80</v>
      </c>
      <c r="L383">
        <v>79.878402710000003</v>
      </c>
      <c r="M383">
        <v>50</v>
      </c>
      <c r="N383">
        <v>20.294570922999998</v>
      </c>
    </row>
    <row r="384" spans="1:14" x14ac:dyDescent="0.25">
      <c r="A384">
        <v>173.224547</v>
      </c>
      <c r="B384" s="1">
        <f>DATE(2010,10,21) + TIME(5,23,20)</f>
        <v>40472.224537037036</v>
      </c>
      <c r="C384">
        <v>2400</v>
      </c>
      <c r="D384">
        <v>0</v>
      </c>
      <c r="E384">
        <v>0</v>
      </c>
      <c r="F384">
        <v>2400</v>
      </c>
      <c r="G384">
        <v>1364.6108397999999</v>
      </c>
      <c r="H384">
        <v>1355.6729736</v>
      </c>
      <c r="I384">
        <v>1296.5656738</v>
      </c>
      <c r="J384">
        <v>1276.7109375</v>
      </c>
      <c r="K384">
        <v>80</v>
      </c>
      <c r="L384">
        <v>79.878616332999997</v>
      </c>
      <c r="M384">
        <v>50</v>
      </c>
      <c r="N384">
        <v>20.622600554999998</v>
      </c>
    </row>
    <row r="385" spans="1:14" x14ac:dyDescent="0.25">
      <c r="A385">
        <v>174.58128600000001</v>
      </c>
      <c r="B385" s="1">
        <f>DATE(2010,10,22) + TIME(13,57,3)</f>
        <v>40473.581284722219</v>
      </c>
      <c r="C385">
        <v>2400</v>
      </c>
      <c r="D385">
        <v>0</v>
      </c>
      <c r="E385">
        <v>0</v>
      </c>
      <c r="F385">
        <v>2400</v>
      </c>
      <c r="G385">
        <v>1364.5755615</v>
      </c>
      <c r="H385">
        <v>1355.6389160000001</v>
      </c>
      <c r="I385">
        <v>1296.6357422000001</v>
      </c>
      <c r="J385">
        <v>1276.8620605000001</v>
      </c>
      <c r="K385">
        <v>80</v>
      </c>
      <c r="L385">
        <v>79.878837584999999</v>
      </c>
      <c r="M385">
        <v>50</v>
      </c>
      <c r="N385">
        <v>20.971397400000001</v>
      </c>
    </row>
    <row r="386" spans="1:14" x14ac:dyDescent="0.25">
      <c r="A386">
        <v>175.958584</v>
      </c>
      <c r="B386" s="1">
        <f>DATE(2010,10,23) + TIME(23,0,21)</f>
        <v>40474.95857638889</v>
      </c>
      <c r="C386">
        <v>2400</v>
      </c>
      <c r="D386">
        <v>0</v>
      </c>
      <c r="E386">
        <v>0</v>
      </c>
      <c r="F386">
        <v>2400</v>
      </c>
      <c r="G386">
        <v>1364.5399170000001</v>
      </c>
      <c r="H386">
        <v>1355.6046143000001</v>
      </c>
      <c r="I386">
        <v>1296.706543</v>
      </c>
      <c r="J386">
        <v>1277.0200195</v>
      </c>
      <c r="K386">
        <v>80</v>
      </c>
      <c r="L386">
        <v>79.879066467000001</v>
      </c>
      <c r="M386">
        <v>50</v>
      </c>
      <c r="N386">
        <v>21.337413787999999</v>
      </c>
    </row>
    <row r="387" spans="1:14" x14ac:dyDescent="0.25">
      <c r="A387">
        <v>177.354637</v>
      </c>
      <c r="B387" s="1">
        <f>DATE(2010,10,25) + TIME(8,30,40)</f>
        <v>40476.354629629626</v>
      </c>
      <c r="C387">
        <v>2400</v>
      </c>
      <c r="D387">
        <v>0</v>
      </c>
      <c r="E387">
        <v>0</v>
      </c>
      <c r="F387">
        <v>2400</v>
      </c>
      <c r="G387">
        <v>1364.5040283000001</v>
      </c>
      <c r="H387">
        <v>1355.5699463000001</v>
      </c>
      <c r="I387">
        <v>1296.7791748</v>
      </c>
      <c r="J387">
        <v>1277.1849365</v>
      </c>
      <c r="K387">
        <v>80</v>
      </c>
      <c r="L387">
        <v>79.879287719999994</v>
      </c>
      <c r="M387">
        <v>50</v>
      </c>
      <c r="N387">
        <v>21.718067169000001</v>
      </c>
    </row>
    <row r="388" spans="1:14" x14ac:dyDescent="0.25">
      <c r="A388">
        <v>178.768405</v>
      </c>
      <c r="B388" s="1">
        <f>DATE(2010,10,26) + TIME(18,26,30)</f>
        <v>40477.76840277778</v>
      </c>
      <c r="C388">
        <v>2400</v>
      </c>
      <c r="D388">
        <v>0</v>
      </c>
      <c r="E388">
        <v>0</v>
      </c>
      <c r="F388">
        <v>2400</v>
      </c>
      <c r="G388">
        <v>1364.4677733999999</v>
      </c>
      <c r="H388">
        <v>1355.5349120999999</v>
      </c>
      <c r="I388">
        <v>1296.8538818</v>
      </c>
      <c r="J388">
        <v>1277.3566894999999</v>
      </c>
      <c r="K388">
        <v>80</v>
      </c>
      <c r="L388">
        <v>79.879516601999995</v>
      </c>
      <c r="M388">
        <v>50</v>
      </c>
      <c r="N388">
        <v>22.111415863000001</v>
      </c>
    </row>
    <row r="389" spans="1:14" x14ac:dyDescent="0.25">
      <c r="A389">
        <v>180.20310900000001</v>
      </c>
      <c r="B389" s="1">
        <f>DATE(2010,10,28) + TIME(4,52,28)</f>
        <v>40479.203101851854</v>
      </c>
      <c r="C389">
        <v>2400</v>
      </c>
      <c r="D389">
        <v>0</v>
      </c>
      <c r="E389">
        <v>0</v>
      </c>
      <c r="F389">
        <v>2400</v>
      </c>
      <c r="G389">
        <v>1364.4313964999999</v>
      </c>
      <c r="H389">
        <v>1355.4997559000001</v>
      </c>
      <c r="I389">
        <v>1296.9306641000001</v>
      </c>
      <c r="J389">
        <v>1277.5350341999999</v>
      </c>
      <c r="K389">
        <v>80</v>
      </c>
      <c r="L389">
        <v>79.879745482999994</v>
      </c>
      <c r="M389">
        <v>50</v>
      </c>
      <c r="N389">
        <v>22.516471863</v>
      </c>
    </row>
    <row r="390" spans="1:14" x14ac:dyDescent="0.25">
      <c r="A390">
        <v>181.66209799999999</v>
      </c>
      <c r="B390" s="1">
        <f>DATE(2010,10,29) + TIME(15,53,25)</f>
        <v>40480.662094907406</v>
      </c>
      <c r="C390">
        <v>2400</v>
      </c>
      <c r="D390">
        <v>0</v>
      </c>
      <c r="E390">
        <v>0</v>
      </c>
      <c r="F390">
        <v>2400</v>
      </c>
      <c r="G390">
        <v>1364.3945312000001</v>
      </c>
      <c r="H390">
        <v>1355.4642334</v>
      </c>
      <c r="I390">
        <v>1297.0098877</v>
      </c>
      <c r="J390">
        <v>1277.7202147999999</v>
      </c>
      <c r="K390">
        <v>80</v>
      </c>
      <c r="L390">
        <v>79.879981994999994</v>
      </c>
      <c r="M390">
        <v>50</v>
      </c>
      <c r="N390">
        <v>22.932748794999998</v>
      </c>
    </row>
    <row r="391" spans="1:14" x14ac:dyDescent="0.25">
      <c r="A391">
        <v>183.14880199999999</v>
      </c>
      <c r="B391" s="1">
        <f>DATE(2010,10,31) + TIME(3,34,16)</f>
        <v>40482.148796296293</v>
      </c>
      <c r="C391">
        <v>2400</v>
      </c>
      <c r="D391">
        <v>0</v>
      </c>
      <c r="E391">
        <v>0</v>
      </c>
      <c r="F391">
        <v>2400</v>
      </c>
      <c r="G391">
        <v>1364.3574219</v>
      </c>
      <c r="H391">
        <v>1355.4283447</v>
      </c>
      <c r="I391">
        <v>1297.0921631000001</v>
      </c>
      <c r="J391">
        <v>1277.9125977000001</v>
      </c>
      <c r="K391">
        <v>80</v>
      </c>
      <c r="L391">
        <v>79.880218506000006</v>
      </c>
      <c r="M391">
        <v>50</v>
      </c>
      <c r="N391">
        <v>23.359996796000001</v>
      </c>
    </row>
    <row r="392" spans="1:14" x14ac:dyDescent="0.25">
      <c r="A392">
        <v>184</v>
      </c>
      <c r="B392" s="1">
        <f>DATE(2010,11,1) + TIME(0,0,0)</f>
        <v>40483</v>
      </c>
      <c r="C392">
        <v>2400</v>
      </c>
      <c r="D392">
        <v>0</v>
      </c>
      <c r="E392">
        <v>0</v>
      </c>
      <c r="F392">
        <v>2400</v>
      </c>
      <c r="G392">
        <v>1364.3200684000001</v>
      </c>
      <c r="H392">
        <v>1355.3925781</v>
      </c>
      <c r="I392">
        <v>1297.1988524999999</v>
      </c>
      <c r="J392">
        <v>1278.0913086</v>
      </c>
      <c r="K392">
        <v>80</v>
      </c>
      <c r="L392">
        <v>79.880348205999994</v>
      </c>
      <c r="M392">
        <v>50</v>
      </c>
      <c r="N392">
        <v>23.677021026999999</v>
      </c>
    </row>
    <row r="393" spans="1:14" x14ac:dyDescent="0.25">
      <c r="A393">
        <v>184.000001</v>
      </c>
      <c r="B393" s="1">
        <f>DATE(2010,11,1) + TIME(0,0,0)</f>
        <v>40483</v>
      </c>
      <c r="C393">
        <v>0</v>
      </c>
      <c r="D393">
        <v>2400</v>
      </c>
      <c r="E393">
        <v>2400</v>
      </c>
      <c r="F393">
        <v>0</v>
      </c>
      <c r="G393">
        <v>1354.9569091999999</v>
      </c>
      <c r="H393">
        <v>1351.2243652</v>
      </c>
      <c r="I393">
        <v>1315.6365966999999</v>
      </c>
      <c r="J393">
        <v>1297.7100829999999</v>
      </c>
      <c r="K393">
        <v>80</v>
      </c>
      <c r="L393">
        <v>79.880279540999993</v>
      </c>
      <c r="M393">
        <v>50</v>
      </c>
      <c r="N393">
        <v>23.677095413</v>
      </c>
    </row>
    <row r="394" spans="1:14" x14ac:dyDescent="0.25">
      <c r="A394">
        <v>184.00000399999999</v>
      </c>
      <c r="B394" s="1">
        <f>DATE(2010,11,1) + TIME(0,0,0)</f>
        <v>40483</v>
      </c>
      <c r="C394">
        <v>0</v>
      </c>
      <c r="D394">
        <v>2400</v>
      </c>
      <c r="E394">
        <v>2400</v>
      </c>
      <c r="F394">
        <v>0</v>
      </c>
      <c r="G394">
        <v>1353.8560791</v>
      </c>
      <c r="H394">
        <v>1350.1229248</v>
      </c>
      <c r="I394">
        <v>1316.878418</v>
      </c>
      <c r="J394">
        <v>1299.1319579999999</v>
      </c>
      <c r="K394">
        <v>80</v>
      </c>
      <c r="L394">
        <v>79.880126953000001</v>
      </c>
      <c r="M394">
        <v>50</v>
      </c>
      <c r="N394">
        <v>23.677301407000002</v>
      </c>
    </row>
    <row r="395" spans="1:14" x14ac:dyDescent="0.25">
      <c r="A395">
        <v>184.000013</v>
      </c>
      <c r="B395" s="1">
        <f>DATE(2010,11,1) + TIME(0,0,1)</f>
        <v>40483.000011574077</v>
      </c>
      <c r="C395">
        <v>0</v>
      </c>
      <c r="D395">
        <v>2400</v>
      </c>
      <c r="E395">
        <v>2400</v>
      </c>
      <c r="F395">
        <v>0</v>
      </c>
      <c r="G395">
        <v>1351.6331786999999</v>
      </c>
      <c r="H395">
        <v>1347.8992920000001</v>
      </c>
      <c r="I395">
        <v>1320.0227050999999</v>
      </c>
      <c r="J395">
        <v>1302.6312256000001</v>
      </c>
      <c r="K395">
        <v>80</v>
      </c>
      <c r="L395">
        <v>79.879806518999999</v>
      </c>
      <c r="M395">
        <v>50</v>
      </c>
      <c r="N395">
        <v>23.677837371999999</v>
      </c>
    </row>
    <row r="396" spans="1:14" x14ac:dyDescent="0.25">
      <c r="A396">
        <v>184.00004000000001</v>
      </c>
      <c r="B396" s="1">
        <f>DATE(2010,11,1) + TIME(0,0,3)</f>
        <v>40483.000034722223</v>
      </c>
      <c r="C396">
        <v>0</v>
      </c>
      <c r="D396">
        <v>2400</v>
      </c>
      <c r="E396">
        <v>2400</v>
      </c>
      <c r="F396">
        <v>0</v>
      </c>
      <c r="G396">
        <v>1348.3845214999999</v>
      </c>
      <c r="H396">
        <v>1344.6508789</v>
      </c>
      <c r="I396">
        <v>1326.4089355000001</v>
      </c>
      <c r="J396">
        <v>1309.4202881000001</v>
      </c>
      <c r="K396">
        <v>80</v>
      </c>
      <c r="L396">
        <v>79.879348754999995</v>
      </c>
      <c r="M396">
        <v>50</v>
      </c>
      <c r="N396">
        <v>23.67902565</v>
      </c>
    </row>
    <row r="397" spans="1:14" x14ac:dyDescent="0.25">
      <c r="A397">
        <v>184.00012100000001</v>
      </c>
      <c r="B397" s="1">
        <f>DATE(2010,11,1) + TIME(0,0,10)</f>
        <v>40483.000115740739</v>
      </c>
      <c r="C397">
        <v>0</v>
      </c>
      <c r="D397">
        <v>2400</v>
      </c>
      <c r="E397">
        <v>2400</v>
      </c>
      <c r="F397">
        <v>0</v>
      </c>
      <c r="G397">
        <v>1344.7602539</v>
      </c>
      <c r="H397">
        <v>1341.0295410000001</v>
      </c>
      <c r="I397">
        <v>1335.7858887</v>
      </c>
      <c r="J397">
        <v>1318.8642577999999</v>
      </c>
      <c r="K397">
        <v>80</v>
      </c>
      <c r="L397">
        <v>79.878814696999996</v>
      </c>
      <c r="M397">
        <v>50</v>
      </c>
      <c r="N397">
        <v>23.681356430000001</v>
      </c>
    </row>
    <row r="398" spans="1:14" x14ac:dyDescent="0.25">
      <c r="A398">
        <v>184.00036399999999</v>
      </c>
      <c r="B398" s="1">
        <f>DATE(2010,11,1) + TIME(0,0,31)</f>
        <v>40483.000358796293</v>
      </c>
      <c r="C398">
        <v>0</v>
      </c>
      <c r="D398">
        <v>2400</v>
      </c>
      <c r="E398">
        <v>2400</v>
      </c>
      <c r="F398">
        <v>0</v>
      </c>
      <c r="G398">
        <v>1341.0830077999999</v>
      </c>
      <c r="H398">
        <v>1337.3350829999999</v>
      </c>
      <c r="I398">
        <v>1346.3038329999999</v>
      </c>
      <c r="J398">
        <v>1329.322876</v>
      </c>
      <c r="K398">
        <v>80</v>
      </c>
      <c r="L398">
        <v>79.878242493000002</v>
      </c>
      <c r="M398">
        <v>50</v>
      </c>
      <c r="N398">
        <v>23.686414718999998</v>
      </c>
    </row>
    <row r="399" spans="1:14" x14ac:dyDescent="0.25">
      <c r="A399">
        <v>184.001093</v>
      </c>
      <c r="B399" s="1">
        <f>DATE(2010,11,1) + TIME(0,1,34)</f>
        <v>40483.001087962963</v>
      </c>
      <c r="C399">
        <v>0</v>
      </c>
      <c r="D399">
        <v>2400</v>
      </c>
      <c r="E399">
        <v>2400</v>
      </c>
      <c r="F399">
        <v>0</v>
      </c>
      <c r="G399">
        <v>1337.2209473</v>
      </c>
      <c r="H399">
        <v>1333.3629149999999</v>
      </c>
      <c r="I399">
        <v>1356.8457031</v>
      </c>
      <c r="J399">
        <v>1339.8355713000001</v>
      </c>
      <c r="K399">
        <v>80</v>
      </c>
      <c r="L399">
        <v>79.877525329999997</v>
      </c>
      <c r="M399">
        <v>50</v>
      </c>
      <c r="N399">
        <v>23.699327469</v>
      </c>
    </row>
    <row r="400" spans="1:14" x14ac:dyDescent="0.25">
      <c r="A400">
        <v>184.00327999999999</v>
      </c>
      <c r="B400" s="1">
        <f>DATE(2010,11,1) + TIME(0,4,43)</f>
        <v>40483.003275462965</v>
      </c>
      <c r="C400">
        <v>0</v>
      </c>
      <c r="D400">
        <v>2400</v>
      </c>
      <c r="E400">
        <v>2400</v>
      </c>
      <c r="F400">
        <v>0</v>
      </c>
      <c r="G400">
        <v>1332.9147949000001</v>
      </c>
      <c r="H400">
        <v>1328.8015137</v>
      </c>
      <c r="I400">
        <v>1366.8239745999999</v>
      </c>
      <c r="J400">
        <v>1349.737793</v>
      </c>
      <c r="K400">
        <v>80</v>
      </c>
      <c r="L400">
        <v>79.876380920000003</v>
      </c>
      <c r="M400">
        <v>50</v>
      </c>
      <c r="N400">
        <v>23.735839844000001</v>
      </c>
    </row>
    <row r="401" spans="1:14" x14ac:dyDescent="0.25">
      <c r="A401">
        <v>184.00984099999999</v>
      </c>
      <c r="B401" s="1">
        <f>DATE(2010,11,1) + TIME(0,14,10)</f>
        <v>40483.009837962964</v>
      </c>
      <c r="C401">
        <v>0</v>
      </c>
      <c r="D401">
        <v>2400</v>
      </c>
      <c r="E401">
        <v>2400</v>
      </c>
      <c r="F401">
        <v>0</v>
      </c>
      <c r="G401">
        <v>1328.4901123</v>
      </c>
      <c r="H401">
        <v>1324.1163329999999</v>
      </c>
      <c r="I401">
        <v>1374.8736572</v>
      </c>
      <c r="J401">
        <v>1357.6470947</v>
      </c>
      <c r="K401">
        <v>80</v>
      </c>
      <c r="L401">
        <v>79.874107361</v>
      </c>
      <c r="M401">
        <v>50</v>
      </c>
      <c r="N401">
        <v>23.843708037999999</v>
      </c>
    </row>
    <row r="402" spans="1:14" x14ac:dyDescent="0.25">
      <c r="A402">
        <v>184.02952400000001</v>
      </c>
      <c r="B402" s="1">
        <f>DATE(2010,11,1) + TIME(0,42,30)</f>
        <v>40483.029513888891</v>
      </c>
      <c r="C402">
        <v>0</v>
      </c>
      <c r="D402">
        <v>2400</v>
      </c>
      <c r="E402">
        <v>2400</v>
      </c>
      <c r="F402">
        <v>0</v>
      </c>
      <c r="G402">
        <v>1325.0230713000001</v>
      </c>
      <c r="H402">
        <v>1320.5310059000001</v>
      </c>
      <c r="I402">
        <v>1379.5274658000001</v>
      </c>
      <c r="J402">
        <v>1362.2563477000001</v>
      </c>
      <c r="K402">
        <v>80</v>
      </c>
      <c r="L402">
        <v>79.868621825999995</v>
      </c>
      <c r="M402">
        <v>50</v>
      </c>
      <c r="N402">
        <v>24.164539337000001</v>
      </c>
    </row>
    <row r="403" spans="1:14" x14ac:dyDescent="0.25">
      <c r="A403">
        <v>184.082491</v>
      </c>
      <c r="B403" s="1">
        <f>DATE(2010,11,1) + TIME(1,58,47)</f>
        <v>40483.082488425927</v>
      </c>
      <c r="C403">
        <v>0</v>
      </c>
      <c r="D403">
        <v>2400</v>
      </c>
      <c r="E403">
        <v>2400</v>
      </c>
      <c r="F403">
        <v>0</v>
      </c>
      <c r="G403">
        <v>1323.2889404</v>
      </c>
      <c r="H403">
        <v>1318.7689209</v>
      </c>
      <c r="I403">
        <v>1380.71875</v>
      </c>
      <c r="J403">
        <v>1363.71875</v>
      </c>
      <c r="K403">
        <v>80</v>
      </c>
      <c r="L403">
        <v>79.855125427000004</v>
      </c>
      <c r="M403">
        <v>50</v>
      </c>
      <c r="N403">
        <v>25.002042769999999</v>
      </c>
    </row>
    <row r="404" spans="1:14" x14ac:dyDescent="0.25">
      <c r="A404">
        <v>184.13722100000001</v>
      </c>
      <c r="B404" s="1">
        <f>DATE(2010,11,1) + TIME(3,17,35)</f>
        <v>40483.13721064815</v>
      </c>
      <c r="C404">
        <v>0</v>
      </c>
      <c r="D404">
        <v>2400</v>
      </c>
      <c r="E404">
        <v>2400</v>
      </c>
      <c r="F404">
        <v>0</v>
      </c>
      <c r="G404">
        <v>1322.8612060999999</v>
      </c>
      <c r="H404">
        <v>1318.3369141000001</v>
      </c>
      <c r="I404">
        <v>1380.4753418</v>
      </c>
      <c r="J404">
        <v>1363.7899170000001</v>
      </c>
      <c r="K404">
        <v>80</v>
      </c>
      <c r="L404">
        <v>79.841461182000003</v>
      </c>
      <c r="M404">
        <v>50</v>
      </c>
      <c r="N404">
        <v>25.839954376000001</v>
      </c>
    </row>
    <row r="405" spans="1:14" x14ac:dyDescent="0.25">
      <c r="A405">
        <v>184.19355200000001</v>
      </c>
      <c r="B405" s="1">
        <f>DATE(2010,11,1) + TIME(4,38,42)</f>
        <v>40483.193541666667</v>
      </c>
      <c r="C405">
        <v>0</v>
      </c>
      <c r="D405">
        <v>2400</v>
      </c>
      <c r="E405">
        <v>2400</v>
      </c>
      <c r="F405">
        <v>0</v>
      </c>
      <c r="G405">
        <v>1322.739624</v>
      </c>
      <c r="H405">
        <v>1318.2141113</v>
      </c>
      <c r="I405">
        <v>1379.9993896000001</v>
      </c>
      <c r="J405">
        <v>1363.6300048999999</v>
      </c>
      <c r="K405">
        <v>80</v>
      </c>
      <c r="L405">
        <v>79.827545165999993</v>
      </c>
      <c r="M405">
        <v>50</v>
      </c>
      <c r="N405">
        <v>26.673080444</v>
      </c>
    </row>
    <row r="406" spans="1:14" x14ac:dyDescent="0.25">
      <c r="A406">
        <v>184.251531</v>
      </c>
      <c r="B406" s="1">
        <f>DATE(2010,11,1) + TIME(6,2,12)</f>
        <v>40483.251527777778</v>
      </c>
      <c r="C406">
        <v>0</v>
      </c>
      <c r="D406">
        <v>2400</v>
      </c>
      <c r="E406">
        <v>2400</v>
      </c>
      <c r="F406">
        <v>0</v>
      </c>
      <c r="G406">
        <v>1322.7011719</v>
      </c>
      <c r="H406">
        <v>1318.1751709</v>
      </c>
      <c r="I406">
        <v>1379.5064697</v>
      </c>
      <c r="J406">
        <v>1363.4418945</v>
      </c>
      <c r="K406">
        <v>80</v>
      </c>
      <c r="L406">
        <v>79.813331603999998</v>
      </c>
      <c r="M406">
        <v>50</v>
      </c>
      <c r="N406">
        <v>27.500522614000001</v>
      </c>
    </row>
    <row r="407" spans="1:14" x14ac:dyDescent="0.25">
      <c r="A407">
        <v>184.31125900000001</v>
      </c>
      <c r="B407" s="1">
        <f>DATE(2010,11,1) + TIME(7,28,12)</f>
        <v>40483.311249999999</v>
      </c>
      <c r="C407">
        <v>0</v>
      </c>
      <c r="D407">
        <v>2400</v>
      </c>
      <c r="E407">
        <v>2400</v>
      </c>
      <c r="F407">
        <v>0</v>
      </c>
      <c r="G407">
        <v>1322.6878661999999</v>
      </c>
      <c r="H407">
        <v>1318.161499</v>
      </c>
      <c r="I407">
        <v>1379.0338135</v>
      </c>
      <c r="J407">
        <v>1363.2611084</v>
      </c>
      <c r="K407">
        <v>80</v>
      </c>
      <c r="L407">
        <v>79.798805236999996</v>
      </c>
      <c r="M407">
        <v>50</v>
      </c>
      <c r="N407">
        <v>28.322233199999999</v>
      </c>
    </row>
    <row r="408" spans="1:14" x14ac:dyDescent="0.25">
      <c r="A408">
        <v>184.37282400000001</v>
      </c>
      <c r="B408" s="1">
        <f>DATE(2010,11,1) + TIME(8,56,52)</f>
        <v>40483.372824074075</v>
      </c>
      <c r="C408">
        <v>0</v>
      </c>
      <c r="D408">
        <v>2400</v>
      </c>
      <c r="E408">
        <v>2400</v>
      </c>
      <c r="F408">
        <v>0</v>
      </c>
      <c r="G408">
        <v>1322.6827393000001</v>
      </c>
      <c r="H408">
        <v>1318.1558838000001</v>
      </c>
      <c r="I408">
        <v>1378.5858154</v>
      </c>
      <c r="J408">
        <v>1363.0917969</v>
      </c>
      <c r="K408">
        <v>80</v>
      </c>
      <c r="L408">
        <v>79.783950806000007</v>
      </c>
      <c r="M408">
        <v>50</v>
      </c>
      <c r="N408">
        <v>29.137874603</v>
      </c>
    </row>
    <row r="409" spans="1:14" x14ac:dyDescent="0.25">
      <c r="A409">
        <v>184.43635599999999</v>
      </c>
      <c r="B409" s="1">
        <f>DATE(2010,11,1) + TIME(10,28,21)</f>
        <v>40483.436354166668</v>
      </c>
      <c r="C409">
        <v>0</v>
      </c>
      <c r="D409">
        <v>2400</v>
      </c>
      <c r="E409">
        <v>2400</v>
      </c>
      <c r="F409">
        <v>0</v>
      </c>
      <c r="G409">
        <v>1322.6804199000001</v>
      </c>
      <c r="H409">
        <v>1318.1529541</v>
      </c>
      <c r="I409">
        <v>1378.1611327999999</v>
      </c>
      <c r="J409">
        <v>1362.9332274999999</v>
      </c>
      <c r="K409">
        <v>80</v>
      </c>
      <c r="L409">
        <v>79.768737793</v>
      </c>
      <c r="M409">
        <v>50</v>
      </c>
      <c r="N409">
        <v>29.947502136000001</v>
      </c>
    </row>
    <row r="410" spans="1:14" x14ac:dyDescent="0.25">
      <c r="A410">
        <v>184.502025</v>
      </c>
      <c r="B410" s="1">
        <f>DATE(2010,11,1) + TIME(12,2,54)</f>
        <v>40483.502013888887</v>
      </c>
      <c r="C410">
        <v>0</v>
      </c>
      <c r="D410">
        <v>2400</v>
      </c>
      <c r="E410">
        <v>2400</v>
      </c>
      <c r="F410">
        <v>0</v>
      </c>
      <c r="G410">
        <v>1322.6790771000001</v>
      </c>
      <c r="H410">
        <v>1318.151001</v>
      </c>
      <c r="I410">
        <v>1377.7578125</v>
      </c>
      <c r="J410">
        <v>1362.7840576000001</v>
      </c>
      <c r="K410">
        <v>80</v>
      </c>
      <c r="L410">
        <v>79.753135681000003</v>
      </c>
      <c r="M410">
        <v>50</v>
      </c>
      <c r="N410">
        <v>30.751691818000001</v>
      </c>
    </row>
    <row r="411" spans="1:14" x14ac:dyDescent="0.25">
      <c r="A411">
        <v>184.56999500000001</v>
      </c>
      <c r="B411" s="1">
        <f>DATE(2010,11,1) + TIME(13,40,47)</f>
        <v>40483.569988425923</v>
      </c>
      <c r="C411">
        <v>0</v>
      </c>
      <c r="D411">
        <v>2400</v>
      </c>
      <c r="E411">
        <v>2400</v>
      </c>
      <c r="F411">
        <v>0</v>
      </c>
      <c r="G411">
        <v>1322.6781006000001</v>
      </c>
      <c r="H411">
        <v>1318.1492920000001</v>
      </c>
      <c r="I411">
        <v>1377.3742675999999</v>
      </c>
      <c r="J411">
        <v>1362.6435547000001</v>
      </c>
      <c r="K411">
        <v>80</v>
      </c>
      <c r="L411">
        <v>79.737113953000005</v>
      </c>
      <c r="M411">
        <v>50</v>
      </c>
      <c r="N411">
        <v>31.550325394000001</v>
      </c>
    </row>
    <row r="412" spans="1:14" x14ac:dyDescent="0.25">
      <c r="A412">
        <v>184.640435</v>
      </c>
      <c r="B412" s="1">
        <f>DATE(2010,11,1) + TIME(15,22,13)</f>
        <v>40483.640428240738</v>
      </c>
      <c r="C412">
        <v>0</v>
      </c>
      <c r="D412">
        <v>2400</v>
      </c>
      <c r="E412">
        <v>2400</v>
      </c>
      <c r="F412">
        <v>0</v>
      </c>
      <c r="G412">
        <v>1322.677124</v>
      </c>
      <c r="H412">
        <v>1318.1475829999999</v>
      </c>
      <c r="I412">
        <v>1377.0095214999999</v>
      </c>
      <c r="J412">
        <v>1362.5109863</v>
      </c>
      <c r="K412">
        <v>80</v>
      </c>
      <c r="L412">
        <v>79.720649718999994</v>
      </c>
      <c r="M412">
        <v>50</v>
      </c>
      <c r="N412">
        <v>32.343284607000001</v>
      </c>
    </row>
    <row r="413" spans="1:14" x14ac:dyDescent="0.25">
      <c r="A413">
        <v>184.713526</v>
      </c>
      <c r="B413" s="1">
        <f>DATE(2010,11,1) + TIME(17,7,28)</f>
        <v>40483.713518518518</v>
      </c>
      <c r="C413">
        <v>0</v>
      </c>
      <c r="D413">
        <v>2400</v>
      </c>
      <c r="E413">
        <v>2400</v>
      </c>
      <c r="F413">
        <v>0</v>
      </c>
      <c r="G413">
        <v>1322.6762695</v>
      </c>
      <c r="H413">
        <v>1318.145874</v>
      </c>
      <c r="I413">
        <v>1376.6624756000001</v>
      </c>
      <c r="J413">
        <v>1362.3859863</v>
      </c>
      <c r="K413">
        <v>80</v>
      </c>
      <c r="L413">
        <v>79.703704834000007</v>
      </c>
      <c r="M413">
        <v>50</v>
      </c>
      <c r="N413">
        <v>33.130344391000001</v>
      </c>
    </row>
    <row r="414" spans="1:14" x14ac:dyDescent="0.25">
      <c r="A414">
        <v>184.789478</v>
      </c>
      <c r="B414" s="1">
        <f>DATE(2010,11,1) + TIME(18,56,50)</f>
        <v>40483.789467592593</v>
      </c>
      <c r="C414">
        <v>0</v>
      </c>
      <c r="D414">
        <v>2400</v>
      </c>
      <c r="E414">
        <v>2400</v>
      </c>
      <c r="F414">
        <v>0</v>
      </c>
      <c r="G414">
        <v>1322.6754149999999</v>
      </c>
      <c r="H414">
        <v>1318.1439209</v>
      </c>
      <c r="I414">
        <v>1376.3323975000001</v>
      </c>
      <c r="J414">
        <v>1362.2681885</v>
      </c>
      <c r="K414">
        <v>80</v>
      </c>
      <c r="L414">
        <v>79.686248778999996</v>
      </c>
      <c r="M414">
        <v>50</v>
      </c>
      <c r="N414">
        <v>33.911350249999998</v>
      </c>
    </row>
    <row r="415" spans="1:14" x14ac:dyDescent="0.25">
      <c r="A415">
        <v>184.86856900000001</v>
      </c>
      <c r="B415" s="1">
        <f>DATE(2010,11,1) + TIME(20,50,44)</f>
        <v>40483.868564814817</v>
      </c>
      <c r="C415">
        <v>0</v>
      </c>
      <c r="D415">
        <v>2400</v>
      </c>
      <c r="E415">
        <v>2400</v>
      </c>
      <c r="F415">
        <v>0</v>
      </c>
      <c r="G415">
        <v>1322.6744385</v>
      </c>
      <c r="H415">
        <v>1318.1418457</v>
      </c>
      <c r="I415">
        <v>1376.0181885</v>
      </c>
      <c r="J415">
        <v>1362.1569824000001</v>
      </c>
      <c r="K415">
        <v>80</v>
      </c>
      <c r="L415">
        <v>79.668220520000006</v>
      </c>
      <c r="M415">
        <v>50</v>
      </c>
      <c r="N415">
        <v>34.686504364000001</v>
      </c>
    </row>
    <row r="416" spans="1:14" x14ac:dyDescent="0.25">
      <c r="A416">
        <v>184.95106799999999</v>
      </c>
      <c r="B416" s="1">
        <f>DATE(2010,11,1) + TIME(22,49,32)</f>
        <v>40483.951064814813</v>
      </c>
      <c r="C416">
        <v>0</v>
      </c>
      <c r="D416">
        <v>2400</v>
      </c>
      <c r="E416">
        <v>2400</v>
      </c>
      <c r="F416">
        <v>0</v>
      </c>
      <c r="G416">
        <v>1322.6733397999999</v>
      </c>
      <c r="H416">
        <v>1318.1396483999999</v>
      </c>
      <c r="I416">
        <v>1375.7191161999999</v>
      </c>
      <c r="J416">
        <v>1362.0520019999999</v>
      </c>
      <c r="K416">
        <v>80</v>
      </c>
      <c r="L416">
        <v>79.649589539000004</v>
      </c>
      <c r="M416">
        <v>50</v>
      </c>
      <c r="N416">
        <v>35.455558777</v>
      </c>
    </row>
    <row r="417" spans="1:14" x14ac:dyDescent="0.25">
      <c r="A417">
        <v>185.037294</v>
      </c>
      <c r="B417" s="1">
        <f>DATE(2010,11,2) + TIME(0,53,42)</f>
        <v>40484.037291666667</v>
      </c>
      <c r="C417">
        <v>0</v>
      </c>
      <c r="D417">
        <v>2400</v>
      </c>
      <c r="E417">
        <v>2400</v>
      </c>
      <c r="F417">
        <v>0</v>
      </c>
      <c r="G417">
        <v>1322.6722411999999</v>
      </c>
      <c r="H417">
        <v>1318.137207</v>
      </c>
      <c r="I417">
        <v>1375.4344481999999</v>
      </c>
      <c r="J417">
        <v>1361.9528809000001</v>
      </c>
      <c r="K417">
        <v>80</v>
      </c>
      <c r="L417">
        <v>79.630294800000001</v>
      </c>
      <c r="M417">
        <v>50</v>
      </c>
      <c r="N417">
        <v>36.218330383000001</v>
      </c>
    </row>
    <row r="418" spans="1:14" x14ac:dyDescent="0.25">
      <c r="A418">
        <v>185.12760399999999</v>
      </c>
      <c r="B418" s="1">
        <f>DATE(2010,11,2) + TIME(3,3,44)</f>
        <v>40484.127592592595</v>
      </c>
      <c r="C418">
        <v>0</v>
      </c>
      <c r="D418">
        <v>2400</v>
      </c>
      <c r="E418">
        <v>2400</v>
      </c>
      <c r="F418">
        <v>0</v>
      </c>
      <c r="G418">
        <v>1322.6710204999999</v>
      </c>
      <c r="H418">
        <v>1318.1346435999999</v>
      </c>
      <c r="I418">
        <v>1375.1630858999999</v>
      </c>
      <c r="J418">
        <v>1361.8592529</v>
      </c>
      <c r="K418">
        <v>80</v>
      </c>
      <c r="L418">
        <v>79.610275268999999</v>
      </c>
      <c r="M418">
        <v>50</v>
      </c>
      <c r="N418">
        <v>36.974552154999998</v>
      </c>
    </row>
    <row r="419" spans="1:14" x14ac:dyDescent="0.25">
      <c r="A419">
        <v>185.22240300000001</v>
      </c>
      <c r="B419" s="1">
        <f>DATE(2010,11,2) + TIME(5,20,15)</f>
        <v>40484.222395833334</v>
      </c>
      <c r="C419">
        <v>0</v>
      </c>
      <c r="D419">
        <v>2400</v>
      </c>
      <c r="E419">
        <v>2400</v>
      </c>
      <c r="F419">
        <v>0</v>
      </c>
      <c r="G419">
        <v>1322.6697998</v>
      </c>
      <c r="H419">
        <v>1318.1319579999999</v>
      </c>
      <c r="I419">
        <v>1374.9046631000001</v>
      </c>
      <c r="J419">
        <v>1361.7707519999999</v>
      </c>
      <c r="K419">
        <v>80</v>
      </c>
      <c r="L419">
        <v>79.589469910000005</v>
      </c>
      <c r="M419">
        <v>50</v>
      </c>
      <c r="N419">
        <v>37.723865508999999</v>
      </c>
    </row>
    <row r="420" spans="1:14" x14ac:dyDescent="0.25">
      <c r="A420">
        <v>185.32218399999999</v>
      </c>
      <c r="B420" s="1">
        <f>DATE(2010,11,2) + TIME(7,43,56)</f>
        <v>40484.322175925925</v>
      </c>
      <c r="C420">
        <v>0</v>
      </c>
      <c r="D420">
        <v>2400</v>
      </c>
      <c r="E420">
        <v>2400</v>
      </c>
      <c r="F420">
        <v>0</v>
      </c>
      <c r="G420">
        <v>1322.668457</v>
      </c>
      <c r="H420">
        <v>1318.1290283000001</v>
      </c>
      <c r="I420">
        <v>1374.6582031</v>
      </c>
      <c r="J420">
        <v>1361.6867675999999</v>
      </c>
      <c r="K420">
        <v>80</v>
      </c>
      <c r="L420">
        <v>79.567779540999993</v>
      </c>
      <c r="M420">
        <v>50</v>
      </c>
      <c r="N420">
        <v>38.466037749999998</v>
      </c>
    </row>
    <row r="421" spans="1:14" x14ac:dyDescent="0.25">
      <c r="A421">
        <v>185.42750599999999</v>
      </c>
      <c r="B421" s="1">
        <f>DATE(2010,11,2) + TIME(10,15,36)</f>
        <v>40484.427499999998</v>
      </c>
      <c r="C421">
        <v>0</v>
      </c>
      <c r="D421">
        <v>2400</v>
      </c>
      <c r="E421">
        <v>2400</v>
      </c>
      <c r="F421">
        <v>0</v>
      </c>
      <c r="G421">
        <v>1322.6668701000001</v>
      </c>
      <c r="H421">
        <v>1318.1258545000001</v>
      </c>
      <c r="I421">
        <v>1374.4229736</v>
      </c>
      <c r="J421">
        <v>1361.6069336</v>
      </c>
      <c r="K421">
        <v>80</v>
      </c>
      <c r="L421">
        <v>79.545127868999998</v>
      </c>
      <c r="M421">
        <v>50</v>
      </c>
      <c r="N421">
        <v>39.200656891000001</v>
      </c>
    </row>
    <row r="422" spans="1:14" x14ac:dyDescent="0.25">
      <c r="A422">
        <v>185.539019</v>
      </c>
      <c r="B422" s="1">
        <f>DATE(2010,11,2) + TIME(12,56,11)</f>
        <v>40484.5390162037</v>
      </c>
      <c r="C422">
        <v>0</v>
      </c>
      <c r="D422">
        <v>2400</v>
      </c>
      <c r="E422">
        <v>2400</v>
      </c>
      <c r="F422">
        <v>0</v>
      </c>
      <c r="G422">
        <v>1322.6652832</v>
      </c>
      <c r="H422">
        <v>1318.1224365</v>
      </c>
      <c r="I422">
        <v>1374.1983643000001</v>
      </c>
      <c r="J422">
        <v>1361.5308838000001</v>
      </c>
      <c r="K422">
        <v>80</v>
      </c>
      <c r="L422">
        <v>79.521400451999995</v>
      </c>
      <c r="M422">
        <v>50</v>
      </c>
      <c r="N422">
        <v>39.927223206000001</v>
      </c>
    </row>
    <row r="423" spans="1:14" x14ac:dyDescent="0.25">
      <c r="A423">
        <v>185.657487</v>
      </c>
      <c r="B423" s="1">
        <f>DATE(2010,11,2) + TIME(15,46,46)</f>
        <v>40484.657476851855</v>
      </c>
      <c r="C423">
        <v>0</v>
      </c>
      <c r="D423">
        <v>2400</v>
      </c>
      <c r="E423">
        <v>2400</v>
      </c>
      <c r="F423">
        <v>0</v>
      </c>
      <c r="G423">
        <v>1322.6634521000001</v>
      </c>
      <c r="H423">
        <v>1318.1187743999999</v>
      </c>
      <c r="I423">
        <v>1373.9835204999999</v>
      </c>
      <c r="J423">
        <v>1361.4580077999999</v>
      </c>
      <c r="K423">
        <v>80</v>
      </c>
      <c r="L423">
        <v>79.496475219999994</v>
      </c>
      <c r="M423">
        <v>50</v>
      </c>
      <c r="N423">
        <v>40.645271301000001</v>
      </c>
    </row>
    <row r="424" spans="1:14" x14ac:dyDescent="0.25">
      <c r="A424">
        <v>185.783828</v>
      </c>
      <c r="B424" s="1">
        <f>DATE(2010,11,2) + TIME(18,48,42)</f>
        <v>40484.783819444441</v>
      </c>
      <c r="C424">
        <v>0</v>
      </c>
      <c r="D424">
        <v>2400</v>
      </c>
      <c r="E424">
        <v>2400</v>
      </c>
      <c r="F424">
        <v>0</v>
      </c>
      <c r="G424">
        <v>1322.661499</v>
      </c>
      <c r="H424">
        <v>1318.1148682</v>
      </c>
      <c r="I424">
        <v>1373.7777100000001</v>
      </c>
      <c r="J424">
        <v>1361.3878173999999</v>
      </c>
      <c r="K424">
        <v>80</v>
      </c>
      <c r="L424">
        <v>79.470207213999998</v>
      </c>
      <c r="M424">
        <v>50</v>
      </c>
      <c r="N424">
        <v>41.353992462000001</v>
      </c>
    </row>
    <row r="425" spans="1:14" x14ac:dyDescent="0.25">
      <c r="A425">
        <v>185.91915</v>
      </c>
      <c r="B425" s="1">
        <f>DATE(2010,11,2) + TIME(22,3,34)</f>
        <v>40484.91914351852</v>
      </c>
      <c r="C425">
        <v>0</v>
      </c>
      <c r="D425">
        <v>2400</v>
      </c>
      <c r="E425">
        <v>2400</v>
      </c>
      <c r="F425">
        <v>0</v>
      </c>
      <c r="G425">
        <v>1322.6593018000001</v>
      </c>
      <c r="H425">
        <v>1318.1105957</v>
      </c>
      <c r="I425">
        <v>1373.5803223</v>
      </c>
      <c r="J425">
        <v>1361.3198242000001</v>
      </c>
      <c r="K425">
        <v>80</v>
      </c>
      <c r="L425">
        <v>79.442413329999994</v>
      </c>
      <c r="M425">
        <v>50</v>
      </c>
      <c r="N425">
        <v>42.052574157999999</v>
      </c>
    </row>
    <row r="426" spans="1:14" x14ac:dyDescent="0.25">
      <c r="A426">
        <v>186.06479999999999</v>
      </c>
      <c r="B426" s="1">
        <f>DATE(2010,11,3) + TIME(1,33,18)</f>
        <v>40485.064791666664</v>
      </c>
      <c r="C426">
        <v>0</v>
      </c>
      <c r="D426">
        <v>2400</v>
      </c>
      <c r="E426">
        <v>2400</v>
      </c>
      <c r="F426">
        <v>0</v>
      </c>
      <c r="G426">
        <v>1322.6568603999999</v>
      </c>
      <c r="H426">
        <v>1318.1060791</v>
      </c>
      <c r="I426">
        <v>1373.3903809000001</v>
      </c>
      <c r="J426">
        <v>1361.2532959</v>
      </c>
      <c r="K426">
        <v>80</v>
      </c>
      <c r="L426">
        <v>79.412879943999997</v>
      </c>
      <c r="M426">
        <v>50</v>
      </c>
      <c r="N426">
        <v>42.740081787000001</v>
      </c>
    </row>
    <row r="427" spans="1:14" x14ac:dyDescent="0.25">
      <c r="A427">
        <v>186.22242900000001</v>
      </c>
      <c r="B427" s="1">
        <f>DATE(2010,11,3) + TIME(5,20,17)</f>
        <v>40485.222418981481</v>
      </c>
      <c r="C427">
        <v>0</v>
      </c>
      <c r="D427">
        <v>2400</v>
      </c>
      <c r="E427">
        <v>2400</v>
      </c>
      <c r="F427">
        <v>0</v>
      </c>
      <c r="G427">
        <v>1322.6540527</v>
      </c>
      <c r="H427">
        <v>1318.1009521000001</v>
      </c>
      <c r="I427">
        <v>1373.2071533000001</v>
      </c>
      <c r="J427">
        <v>1361.1876221</v>
      </c>
      <c r="K427">
        <v>80</v>
      </c>
      <c r="L427">
        <v>79.381355286000002</v>
      </c>
      <c r="M427">
        <v>50</v>
      </c>
      <c r="N427">
        <v>43.415348053000002</v>
      </c>
    </row>
    <row r="428" spans="1:14" x14ac:dyDescent="0.25">
      <c r="A428">
        <v>186.394104</v>
      </c>
      <c r="B428" s="1">
        <f>DATE(2010,11,3) + TIME(9,27,30)</f>
        <v>40485.394097222219</v>
      </c>
      <c r="C428">
        <v>0</v>
      </c>
      <c r="D428">
        <v>2400</v>
      </c>
      <c r="E428">
        <v>2400</v>
      </c>
      <c r="F428">
        <v>0</v>
      </c>
      <c r="G428">
        <v>1322.651001</v>
      </c>
      <c r="H428">
        <v>1318.0954589999999</v>
      </c>
      <c r="I428">
        <v>1373.0297852000001</v>
      </c>
      <c r="J428">
        <v>1361.1220702999999</v>
      </c>
      <c r="K428">
        <v>80</v>
      </c>
      <c r="L428">
        <v>79.347526549999998</v>
      </c>
      <c r="M428">
        <v>50</v>
      </c>
      <c r="N428">
        <v>44.077014923</v>
      </c>
    </row>
    <row r="429" spans="1:14" x14ac:dyDescent="0.25">
      <c r="A429">
        <v>186.58242799999999</v>
      </c>
      <c r="B429" s="1">
        <f>DATE(2010,11,3) + TIME(13,58,41)</f>
        <v>40485.582418981481</v>
      </c>
      <c r="C429">
        <v>0</v>
      </c>
      <c r="D429">
        <v>2400</v>
      </c>
      <c r="E429">
        <v>2400</v>
      </c>
      <c r="F429">
        <v>0</v>
      </c>
      <c r="G429">
        <v>1322.6473389</v>
      </c>
      <c r="H429">
        <v>1318.0893555</v>
      </c>
      <c r="I429">
        <v>1372.8572998</v>
      </c>
      <c r="J429">
        <v>1361.0556641000001</v>
      </c>
      <c r="K429">
        <v>80</v>
      </c>
      <c r="L429">
        <v>79.310989379999995</v>
      </c>
      <c r="M429">
        <v>50</v>
      </c>
      <c r="N429">
        <v>44.723396301000001</v>
      </c>
    </row>
    <row r="430" spans="1:14" x14ac:dyDescent="0.25">
      <c r="A430">
        <v>186.79081300000001</v>
      </c>
      <c r="B430" s="1">
        <f>DATE(2010,11,3) + TIME(18,58,46)</f>
        <v>40485.790810185186</v>
      </c>
      <c r="C430">
        <v>0</v>
      </c>
      <c r="D430">
        <v>2400</v>
      </c>
      <c r="E430">
        <v>2400</v>
      </c>
      <c r="F430">
        <v>0</v>
      </c>
      <c r="G430">
        <v>1322.6431885</v>
      </c>
      <c r="H430">
        <v>1318.0826416</v>
      </c>
      <c r="I430">
        <v>1372.6885986</v>
      </c>
      <c r="J430">
        <v>1360.9874268000001</v>
      </c>
      <c r="K430">
        <v>80</v>
      </c>
      <c r="L430">
        <v>79.271240234000004</v>
      </c>
      <c r="M430">
        <v>50</v>
      </c>
      <c r="N430">
        <v>45.352603911999999</v>
      </c>
    </row>
    <row r="431" spans="1:14" x14ac:dyDescent="0.25">
      <c r="A431">
        <v>187.02072200000001</v>
      </c>
      <c r="B431" s="1">
        <f>DATE(2010,11,4) + TIME(0,29,50)</f>
        <v>40486.02071759259</v>
      </c>
      <c r="C431">
        <v>0</v>
      </c>
      <c r="D431">
        <v>2400</v>
      </c>
      <c r="E431">
        <v>2400</v>
      </c>
      <c r="F431">
        <v>0</v>
      </c>
      <c r="G431">
        <v>1322.6384277</v>
      </c>
      <c r="H431">
        <v>1318.0750731999999</v>
      </c>
      <c r="I431">
        <v>1372.5250243999999</v>
      </c>
      <c r="J431">
        <v>1360.9172363</v>
      </c>
      <c r="K431">
        <v>80</v>
      </c>
      <c r="L431">
        <v>79.228149414000001</v>
      </c>
      <c r="M431">
        <v>50</v>
      </c>
      <c r="N431">
        <v>45.955444335999999</v>
      </c>
    </row>
    <row r="432" spans="1:14" x14ac:dyDescent="0.25">
      <c r="A432">
        <v>187.25196399999999</v>
      </c>
      <c r="B432" s="1">
        <f>DATE(2010,11,4) + TIME(6,2,49)</f>
        <v>40486.251956018517</v>
      </c>
      <c r="C432">
        <v>0</v>
      </c>
      <c r="D432">
        <v>2400</v>
      </c>
      <c r="E432">
        <v>2400</v>
      </c>
      <c r="F432">
        <v>0</v>
      </c>
      <c r="G432">
        <v>1322.6328125</v>
      </c>
      <c r="H432">
        <v>1318.0666504000001</v>
      </c>
      <c r="I432">
        <v>1372.3831786999999</v>
      </c>
      <c r="J432">
        <v>1360.8514404</v>
      </c>
      <c r="K432">
        <v>80</v>
      </c>
      <c r="L432">
        <v>79.185188292999996</v>
      </c>
      <c r="M432">
        <v>50</v>
      </c>
      <c r="N432">
        <v>46.48141098</v>
      </c>
    </row>
    <row r="433" spans="1:14" x14ac:dyDescent="0.25">
      <c r="A433">
        <v>187.48657600000001</v>
      </c>
      <c r="B433" s="1">
        <f>DATE(2010,11,4) + TIME(11,40,40)</f>
        <v>40486.486574074072</v>
      </c>
      <c r="C433">
        <v>0</v>
      </c>
      <c r="D433">
        <v>2400</v>
      </c>
      <c r="E433">
        <v>2400</v>
      </c>
      <c r="F433">
        <v>0</v>
      </c>
      <c r="G433">
        <v>1322.6268310999999</v>
      </c>
      <c r="H433">
        <v>1318.0579834</v>
      </c>
      <c r="I433">
        <v>1372.2523193</v>
      </c>
      <c r="J433">
        <v>1360.7863769999999</v>
      </c>
      <c r="K433">
        <v>80</v>
      </c>
      <c r="L433">
        <v>79.142013550000001</v>
      </c>
      <c r="M433">
        <v>50</v>
      </c>
      <c r="N433">
        <v>46.943099975999999</v>
      </c>
    </row>
    <row r="434" spans="1:14" x14ac:dyDescent="0.25">
      <c r="A434">
        <v>187.72511800000001</v>
      </c>
      <c r="B434" s="1">
        <f>DATE(2010,11,4) + TIME(17,24,10)</f>
        <v>40486.725115740737</v>
      </c>
      <c r="C434">
        <v>0</v>
      </c>
      <c r="D434">
        <v>2400</v>
      </c>
      <c r="E434">
        <v>2400</v>
      </c>
      <c r="F434">
        <v>0</v>
      </c>
      <c r="G434">
        <v>1322.6204834</v>
      </c>
      <c r="H434">
        <v>1318.0491943</v>
      </c>
      <c r="I434">
        <v>1372.1304932</v>
      </c>
      <c r="J434">
        <v>1360.7214355000001</v>
      </c>
      <c r="K434">
        <v>80</v>
      </c>
      <c r="L434">
        <v>79.098526000999996</v>
      </c>
      <c r="M434">
        <v>50</v>
      </c>
      <c r="N434">
        <v>47.348094940000003</v>
      </c>
    </row>
    <row r="435" spans="1:14" x14ac:dyDescent="0.25">
      <c r="A435">
        <v>187.968648</v>
      </c>
      <c r="B435" s="1">
        <f>DATE(2010,11,4) + TIME(23,14,51)</f>
        <v>40486.968645833331</v>
      </c>
      <c r="C435">
        <v>0</v>
      </c>
      <c r="D435">
        <v>2400</v>
      </c>
      <c r="E435">
        <v>2400</v>
      </c>
      <c r="F435">
        <v>0</v>
      </c>
      <c r="G435">
        <v>1322.6137695</v>
      </c>
      <c r="H435">
        <v>1318.0399170000001</v>
      </c>
      <c r="I435">
        <v>1372.0158690999999</v>
      </c>
      <c r="J435">
        <v>1360.6561279</v>
      </c>
      <c r="K435">
        <v>80</v>
      </c>
      <c r="L435">
        <v>79.054550171000002</v>
      </c>
      <c r="M435">
        <v>50</v>
      </c>
      <c r="N435">
        <v>47.703617096000002</v>
      </c>
    </row>
    <row r="436" spans="1:14" x14ac:dyDescent="0.25">
      <c r="A436">
        <v>188.21798699999999</v>
      </c>
      <c r="B436" s="1">
        <f>DATE(2010,11,5) + TIME(5,13,54)</f>
        <v>40487.217986111114</v>
      </c>
      <c r="C436">
        <v>0</v>
      </c>
      <c r="D436">
        <v>2400</v>
      </c>
      <c r="E436">
        <v>2400</v>
      </c>
      <c r="F436">
        <v>0</v>
      </c>
      <c r="G436">
        <v>1322.6066894999999</v>
      </c>
      <c r="H436">
        <v>1318.0303954999999</v>
      </c>
      <c r="I436">
        <v>1371.9068603999999</v>
      </c>
      <c r="J436">
        <v>1360.590332</v>
      </c>
      <c r="K436">
        <v>80</v>
      </c>
      <c r="L436">
        <v>79.009956360000004</v>
      </c>
      <c r="M436">
        <v>50</v>
      </c>
      <c r="N436">
        <v>48.015430449999997</v>
      </c>
    </row>
    <row r="437" spans="1:14" x14ac:dyDescent="0.25">
      <c r="A437">
        <v>188.47424100000001</v>
      </c>
      <c r="B437" s="1">
        <f>DATE(2010,11,5) + TIME(11,22,54)</f>
        <v>40487.474236111113</v>
      </c>
      <c r="C437">
        <v>0</v>
      </c>
      <c r="D437">
        <v>2400</v>
      </c>
      <c r="E437">
        <v>2400</v>
      </c>
      <c r="F437">
        <v>0</v>
      </c>
      <c r="G437">
        <v>1322.5991211</v>
      </c>
      <c r="H437">
        <v>1318.0205077999999</v>
      </c>
      <c r="I437">
        <v>1371.8022461</v>
      </c>
      <c r="J437">
        <v>1360.5235596</v>
      </c>
      <c r="K437">
        <v>80</v>
      </c>
      <c r="L437">
        <v>78.964561462000006</v>
      </c>
      <c r="M437">
        <v>50</v>
      </c>
      <c r="N437">
        <v>48.288772582999997</v>
      </c>
    </row>
    <row r="438" spans="1:14" x14ac:dyDescent="0.25">
      <c r="A438">
        <v>188.73833999999999</v>
      </c>
      <c r="B438" s="1">
        <f>DATE(2010,11,5) + TIME(17,43,12)</f>
        <v>40487.738333333335</v>
      </c>
      <c r="C438">
        <v>0</v>
      </c>
      <c r="D438">
        <v>2400</v>
      </c>
      <c r="E438">
        <v>2400</v>
      </c>
      <c r="F438">
        <v>0</v>
      </c>
      <c r="G438">
        <v>1322.5911865</v>
      </c>
      <c r="H438">
        <v>1318.0101318</v>
      </c>
      <c r="I438">
        <v>1371.7012939000001</v>
      </c>
      <c r="J438">
        <v>1360.4556885</v>
      </c>
      <c r="K438">
        <v>80</v>
      </c>
      <c r="L438">
        <v>78.918235779</v>
      </c>
      <c r="M438">
        <v>50</v>
      </c>
      <c r="N438">
        <v>48.527923584</v>
      </c>
    </row>
    <row r="439" spans="1:14" x14ac:dyDescent="0.25">
      <c r="A439">
        <v>189.01163099999999</v>
      </c>
      <c r="B439" s="1">
        <f>DATE(2010,11,6) + TIME(0,16,44)</f>
        <v>40488.011620370373</v>
      </c>
      <c r="C439">
        <v>0</v>
      </c>
      <c r="D439">
        <v>2400</v>
      </c>
      <c r="E439">
        <v>2400</v>
      </c>
      <c r="F439">
        <v>0</v>
      </c>
      <c r="G439">
        <v>1322.5826416</v>
      </c>
      <c r="H439">
        <v>1317.9993896000001</v>
      </c>
      <c r="I439">
        <v>1371.6029053</v>
      </c>
      <c r="J439">
        <v>1360.3865966999999</v>
      </c>
      <c r="K439">
        <v>80</v>
      </c>
      <c r="L439">
        <v>78.870773314999994</v>
      </c>
      <c r="M439">
        <v>50</v>
      </c>
      <c r="N439">
        <v>48.736877440999997</v>
      </c>
    </row>
    <row r="440" spans="1:14" x14ac:dyDescent="0.25">
      <c r="A440">
        <v>189.29529700000001</v>
      </c>
      <c r="B440" s="1">
        <f>DATE(2010,11,6) + TIME(7,5,13)</f>
        <v>40488.295289351852</v>
      </c>
      <c r="C440">
        <v>0</v>
      </c>
      <c r="D440">
        <v>2400</v>
      </c>
      <c r="E440">
        <v>2400</v>
      </c>
      <c r="F440">
        <v>0</v>
      </c>
      <c r="G440">
        <v>1322.5736084</v>
      </c>
      <c r="H440">
        <v>1317.9880370999999</v>
      </c>
      <c r="I440">
        <v>1371.5065918</v>
      </c>
      <c r="J440">
        <v>1360.3160399999999</v>
      </c>
      <c r="K440">
        <v>80</v>
      </c>
      <c r="L440">
        <v>78.822006225999999</v>
      </c>
      <c r="M440">
        <v>50</v>
      </c>
      <c r="N440">
        <v>48.918914794999999</v>
      </c>
    </row>
    <row r="441" spans="1:14" x14ac:dyDescent="0.25">
      <c r="A441">
        <v>189.59088800000001</v>
      </c>
      <c r="B441" s="1">
        <f>DATE(2010,11,6) + TIME(14,10,52)</f>
        <v>40488.590879629628</v>
      </c>
      <c r="C441">
        <v>0</v>
      </c>
      <c r="D441">
        <v>2400</v>
      </c>
      <c r="E441">
        <v>2400</v>
      </c>
      <c r="F441">
        <v>0</v>
      </c>
      <c r="G441">
        <v>1322.5640868999999</v>
      </c>
      <c r="H441">
        <v>1317.9760742000001</v>
      </c>
      <c r="I441">
        <v>1371.4116211</v>
      </c>
      <c r="J441">
        <v>1360.2438964999999</v>
      </c>
      <c r="K441">
        <v>80</v>
      </c>
      <c r="L441">
        <v>78.771713257000002</v>
      </c>
      <c r="M441">
        <v>50</v>
      </c>
      <c r="N441">
        <v>49.077060699</v>
      </c>
    </row>
    <row r="442" spans="1:14" x14ac:dyDescent="0.25">
      <c r="A442">
        <v>189.89999900000001</v>
      </c>
      <c r="B442" s="1">
        <f>DATE(2010,11,6) + TIME(21,35,59)</f>
        <v>40488.899988425925</v>
      </c>
      <c r="C442">
        <v>0</v>
      </c>
      <c r="D442">
        <v>2400</v>
      </c>
      <c r="E442">
        <v>2400</v>
      </c>
      <c r="F442">
        <v>0</v>
      </c>
      <c r="G442">
        <v>1322.5538329999999</v>
      </c>
      <c r="H442">
        <v>1317.963501</v>
      </c>
      <c r="I442">
        <v>1371.3175048999999</v>
      </c>
      <c r="J442">
        <v>1360.1700439000001</v>
      </c>
      <c r="K442">
        <v>80</v>
      </c>
      <c r="L442">
        <v>78.719680785999998</v>
      </c>
      <c r="M442">
        <v>50</v>
      </c>
      <c r="N442">
        <v>49.213920592999997</v>
      </c>
    </row>
    <row r="443" spans="1:14" x14ac:dyDescent="0.25">
      <c r="A443">
        <v>190.22455199999999</v>
      </c>
      <c r="B443" s="1">
        <f>DATE(2010,11,7) + TIME(5,23,21)</f>
        <v>40489.224548611113</v>
      </c>
      <c r="C443">
        <v>0</v>
      </c>
      <c r="D443">
        <v>2400</v>
      </c>
      <c r="E443">
        <v>2400</v>
      </c>
      <c r="F443">
        <v>0</v>
      </c>
      <c r="G443">
        <v>1322.5428466999999</v>
      </c>
      <c r="H443">
        <v>1317.9501952999999</v>
      </c>
      <c r="I443">
        <v>1371.2237548999999</v>
      </c>
      <c r="J443">
        <v>1360.0943603999999</v>
      </c>
      <c r="K443">
        <v>80</v>
      </c>
      <c r="L443">
        <v>78.665649414000001</v>
      </c>
      <c r="M443">
        <v>50</v>
      </c>
      <c r="N443">
        <v>49.331855773999997</v>
      </c>
    </row>
    <row r="444" spans="1:14" x14ac:dyDescent="0.25">
      <c r="A444">
        <v>190.56668999999999</v>
      </c>
      <c r="B444" s="1">
        <f>DATE(2010,11,7) + TIME(13,36,2)</f>
        <v>40489.566689814812</v>
      </c>
      <c r="C444">
        <v>0</v>
      </c>
      <c r="D444">
        <v>2400</v>
      </c>
      <c r="E444">
        <v>2400</v>
      </c>
      <c r="F444">
        <v>0</v>
      </c>
      <c r="G444">
        <v>1322.5311279</v>
      </c>
      <c r="H444">
        <v>1317.9359131000001</v>
      </c>
      <c r="I444">
        <v>1371.1298827999999</v>
      </c>
      <c r="J444">
        <v>1360.0166016000001</v>
      </c>
      <c r="K444">
        <v>80</v>
      </c>
      <c r="L444">
        <v>78.609329224000007</v>
      </c>
      <c r="M444">
        <v>50</v>
      </c>
      <c r="N444">
        <v>49.432956695999998</v>
      </c>
    </row>
    <row r="445" spans="1:14" x14ac:dyDescent="0.25">
      <c r="A445">
        <v>190.92900900000001</v>
      </c>
      <c r="B445" s="1">
        <f>DATE(2010,11,7) + TIME(22,17,46)</f>
        <v>40489.92900462963</v>
      </c>
      <c r="C445">
        <v>0</v>
      </c>
      <c r="D445">
        <v>2400</v>
      </c>
      <c r="E445">
        <v>2400</v>
      </c>
      <c r="F445">
        <v>0</v>
      </c>
      <c r="G445">
        <v>1322.5185547000001</v>
      </c>
      <c r="H445">
        <v>1317.9207764</v>
      </c>
      <c r="I445">
        <v>1371.0355225000001</v>
      </c>
      <c r="J445">
        <v>1359.9366454999999</v>
      </c>
      <c r="K445">
        <v>80</v>
      </c>
      <c r="L445">
        <v>78.550392150999997</v>
      </c>
      <c r="M445">
        <v>50</v>
      </c>
      <c r="N445">
        <v>49.519126892000003</v>
      </c>
    </row>
    <row r="446" spans="1:14" x14ac:dyDescent="0.25">
      <c r="A446">
        <v>191.31438700000001</v>
      </c>
      <c r="B446" s="1">
        <f>DATE(2010,11,8) + TIME(7,32,43)</f>
        <v>40490.314386574071</v>
      </c>
      <c r="C446">
        <v>0</v>
      </c>
      <c r="D446">
        <v>2400</v>
      </c>
      <c r="E446">
        <v>2400</v>
      </c>
      <c r="F446">
        <v>0</v>
      </c>
      <c r="G446">
        <v>1322.5050048999999</v>
      </c>
      <c r="H446">
        <v>1317.9045410000001</v>
      </c>
      <c r="I446">
        <v>1370.9403076000001</v>
      </c>
      <c r="J446">
        <v>1359.8543701000001</v>
      </c>
      <c r="K446">
        <v>80</v>
      </c>
      <c r="L446">
        <v>78.488479613999999</v>
      </c>
      <c r="M446">
        <v>50</v>
      </c>
      <c r="N446">
        <v>49.592060089</v>
      </c>
    </row>
    <row r="447" spans="1:14" x14ac:dyDescent="0.25">
      <c r="A447">
        <v>191.72636399999999</v>
      </c>
      <c r="B447" s="1">
        <f>DATE(2010,11,8) + TIME(17,25,57)</f>
        <v>40490.726354166669</v>
      </c>
      <c r="C447">
        <v>0</v>
      </c>
      <c r="D447">
        <v>2400</v>
      </c>
      <c r="E447">
        <v>2400</v>
      </c>
      <c r="F447">
        <v>0</v>
      </c>
      <c r="G447">
        <v>1322.4903564000001</v>
      </c>
      <c r="H447">
        <v>1317.8869629000001</v>
      </c>
      <c r="I447">
        <v>1370.8436279</v>
      </c>
      <c r="J447">
        <v>1359.7695312000001</v>
      </c>
      <c r="K447">
        <v>80</v>
      </c>
      <c r="L447">
        <v>78.423133849999999</v>
      </c>
      <c r="M447">
        <v>50</v>
      </c>
      <c r="N447">
        <v>49.653312683000003</v>
      </c>
    </row>
    <row r="448" spans="1:14" x14ac:dyDescent="0.25">
      <c r="A448">
        <v>192.16553300000001</v>
      </c>
      <c r="B448" s="1">
        <f>DATE(2010,11,9) + TIME(3,58,22)</f>
        <v>40491.165532407409</v>
      </c>
      <c r="C448">
        <v>0</v>
      </c>
      <c r="D448">
        <v>2400</v>
      </c>
      <c r="E448">
        <v>2400</v>
      </c>
      <c r="F448">
        <v>0</v>
      </c>
      <c r="G448">
        <v>1322.4743652</v>
      </c>
      <c r="H448">
        <v>1317.8680420000001</v>
      </c>
      <c r="I448">
        <v>1370.7452393000001</v>
      </c>
      <c r="J448">
        <v>1359.6818848</v>
      </c>
      <c r="K448">
        <v>80</v>
      </c>
      <c r="L448">
        <v>78.354331970000004</v>
      </c>
      <c r="M448">
        <v>50</v>
      </c>
      <c r="N448">
        <v>49.703987122000001</v>
      </c>
    </row>
    <row r="449" spans="1:14" x14ac:dyDescent="0.25">
      <c r="A449">
        <v>192.632644</v>
      </c>
      <c r="B449" s="1">
        <f>DATE(2010,11,9) + TIME(15,11,0)</f>
        <v>40491.632638888892</v>
      </c>
      <c r="C449">
        <v>0</v>
      </c>
      <c r="D449">
        <v>2400</v>
      </c>
      <c r="E449">
        <v>2400</v>
      </c>
      <c r="F449">
        <v>0</v>
      </c>
      <c r="G449">
        <v>1322.4571533000001</v>
      </c>
      <c r="H449">
        <v>1317.8475341999999</v>
      </c>
      <c r="I449">
        <v>1370.6453856999999</v>
      </c>
      <c r="J449">
        <v>1359.5919189000001</v>
      </c>
      <c r="K449">
        <v>80</v>
      </c>
      <c r="L449">
        <v>78.282012938999998</v>
      </c>
      <c r="M449">
        <v>50</v>
      </c>
      <c r="N449">
        <v>49.745311737000002</v>
      </c>
    </row>
    <row r="450" spans="1:14" x14ac:dyDescent="0.25">
      <c r="A450">
        <v>193.11289400000001</v>
      </c>
      <c r="B450" s="1">
        <f>DATE(2010,11,10) + TIME(2,42,34)</f>
        <v>40492.112893518519</v>
      </c>
      <c r="C450">
        <v>0</v>
      </c>
      <c r="D450">
        <v>2400</v>
      </c>
      <c r="E450">
        <v>2400</v>
      </c>
      <c r="F450">
        <v>0</v>
      </c>
      <c r="G450">
        <v>1322.4384766000001</v>
      </c>
      <c r="H450">
        <v>1317.8254394999999</v>
      </c>
      <c r="I450">
        <v>1370.5447998</v>
      </c>
      <c r="J450">
        <v>1359.5001221</v>
      </c>
      <c r="K450">
        <v>80</v>
      </c>
      <c r="L450">
        <v>78.208068847999996</v>
      </c>
      <c r="M450">
        <v>50</v>
      </c>
      <c r="N450">
        <v>49.777767181000002</v>
      </c>
    </row>
    <row r="451" spans="1:14" x14ac:dyDescent="0.25">
      <c r="A451">
        <v>193.596563</v>
      </c>
      <c r="B451" s="1">
        <f>DATE(2010,11,10) + TIME(14,19,3)</f>
        <v>40492.596562500003</v>
      </c>
      <c r="C451">
        <v>0</v>
      </c>
      <c r="D451">
        <v>2400</v>
      </c>
      <c r="E451">
        <v>2400</v>
      </c>
      <c r="F451">
        <v>0</v>
      </c>
      <c r="G451">
        <v>1322.4189452999999</v>
      </c>
      <c r="H451">
        <v>1317.8024902</v>
      </c>
      <c r="I451">
        <v>1370.4462891000001</v>
      </c>
      <c r="J451">
        <v>1359.4095459</v>
      </c>
      <c r="K451">
        <v>80</v>
      </c>
      <c r="L451">
        <v>78.133796692000004</v>
      </c>
      <c r="M451">
        <v>50</v>
      </c>
      <c r="N451">
        <v>49.802768706999998</v>
      </c>
    </row>
    <row r="452" spans="1:14" x14ac:dyDescent="0.25">
      <c r="A452">
        <v>194.08568299999999</v>
      </c>
      <c r="B452" s="1">
        <f>DATE(2010,11,11) + TIME(2,3,22)</f>
        <v>40493.0856712963</v>
      </c>
      <c r="C452">
        <v>0</v>
      </c>
      <c r="D452">
        <v>2400</v>
      </c>
      <c r="E452">
        <v>2400</v>
      </c>
      <c r="F452">
        <v>0</v>
      </c>
      <c r="G452">
        <v>1322.3990478999999</v>
      </c>
      <c r="H452">
        <v>1317.7789307</v>
      </c>
      <c r="I452">
        <v>1370.3515625</v>
      </c>
      <c r="J452">
        <v>1359.3218993999999</v>
      </c>
      <c r="K452">
        <v>80</v>
      </c>
      <c r="L452">
        <v>78.058998107999997</v>
      </c>
      <c r="M452">
        <v>50</v>
      </c>
      <c r="N452">
        <v>49.822128296000002</v>
      </c>
    </row>
    <row r="453" spans="1:14" x14ac:dyDescent="0.25">
      <c r="A453">
        <v>194.582638</v>
      </c>
      <c r="B453" s="1">
        <f>DATE(2010,11,11) + TIME(13,58,59)</f>
        <v>40493.582627314812</v>
      </c>
      <c r="C453">
        <v>0</v>
      </c>
      <c r="D453">
        <v>2400</v>
      </c>
      <c r="E453">
        <v>2400</v>
      </c>
      <c r="F453">
        <v>0</v>
      </c>
      <c r="G453">
        <v>1322.3785399999999</v>
      </c>
      <c r="H453">
        <v>1317.7546387</v>
      </c>
      <c r="I453">
        <v>1370.2598877</v>
      </c>
      <c r="J453">
        <v>1359.2369385</v>
      </c>
      <c r="K453">
        <v>80</v>
      </c>
      <c r="L453">
        <v>77.983436584000003</v>
      </c>
      <c r="M453">
        <v>50</v>
      </c>
      <c r="N453">
        <v>49.837196349999999</v>
      </c>
    </row>
    <row r="454" spans="1:14" x14ac:dyDescent="0.25">
      <c r="A454">
        <v>195.08926600000001</v>
      </c>
      <c r="B454" s="1">
        <f>DATE(2010,11,12) + TIME(2,8,32)</f>
        <v>40494.089259259257</v>
      </c>
      <c r="C454">
        <v>0</v>
      </c>
      <c r="D454">
        <v>2400</v>
      </c>
      <c r="E454">
        <v>2400</v>
      </c>
      <c r="F454">
        <v>0</v>
      </c>
      <c r="G454">
        <v>1322.3575439000001</v>
      </c>
      <c r="H454">
        <v>1317.7297363</v>
      </c>
      <c r="I454">
        <v>1370.1708983999999</v>
      </c>
      <c r="J454">
        <v>1359.1541748</v>
      </c>
      <c r="K454">
        <v>80</v>
      </c>
      <c r="L454">
        <v>77.906929016000007</v>
      </c>
      <c r="M454">
        <v>50</v>
      </c>
      <c r="N454">
        <v>49.848976135000001</v>
      </c>
    </row>
    <row r="455" spans="1:14" x14ac:dyDescent="0.25">
      <c r="A455">
        <v>195.60804200000001</v>
      </c>
      <c r="B455" s="1">
        <f>DATE(2010,11,12) + TIME(14,35,34)</f>
        <v>40494.608032407406</v>
      </c>
      <c r="C455">
        <v>0</v>
      </c>
      <c r="D455">
        <v>2400</v>
      </c>
      <c r="E455">
        <v>2400</v>
      </c>
      <c r="F455">
        <v>0</v>
      </c>
      <c r="G455">
        <v>1322.3356934000001</v>
      </c>
      <c r="H455">
        <v>1317.7038574000001</v>
      </c>
      <c r="I455">
        <v>1370.0839844</v>
      </c>
      <c r="J455">
        <v>1359.0731201000001</v>
      </c>
      <c r="K455">
        <v>80</v>
      </c>
      <c r="L455">
        <v>77.829216002999999</v>
      </c>
      <c r="M455">
        <v>50</v>
      </c>
      <c r="N455">
        <v>49.858222961000003</v>
      </c>
    </row>
    <row r="456" spans="1:14" x14ac:dyDescent="0.25">
      <c r="A456">
        <v>196.140882</v>
      </c>
      <c r="B456" s="1">
        <f>DATE(2010,11,13) + TIME(3,22,52)</f>
        <v>40495.140879629631</v>
      </c>
      <c r="C456">
        <v>0</v>
      </c>
      <c r="D456">
        <v>2400</v>
      </c>
      <c r="E456">
        <v>2400</v>
      </c>
      <c r="F456">
        <v>0</v>
      </c>
      <c r="G456">
        <v>1322.3131103999999</v>
      </c>
      <c r="H456">
        <v>1317.6770019999999</v>
      </c>
      <c r="I456">
        <v>1369.9989014</v>
      </c>
      <c r="J456">
        <v>1358.9935303</v>
      </c>
      <c r="K456">
        <v>80</v>
      </c>
      <c r="L456">
        <v>77.750076293999996</v>
      </c>
      <c r="M456">
        <v>50</v>
      </c>
      <c r="N456">
        <v>49.865516663000001</v>
      </c>
    </row>
    <row r="457" spans="1:14" x14ac:dyDescent="0.25">
      <c r="A457">
        <v>196.690405</v>
      </c>
      <c r="B457" s="1">
        <f>DATE(2010,11,13) + TIME(16,34,11)</f>
        <v>40495.690405092595</v>
      </c>
      <c r="C457">
        <v>0</v>
      </c>
      <c r="D457">
        <v>2400</v>
      </c>
      <c r="E457">
        <v>2400</v>
      </c>
      <c r="F457">
        <v>0</v>
      </c>
      <c r="G457">
        <v>1322.2896728999999</v>
      </c>
      <c r="H457">
        <v>1317.6490478999999</v>
      </c>
      <c r="I457">
        <v>1369.9150391000001</v>
      </c>
      <c r="J457">
        <v>1358.9151611</v>
      </c>
      <c r="K457">
        <v>80</v>
      </c>
      <c r="L457">
        <v>77.669242858999993</v>
      </c>
      <c r="M457">
        <v>50</v>
      </c>
      <c r="N457">
        <v>49.871295928999999</v>
      </c>
    </row>
    <row r="458" spans="1:14" x14ac:dyDescent="0.25">
      <c r="A458">
        <v>197.258938</v>
      </c>
      <c r="B458" s="1">
        <f>DATE(2010,11,14) + TIME(6,12,52)</f>
        <v>40496.258935185186</v>
      </c>
      <c r="C458">
        <v>0</v>
      </c>
      <c r="D458">
        <v>2400</v>
      </c>
      <c r="E458">
        <v>2400</v>
      </c>
      <c r="F458">
        <v>0</v>
      </c>
      <c r="G458">
        <v>1322.2651367000001</v>
      </c>
      <c r="H458">
        <v>1317.619751</v>
      </c>
      <c r="I458">
        <v>1369.8322754000001</v>
      </c>
      <c r="J458">
        <v>1358.8376464999999</v>
      </c>
      <c r="K458">
        <v>80</v>
      </c>
      <c r="L458">
        <v>77.586463928000001</v>
      </c>
      <c r="M458">
        <v>50</v>
      </c>
      <c r="N458">
        <v>49.875896453999999</v>
      </c>
    </row>
    <row r="459" spans="1:14" x14ac:dyDescent="0.25">
      <c r="A459">
        <v>197.849335</v>
      </c>
      <c r="B459" s="1">
        <f>DATE(2010,11,14) + TIME(20,23,2)</f>
        <v>40496.849328703705</v>
      </c>
      <c r="C459">
        <v>0</v>
      </c>
      <c r="D459">
        <v>2400</v>
      </c>
      <c r="E459">
        <v>2400</v>
      </c>
      <c r="F459">
        <v>0</v>
      </c>
      <c r="G459">
        <v>1322.2393798999999</v>
      </c>
      <c r="H459">
        <v>1317.5891113</v>
      </c>
      <c r="I459">
        <v>1369.7502440999999</v>
      </c>
      <c r="J459">
        <v>1358.7606201000001</v>
      </c>
      <c r="K459">
        <v>80</v>
      </c>
      <c r="L459">
        <v>77.501426696999999</v>
      </c>
      <c r="M459">
        <v>50</v>
      </c>
      <c r="N459">
        <v>49.879585265999999</v>
      </c>
    </row>
    <row r="460" spans="1:14" x14ac:dyDescent="0.25">
      <c r="A460">
        <v>198.46469999999999</v>
      </c>
      <c r="B460" s="1">
        <f>DATE(2010,11,15) + TIME(11,9,10)</f>
        <v>40497.464699074073</v>
      </c>
      <c r="C460">
        <v>0</v>
      </c>
      <c r="D460">
        <v>2400</v>
      </c>
      <c r="E460">
        <v>2400</v>
      </c>
      <c r="F460">
        <v>0</v>
      </c>
      <c r="G460">
        <v>1322.2124022999999</v>
      </c>
      <c r="H460">
        <v>1317.5567627</v>
      </c>
      <c r="I460">
        <v>1369.6687012</v>
      </c>
      <c r="J460">
        <v>1358.684082</v>
      </c>
      <c r="K460">
        <v>80</v>
      </c>
      <c r="L460">
        <v>77.413810729999994</v>
      </c>
      <c r="M460">
        <v>50</v>
      </c>
      <c r="N460">
        <v>49.882556915000002</v>
      </c>
    </row>
    <row r="461" spans="1:14" x14ac:dyDescent="0.25">
      <c r="A461">
        <v>199.10832199999999</v>
      </c>
      <c r="B461" s="1">
        <f>DATE(2010,11,16) + TIME(2,35,59)</f>
        <v>40498.10832175926</v>
      </c>
      <c r="C461">
        <v>0</v>
      </c>
      <c r="D461">
        <v>2400</v>
      </c>
      <c r="E461">
        <v>2400</v>
      </c>
      <c r="F461">
        <v>0</v>
      </c>
      <c r="G461">
        <v>1322.1838379000001</v>
      </c>
      <c r="H461">
        <v>1317.5224608999999</v>
      </c>
      <c r="I461">
        <v>1369.5872803</v>
      </c>
      <c r="J461">
        <v>1358.6075439000001</v>
      </c>
      <c r="K461">
        <v>80</v>
      </c>
      <c r="L461">
        <v>77.323265075999998</v>
      </c>
      <c r="M461">
        <v>50</v>
      </c>
      <c r="N461">
        <v>49.884975433000001</v>
      </c>
    </row>
    <row r="462" spans="1:14" x14ac:dyDescent="0.25">
      <c r="A462">
        <v>199.783693</v>
      </c>
      <c r="B462" s="1">
        <f>DATE(2010,11,16) + TIME(18,48,31)</f>
        <v>40498.783692129633</v>
      </c>
      <c r="C462">
        <v>0</v>
      </c>
      <c r="D462">
        <v>2400</v>
      </c>
      <c r="E462">
        <v>2400</v>
      </c>
      <c r="F462">
        <v>0</v>
      </c>
      <c r="G462">
        <v>1322.1536865</v>
      </c>
      <c r="H462">
        <v>1317.4862060999999</v>
      </c>
      <c r="I462">
        <v>1369.5057373</v>
      </c>
      <c r="J462">
        <v>1358.5308838000001</v>
      </c>
      <c r="K462">
        <v>80</v>
      </c>
      <c r="L462">
        <v>77.229446410999998</v>
      </c>
      <c r="M462">
        <v>50</v>
      </c>
      <c r="N462">
        <v>49.886955260999997</v>
      </c>
    </row>
    <row r="463" spans="1:14" x14ac:dyDescent="0.25">
      <c r="A463">
        <v>200.49451400000001</v>
      </c>
      <c r="B463" s="1">
        <f>DATE(2010,11,17) + TIME(11,52,6)</f>
        <v>40499.494513888887</v>
      </c>
      <c r="C463">
        <v>0</v>
      </c>
      <c r="D463">
        <v>2400</v>
      </c>
      <c r="E463">
        <v>2400</v>
      </c>
      <c r="F463">
        <v>0</v>
      </c>
      <c r="G463">
        <v>1322.1214600000001</v>
      </c>
      <c r="H463">
        <v>1317.4475098</v>
      </c>
      <c r="I463">
        <v>1369.4238281</v>
      </c>
      <c r="J463">
        <v>1358.4538574000001</v>
      </c>
      <c r="K463">
        <v>80</v>
      </c>
      <c r="L463">
        <v>77.131980896000002</v>
      </c>
      <c r="M463">
        <v>50</v>
      </c>
      <c r="N463">
        <v>49.888591765999998</v>
      </c>
    </row>
    <row r="464" spans="1:14" x14ac:dyDescent="0.25">
      <c r="A464">
        <v>201.24436900000001</v>
      </c>
      <c r="B464" s="1">
        <f>DATE(2010,11,18) + TIME(5,51,53)</f>
        <v>40500.244363425925</v>
      </c>
      <c r="C464">
        <v>0</v>
      </c>
      <c r="D464">
        <v>2400</v>
      </c>
      <c r="E464">
        <v>2400</v>
      </c>
      <c r="F464">
        <v>0</v>
      </c>
      <c r="G464">
        <v>1322.0872803</v>
      </c>
      <c r="H464">
        <v>1317.4061279</v>
      </c>
      <c r="I464">
        <v>1369.3414307</v>
      </c>
      <c r="J464">
        <v>1358.3763428</v>
      </c>
      <c r="K464">
        <v>80</v>
      </c>
      <c r="L464">
        <v>77.030525208</v>
      </c>
      <c r="M464">
        <v>50</v>
      </c>
      <c r="N464">
        <v>49.889953613000003</v>
      </c>
    </row>
    <row r="465" spans="1:14" x14ac:dyDescent="0.25">
      <c r="A465">
        <v>202.007982</v>
      </c>
      <c r="B465" s="1">
        <f>DATE(2010,11,19) + TIME(0,11,29)</f>
        <v>40501.007974537039</v>
      </c>
      <c r="C465">
        <v>0</v>
      </c>
      <c r="D465">
        <v>2400</v>
      </c>
      <c r="E465">
        <v>2400</v>
      </c>
      <c r="F465">
        <v>0</v>
      </c>
      <c r="G465">
        <v>1322.0505370999999</v>
      </c>
      <c r="H465">
        <v>1317.3620605000001</v>
      </c>
      <c r="I465">
        <v>1369.2584228999999</v>
      </c>
      <c r="J465">
        <v>1358.2979736</v>
      </c>
      <c r="K465">
        <v>80</v>
      </c>
      <c r="L465">
        <v>76.927627563000001</v>
      </c>
      <c r="M465">
        <v>50</v>
      </c>
      <c r="N465">
        <v>49.891067505000002</v>
      </c>
    </row>
    <row r="466" spans="1:14" x14ac:dyDescent="0.25">
      <c r="A466">
        <v>202.77652</v>
      </c>
      <c r="B466" s="1">
        <f>DATE(2010,11,19) + TIME(18,38,11)</f>
        <v>40501.776516203703</v>
      </c>
      <c r="C466">
        <v>0</v>
      </c>
      <c r="D466">
        <v>2400</v>
      </c>
      <c r="E466">
        <v>2400</v>
      </c>
      <c r="F466">
        <v>0</v>
      </c>
      <c r="G466">
        <v>1322.0126952999999</v>
      </c>
      <c r="H466">
        <v>1317.3162841999999</v>
      </c>
      <c r="I466">
        <v>1369.1774902</v>
      </c>
      <c r="J466">
        <v>1358.2218018000001</v>
      </c>
      <c r="K466">
        <v>80</v>
      </c>
      <c r="L466">
        <v>76.824340820000003</v>
      </c>
      <c r="M466">
        <v>50</v>
      </c>
      <c r="N466">
        <v>49.891975403000004</v>
      </c>
    </row>
    <row r="467" spans="1:14" x14ac:dyDescent="0.25">
      <c r="A467">
        <v>203.553774</v>
      </c>
      <c r="B467" s="1">
        <f>DATE(2010,11,20) + TIME(13,17,26)</f>
        <v>40502.553773148145</v>
      </c>
      <c r="C467">
        <v>0</v>
      </c>
      <c r="D467">
        <v>2400</v>
      </c>
      <c r="E467">
        <v>2400</v>
      </c>
      <c r="F467">
        <v>0</v>
      </c>
      <c r="G467">
        <v>1321.9738769999999</v>
      </c>
      <c r="H467">
        <v>1317.2692870999999</v>
      </c>
      <c r="I467">
        <v>1369.0997314000001</v>
      </c>
      <c r="J467">
        <v>1358.1484375</v>
      </c>
      <c r="K467">
        <v>80</v>
      </c>
      <c r="L467">
        <v>76.720497131000002</v>
      </c>
      <c r="M467">
        <v>50</v>
      </c>
      <c r="N467">
        <v>49.892734527999998</v>
      </c>
    </row>
    <row r="468" spans="1:14" x14ac:dyDescent="0.25">
      <c r="A468">
        <v>204.342941</v>
      </c>
      <c r="B468" s="1">
        <f>DATE(2010,11,21) + TIME(8,13,50)</f>
        <v>40503.342939814815</v>
      </c>
      <c r="C468">
        <v>0</v>
      </c>
      <c r="D468">
        <v>2400</v>
      </c>
      <c r="E468">
        <v>2400</v>
      </c>
      <c r="F468">
        <v>0</v>
      </c>
      <c r="G468">
        <v>1321.9339600000001</v>
      </c>
      <c r="H468">
        <v>1317.2209473</v>
      </c>
      <c r="I468">
        <v>1369.0244141000001</v>
      </c>
      <c r="J468">
        <v>1358.0773925999999</v>
      </c>
      <c r="K468">
        <v>80</v>
      </c>
      <c r="L468">
        <v>76.615913391000007</v>
      </c>
      <c r="M468">
        <v>50</v>
      </c>
      <c r="N468">
        <v>49.893375397</v>
      </c>
    </row>
    <row r="469" spans="1:14" x14ac:dyDescent="0.25">
      <c r="A469">
        <v>205.14786899999999</v>
      </c>
      <c r="B469" s="1">
        <f>DATE(2010,11,22) + TIME(3,32,55)</f>
        <v>40504.147858796299</v>
      </c>
      <c r="C469">
        <v>0</v>
      </c>
      <c r="D469">
        <v>2400</v>
      </c>
      <c r="E469">
        <v>2400</v>
      </c>
      <c r="F469">
        <v>0</v>
      </c>
      <c r="G469">
        <v>1321.8928223</v>
      </c>
      <c r="H469">
        <v>1317.1708983999999</v>
      </c>
      <c r="I469">
        <v>1368.9511719</v>
      </c>
      <c r="J469">
        <v>1358.0080565999999</v>
      </c>
      <c r="K469">
        <v>80</v>
      </c>
      <c r="L469">
        <v>76.510292053000001</v>
      </c>
      <c r="M469">
        <v>50</v>
      </c>
      <c r="N469">
        <v>49.893928528000004</v>
      </c>
    </row>
    <row r="470" spans="1:14" x14ac:dyDescent="0.25">
      <c r="A470">
        <v>205.971689</v>
      </c>
      <c r="B470" s="1">
        <f>DATE(2010,11,22) + TIME(23,19,13)</f>
        <v>40504.971678240741</v>
      </c>
      <c r="C470">
        <v>0</v>
      </c>
      <c r="D470">
        <v>2400</v>
      </c>
      <c r="E470">
        <v>2400</v>
      </c>
      <c r="F470">
        <v>0</v>
      </c>
      <c r="G470">
        <v>1321.8503418</v>
      </c>
      <c r="H470">
        <v>1317.1191406</v>
      </c>
      <c r="I470">
        <v>1368.8793945</v>
      </c>
      <c r="J470">
        <v>1357.9403076000001</v>
      </c>
      <c r="K470">
        <v>80</v>
      </c>
      <c r="L470">
        <v>76.403388977000006</v>
      </c>
      <c r="M470">
        <v>50</v>
      </c>
      <c r="N470">
        <v>49.894412994</v>
      </c>
    </row>
    <row r="471" spans="1:14" x14ac:dyDescent="0.25">
      <c r="A471">
        <v>206.818198</v>
      </c>
      <c r="B471" s="1">
        <f>DATE(2010,11,23) + TIME(19,38,12)</f>
        <v>40505.818194444444</v>
      </c>
      <c r="C471">
        <v>0</v>
      </c>
      <c r="D471">
        <v>2400</v>
      </c>
      <c r="E471">
        <v>2400</v>
      </c>
      <c r="F471">
        <v>0</v>
      </c>
      <c r="G471">
        <v>1321.8062743999999</v>
      </c>
      <c r="H471">
        <v>1317.0651855000001</v>
      </c>
      <c r="I471">
        <v>1368.8089600000001</v>
      </c>
      <c r="J471">
        <v>1357.8736572</v>
      </c>
      <c r="K471">
        <v>80</v>
      </c>
      <c r="L471">
        <v>76.294868468999994</v>
      </c>
      <c r="M471">
        <v>50</v>
      </c>
      <c r="N471">
        <v>49.894840240000001</v>
      </c>
    </row>
    <row r="472" spans="1:14" x14ac:dyDescent="0.25">
      <c r="A472">
        <v>207.691183</v>
      </c>
      <c r="B472" s="1">
        <f>DATE(2010,11,24) + TIME(16,35,18)</f>
        <v>40506.691180555557</v>
      </c>
      <c r="C472">
        <v>0</v>
      </c>
      <c r="D472">
        <v>2400</v>
      </c>
      <c r="E472">
        <v>2400</v>
      </c>
      <c r="F472">
        <v>0</v>
      </c>
      <c r="G472">
        <v>1321.7602539</v>
      </c>
      <c r="H472">
        <v>1317.0089111</v>
      </c>
      <c r="I472">
        <v>1368.7395019999999</v>
      </c>
      <c r="J472">
        <v>1357.8078613</v>
      </c>
      <c r="K472">
        <v>80</v>
      </c>
      <c r="L472">
        <v>76.184394835999996</v>
      </c>
      <c r="M472">
        <v>50</v>
      </c>
      <c r="N472">
        <v>49.895221710000001</v>
      </c>
    </row>
    <row r="473" spans="1:14" x14ac:dyDescent="0.25">
      <c r="A473">
        <v>208.59428399999999</v>
      </c>
      <c r="B473" s="1">
        <f>DATE(2010,11,25) + TIME(14,15,46)</f>
        <v>40507.594282407408</v>
      </c>
      <c r="C473">
        <v>0</v>
      </c>
      <c r="D473">
        <v>2400</v>
      </c>
      <c r="E473">
        <v>2400</v>
      </c>
      <c r="F473">
        <v>0</v>
      </c>
      <c r="G473">
        <v>1321.7121582</v>
      </c>
      <c r="H473">
        <v>1316.9499512</v>
      </c>
      <c r="I473">
        <v>1368.6707764</v>
      </c>
      <c r="J473">
        <v>1357.7425536999999</v>
      </c>
      <c r="K473">
        <v>80</v>
      </c>
      <c r="L473">
        <v>76.071655273000005</v>
      </c>
      <c r="M473">
        <v>50</v>
      </c>
      <c r="N473">
        <v>49.895572661999999</v>
      </c>
    </row>
    <row r="474" spans="1:14" x14ac:dyDescent="0.25">
      <c r="A474">
        <v>209.53164699999999</v>
      </c>
      <c r="B474" s="1">
        <f>DATE(2010,11,26) + TIME(12,45,34)</f>
        <v>40508.531643518516</v>
      </c>
      <c r="C474">
        <v>0</v>
      </c>
      <c r="D474">
        <v>2400</v>
      </c>
      <c r="E474">
        <v>2400</v>
      </c>
      <c r="F474">
        <v>0</v>
      </c>
      <c r="G474">
        <v>1321.6616211</v>
      </c>
      <c r="H474">
        <v>1316.8879394999999</v>
      </c>
      <c r="I474">
        <v>1368.6024170000001</v>
      </c>
      <c r="J474">
        <v>1357.6776123</v>
      </c>
      <c r="K474">
        <v>80</v>
      </c>
      <c r="L474">
        <v>75.956275939999998</v>
      </c>
      <c r="M474">
        <v>50</v>
      </c>
      <c r="N474">
        <v>49.895893096999998</v>
      </c>
    </row>
    <row r="475" spans="1:14" x14ac:dyDescent="0.25">
      <c r="A475">
        <v>210.50723199999999</v>
      </c>
      <c r="B475" s="1">
        <f>DATE(2010,11,27) + TIME(12,10,24)</f>
        <v>40509.507222222222</v>
      </c>
      <c r="C475">
        <v>0</v>
      </c>
      <c r="D475">
        <v>2400</v>
      </c>
      <c r="E475">
        <v>2400</v>
      </c>
      <c r="F475">
        <v>0</v>
      </c>
      <c r="G475">
        <v>1321.6085204999999</v>
      </c>
      <c r="H475">
        <v>1316.8225098</v>
      </c>
      <c r="I475">
        <v>1368.5343018000001</v>
      </c>
      <c r="J475">
        <v>1357.6129149999999</v>
      </c>
      <c r="K475">
        <v>80</v>
      </c>
      <c r="L475">
        <v>75.837921143000003</v>
      </c>
      <c r="M475">
        <v>50</v>
      </c>
      <c r="N475">
        <v>49.896194457999997</v>
      </c>
    </row>
    <row r="476" spans="1:14" x14ac:dyDescent="0.25">
      <c r="A476">
        <v>211.524867</v>
      </c>
      <c r="B476" s="1">
        <f>DATE(2010,11,28) + TIME(12,35,48)</f>
        <v>40510.524861111109</v>
      </c>
      <c r="C476">
        <v>0</v>
      </c>
      <c r="D476">
        <v>2400</v>
      </c>
      <c r="E476">
        <v>2400</v>
      </c>
      <c r="F476">
        <v>0</v>
      </c>
      <c r="G476">
        <v>1321.5523682</v>
      </c>
      <c r="H476">
        <v>1316.753418</v>
      </c>
      <c r="I476">
        <v>1368.4661865</v>
      </c>
      <c r="J476">
        <v>1357.5480957</v>
      </c>
      <c r="K476">
        <v>80</v>
      </c>
      <c r="L476">
        <v>75.716262817</v>
      </c>
      <c r="M476">
        <v>50</v>
      </c>
      <c r="N476">
        <v>49.896480560000001</v>
      </c>
    </row>
    <row r="477" spans="1:14" x14ac:dyDescent="0.25">
      <c r="A477">
        <v>212.570032</v>
      </c>
      <c r="B477" s="1">
        <f>DATE(2010,11,29) + TIME(13,40,50)</f>
        <v>40511.570023148146</v>
      </c>
      <c r="C477">
        <v>0</v>
      </c>
      <c r="D477">
        <v>2400</v>
      </c>
      <c r="E477">
        <v>2400</v>
      </c>
      <c r="F477">
        <v>0</v>
      </c>
      <c r="G477">
        <v>1321.4930420000001</v>
      </c>
      <c r="H477">
        <v>1316.6801757999999</v>
      </c>
      <c r="I477">
        <v>1368.3979492000001</v>
      </c>
      <c r="J477">
        <v>1357.4830322</v>
      </c>
      <c r="K477">
        <v>80</v>
      </c>
      <c r="L477">
        <v>75.592475891000007</v>
      </c>
      <c r="M477">
        <v>50</v>
      </c>
      <c r="N477">
        <v>49.896747589</v>
      </c>
    </row>
    <row r="478" spans="1:14" x14ac:dyDescent="0.25">
      <c r="A478">
        <v>213.622669</v>
      </c>
      <c r="B478" s="1">
        <f>DATE(2010,11,30) + TIME(14,56,38)</f>
        <v>40512.622662037036</v>
      </c>
      <c r="C478">
        <v>0</v>
      </c>
      <c r="D478">
        <v>2400</v>
      </c>
      <c r="E478">
        <v>2400</v>
      </c>
      <c r="F478">
        <v>0</v>
      </c>
      <c r="G478">
        <v>1321.4311522999999</v>
      </c>
      <c r="H478">
        <v>1316.6037598</v>
      </c>
      <c r="I478">
        <v>1368.3308105000001</v>
      </c>
      <c r="J478">
        <v>1357.4188231999999</v>
      </c>
      <c r="K478">
        <v>80</v>
      </c>
      <c r="L478">
        <v>75.468322753999999</v>
      </c>
      <c r="M478">
        <v>50</v>
      </c>
      <c r="N478">
        <v>49.896999358999999</v>
      </c>
    </row>
    <row r="479" spans="1:14" x14ac:dyDescent="0.25">
      <c r="A479">
        <v>214</v>
      </c>
      <c r="B479" s="1">
        <f>DATE(2010,12,1) + TIME(0,0,0)</f>
        <v>40513</v>
      </c>
      <c r="C479">
        <v>0</v>
      </c>
      <c r="D479">
        <v>2400</v>
      </c>
      <c r="E479">
        <v>2400</v>
      </c>
      <c r="F479">
        <v>0</v>
      </c>
      <c r="G479">
        <v>1321.3710937999999</v>
      </c>
      <c r="H479">
        <v>1316.5328368999999</v>
      </c>
      <c r="I479">
        <v>1368.2648925999999</v>
      </c>
      <c r="J479">
        <v>1357.3562012</v>
      </c>
      <c r="K479">
        <v>80</v>
      </c>
      <c r="L479">
        <v>75.412590026999993</v>
      </c>
      <c r="M479">
        <v>50</v>
      </c>
      <c r="N479">
        <v>49.897075653000002</v>
      </c>
    </row>
    <row r="480" spans="1:14" x14ac:dyDescent="0.25">
      <c r="A480">
        <v>215.064356</v>
      </c>
      <c r="B480" s="1">
        <f>DATE(2010,12,2) + TIME(1,32,40)</f>
        <v>40514.064351851855</v>
      </c>
      <c r="C480">
        <v>0</v>
      </c>
      <c r="D480">
        <v>2400</v>
      </c>
      <c r="E480">
        <v>2400</v>
      </c>
      <c r="F480">
        <v>0</v>
      </c>
      <c r="G480">
        <v>1321.3422852000001</v>
      </c>
      <c r="H480">
        <v>1316.4930420000001</v>
      </c>
      <c r="I480">
        <v>1368.2431641000001</v>
      </c>
      <c r="J480">
        <v>1357.3348389</v>
      </c>
      <c r="K480">
        <v>80</v>
      </c>
      <c r="L480">
        <v>75.291999817000004</v>
      </c>
      <c r="M480">
        <v>50</v>
      </c>
      <c r="N480">
        <v>49.897315978999998</v>
      </c>
    </row>
    <row r="481" spans="1:14" x14ac:dyDescent="0.25">
      <c r="A481">
        <v>216.15217899999999</v>
      </c>
      <c r="B481" s="1">
        <f>DATE(2010,12,3) + TIME(3,39,8)</f>
        <v>40515.152175925927</v>
      </c>
      <c r="C481">
        <v>0</v>
      </c>
      <c r="D481">
        <v>2400</v>
      </c>
      <c r="E481">
        <v>2400</v>
      </c>
      <c r="F481">
        <v>0</v>
      </c>
      <c r="G481">
        <v>1321.2777100000001</v>
      </c>
      <c r="H481">
        <v>1316.4129639</v>
      </c>
      <c r="I481">
        <v>1368.1809082</v>
      </c>
      <c r="J481">
        <v>1357.2752685999999</v>
      </c>
      <c r="K481">
        <v>80</v>
      </c>
      <c r="L481">
        <v>75.169227599999999</v>
      </c>
      <c r="M481">
        <v>50</v>
      </c>
      <c r="N481">
        <v>49.897544861</v>
      </c>
    </row>
    <row r="482" spans="1:14" x14ac:dyDescent="0.25">
      <c r="A482">
        <v>217.26209499999999</v>
      </c>
      <c r="B482" s="1">
        <f>DATE(2010,12,4) + TIME(6,17,24)</f>
        <v>40516.262083333335</v>
      </c>
      <c r="C482">
        <v>0</v>
      </c>
      <c r="D482">
        <v>2400</v>
      </c>
      <c r="E482">
        <v>2400</v>
      </c>
      <c r="F482">
        <v>0</v>
      </c>
      <c r="G482">
        <v>1321.2102050999999</v>
      </c>
      <c r="H482">
        <v>1316.3291016000001</v>
      </c>
      <c r="I482">
        <v>1368.119751</v>
      </c>
      <c r="J482">
        <v>1357.2164307</v>
      </c>
      <c r="K482">
        <v>80</v>
      </c>
      <c r="L482">
        <v>75.044746399000005</v>
      </c>
      <c r="M482">
        <v>50</v>
      </c>
      <c r="N482">
        <v>49.897766113000003</v>
      </c>
    </row>
    <row r="483" spans="1:14" x14ac:dyDescent="0.25">
      <c r="A483">
        <v>218.399002</v>
      </c>
      <c r="B483" s="1">
        <f>DATE(2010,12,5) + TIME(9,34,33)</f>
        <v>40517.398993055554</v>
      </c>
      <c r="C483">
        <v>0</v>
      </c>
      <c r="D483">
        <v>2400</v>
      </c>
      <c r="E483">
        <v>2400</v>
      </c>
      <c r="F483">
        <v>0</v>
      </c>
      <c r="G483">
        <v>1321.1400146000001</v>
      </c>
      <c r="H483">
        <v>1316.2418213000001</v>
      </c>
      <c r="I483">
        <v>1368.0595702999999</v>
      </c>
      <c r="J483">
        <v>1357.1584473</v>
      </c>
      <c r="K483">
        <v>80</v>
      </c>
      <c r="L483">
        <v>74.918395996000001</v>
      </c>
      <c r="M483">
        <v>50</v>
      </c>
      <c r="N483">
        <v>49.897987366000002</v>
      </c>
    </row>
    <row r="484" spans="1:14" x14ac:dyDescent="0.25">
      <c r="A484">
        <v>219.56713500000001</v>
      </c>
      <c r="B484" s="1">
        <f>DATE(2010,12,6) + TIME(13,36,40)</f>
        <v>40518.567129629628</v>
      </c>
      <c r="C484">
        <v>0</v>
      </c>
      <c r="D484">
        <v>2400</v>
      </c>
      <c r="E484">
        <v>2400</v>
      </c>
      <c r="F484">
        <v>0</v>
      </c>
      <c r="G484">
        <v>1321.0670166</v>
      </c>
      <c r="H484">
        <v>1316.1506348</v>
      </c>
      <c r="I484">
        <v>1368.0002440999999</v>
      </c>
      <c r="J484">
        <v>1357.1011963000001</v>
      </c>
      <c r="K484">
        <v>80</v>
      </c>
      <c r="L484">
        <v>74.790046692000004</v>
      </c>
      <c r="M484">
        <v>50</v>
      </c>
      <c r="N484">
        <v>49.898208617999998</v>
      </c>
    </row>
    <row r="485" spans="1:14" x14ac:dyDescent="0.25">
      <c r="A485">
        <v>220.771625</v>
      </c>
      <c r="B485" s="1">
        <f>DATE(2010,12,7) + TIME(18,31,8)</f>
        <v>40519.771620370368</v>
      </c>
      <c r="C485">
        <v>0</v>
      </c>
      <c r="D485">
        <v>2400</v>
      </c>
      <c r="E485">
        <v>2400</v>
      </c>
      <c r="F485">
        <v>0</v>
      </c>
      <c r="G485">
        <v>1320.9908447</v>
      </c>
      <c r="H485">
        <v>1316.0554199000001</v>
      </c>
      <c r="I485">
        <v>1367.9415283000001</v>
      </c>
      <c r="J485">
        <v>1357.0445557</v>
      </c>
      <c r="K485">
        <v>80</v>
      </c>
      <c r="L485">
        <v>74.659477233999993</v>
      </c>
      <c r="M485">
        <v>50</v>
      </c>
      <c r="N485">
        <v>49.898433685000001</v>
      </c>
    </row>
    <row r="486" spans="1:14" x14ac:dyDescent="0.25">
      <c r="A486">
        <v>222.01762600000001</v>
      </c>
      <c r="B486" s="1">
        <f>DATE(2010,12,9) + TIME(0,25,22)</f>
        <v>40521.01761574074</v>
      </c>
      <c r="C486">
        <v>0</v>
      </c>
      <c r="D486">
        <v>2400</v>
      </c>
      <c r="E486">
        <v>2400</v>
      </c>
      <c r="F486">
        <v>0</v>
      </c>
      <c r="G486">
        <v>1320.9111327999999</v>
      </c>
      <c r="H486">
        <v>1315.9555664</v>
      </c>
      <c r="I486">
        <v>1367.8833007999999</v>
      </c>
      <c r="J486">
        <v>1356.9880370999999</v>
      </c>
      <c r="K486">
        <v>80</v>
      </c>
      <c r="L486">
        <v>74.526359557999996</v>
      </c>
      <c r="M486">
        <v>50</v>
      </c>
      <c r="N486">
        <v>49.898658752000003</v>
      </c>
    </row>
    <row r="487" spans="1:14" x14ac:dyDescent="0.25">
      <c r="A487">
        <v>223.31016199999999</v>
      </c>
      <c r="B487" s="1">
        <f>DATE(2010,12,10) + TIME(7,26,37)</f>
        <v>40522.310150462959</v>
      </c>
      <c r="C487">
        <v>0</v>
      </c>
      <c r="D487">
        <v>2400</v>
      </c>
      <c r="E487">
        <v>2400</v>
      </c>
      <c r="F487">
        <v>0</v>
      </c>
      <c r="G487">
        <v>1320.8273925999999</v>
      </c>
      <c r="H487">
        <v>1315.8505858999999</v>
      </c>
      <c r="I487">
        <v>1367.8253173999999</v>
      </c>
      <c r="J487">
        <v>1356.9316406</v>
      </c>
      <c r="K487">
        <v>80</v>
      </c>
      <c r="L487">
        <v>74.390388489000003</v>
      </c>
      <c r="M487">
        <v>50</v>
      </c>
      <c r="N487">
        <v>49.898895263999997</v>
      </c>
    </row>
    <row r="488" spans="1:14" x14ac:dyDescent="0.25">
      <c r="A488">
        <v>224.65283099999999</v>
      </c>
      <c r="B488" s="1">
        <f>DATE(2010,12,11) + TIME(15,40,4)</f>
        <v>40523.652824074074</v>
      </c>
      <c r="C488">
        <v>0</v>
      </c>
      <c r="D488">
        <v>2400</v>
      </c>
      <c r="E488">
        <v>2400</v>
      </c>
      <c r="F488">
        <v>0</v>
      </c>
      <c r="G488">
        <v>1320.7393798999999</v>
      </c>
      <c r="H488">
        <v>1315.7399902</v>
      </c>
      <c r="I488">
        <v>1367.7673339999999</v>
      </c>
      <c r="J488">
        <v>1356.8752440999999</v>
      </c>
      <c r="K488">
        <v>80</v>
      </c>
      <c r="L488">
        <v>74.251304626000007</v>
      </c>
      <c r="M488">
        <v>50</v>
      </c>
      <c r="N488">
        <v>49.89913559</v>
      </c>
    </row>
    <row r="489" spans="1:14" x14ac:dyDescent="0.25">
      <c r="A489">
        <v>226.00993500000001</v>
      </c>
      <c r="B489" s="1">
        <f>DATE(2010,12,13) + TIME(0,14,18)</f>
        <v>40525.009930555556</v>
      </c>
      <c r="C489">
        <v>0</v>
      </c>
      <c r="D489">
        <v>2400</v>
      </c>
      <c r="E489">
        <v>2400</v>
      </c>
      <c r="F489">
        <v>0</v>
      </c>
      <c r="G489">
        <v>1320.6468506000001</v>
      </c>
      <c r="H489">
        <v>1315.6235352000001</v>
      </c>
      <c r="I489">
        <v>1367.7093506000001</v>
      </c>
      <c r="J489">
        <v>1356.8186035000001</v>
      </c>
      <c r="K489">
        <v>80</v>
      </c>
      <c r="L489">
        <v>74.111381531000006</v>
      </c>
      <c r="M489">
        <v>50</v>
      </c>
      <c r="N489">
        <v>49.899375915999997</v>
      </c>
    </row>
    <row r="490" spans="1:14" x14ac:dyDescent="0.25">
      <c r="A490">
        <v>227.37813499999999</v>
      </c>
      <c r="B490" s="1">
        <f>DATE(2010,12,14) + TIME(9,4,30)</f>
        <v>40526.378125000003</v>
      </c>
      <c r="C490">
        <v>0</v>
      </c>
      <c r="D490">
        <v>2400</v>
      </c>
      <c r="E490">
        <v>2400</v>
      </c>
      <c r="F490">
        <v>0</v>
      </c>
      <c r="G490">
        <v>1320.5515137</v>
      </c>
      <c r="H490">
        <v>1315.503418</v>
      </c>
      <c r="I490">
        <v>1367.652832</v>
      </c>
      <c r="J490">
        <v>1356.7634277</v>
      </c>
      <c r="K490">
        <v>80</v>
      </c>
      <c r="L490">
        <v>73.971305846999996</v>
      </c>
      <c r="M490">
        <v>50</v>
      </c>
      <c r="N490">
        <v>49.899616240999997</v>
      </c>
    </row>
    <row r="491" spans="1:14" x14ac:dyDescent="0.25">
      <c r="A491">
        <v>228.76269300000001</v>
      </c>
      <c r="B491" s="1">
        <f>DATE(2010,12,15) + TIME(18,18,16)</f>
        <v>40527.762685185182</v>
      </c>
      <c r="C491">
        <v>0</v>
      </c>
      <c r="D491">
        <v>2400</v>
      </c>
      <c r="E491">
        <v>2400</v>
      </c>
      <c r="F491">
        <v>0</v>
      </c>
      <c r="G491">
        <v>1320.4538574000001</v>
      </c>
      <c r="H491">
        <v>1315.3800048999999</v>
      </c>
      <c r="I491">
        <v>1367.5980225000001</v>
      </c>
      <c r="J491">
        <v>1356.7095947</v>
      </c>
      <c r="K491">
        <v>80</v>
      </c>
      <c r="L491">
        <v>73.831108092999997</v>
      </c>
      <c r="M491">
        <v>50</v>
      </c>
      <c r="N491">
        <v>49.899860382</v>
      </c>
    </row>
    <row r="492" spans="1:14" x14ac:dyDescent="0.25">
      <c r="A492">
        <v>230.170456</v>
      </c>
      <c r="B492" s="1">
        <f>DATE(2010,12,17) + TIME(4,5,27)</f>
        <v>40529.170451388891</v>
      </c>
      <c r="C492">
        <v>0</v>
      </c>
      <c r="D492">
        <v>2400</v>
      </c>
      <c r="E492">
        <v>2400</v>
      </c>
      <c r="F492">
        <v>0</v>
      </c>
      <c r="G492">
        <v>1320.3533935999999</v>
      </c>
      <c r="H492">
        <v>1315.2528076000001</v>
      </c>
      <c r="I492">
        <v>1367.5446777</v>
      </c>
      <c r="J492">
        <v>1356.6569824000001</v>
      </c>
      <c r="K492">
        <v>80</v>
      </c>
      <c r="L492">
        <v>73.690536499000004</v>
      </c>
      <c r="M492">
        <v>50</v>
      </c>
      <c r="N492">
        <v>49.900104523000003</v>
      </c>
    </row>
    <row r="493" spans="1:14" x14ac:dyDescent="0.25">
      <c r="A493">
        <v>231.60656499999999</v>
      </c>
      <c r="B493" s="1">
        <f>DATE(2010,12,18) + TIME(14,33,27)</f>
        <v>40530.606562499997</v>
      </c>
      <c r="C493">
        <v>0</v>
      </c>
      <c r="D493">
        <v>2400</v>
      </c>
      <c r="E493">
        <v>2400</v>
      </c>
      <c r="F493">
        <v>0</v>
      </c>
      <c r="G493">
        <v>1320.2498779</v>
      </c>
      <c r="H493">
        <v>1315.1214600000001</v>
      </c>
      <c r="I493">
        <v>1367.4921875</v>
      </c>
      <c r="J493">
        <v>1356.6053466999999</v>
      </c>
      <c r="K493">
        <v>80</v>
      </c>
      <c r="L493">
        <v>73.549285889000004</v>
      </c>
      <c r="M493">
        <v>50</v>
      </c>
      <c r="N493">
        <v>49.900356293000002</v>
      </c>
    </row>
    <row r="494" spans="1:14" x14ac:dyDescent="0.25">
      <c r="A494">
        <v>233.07735700000001</v>
      </c>
      <c r="B494" s="1">
        <f>DATE(2010,12,20) + TIME(1,51,23)</f>
        <v>40532.077349537038</v>
      </c>
      <c r="C494">
        <v>0</v>
      </c>
      <c r="D494">
        <v>2400</v>
      </c>
      <c r="E494">
        <v>2400</v>
      </c>
      <c r="F494">
        <v>0</v>
      </c>
      <c r="G494">
        <v>1320.1427002</v>
      </c>
      <c r="H494">
        <v>1314.9854736</v>
      </c>
      <c r="I494">
        <v>1367.4405518000001</v>
      </c>
      <c r="J494">
        <v>1356.5541992000001</v>
      </c>
      <c r="K494">
        <v>80</v>
      </c>
      <c r="L494">
        <v>73.406951903999996</v>
      </c>
      <c r="M494">
        <v>50</v>
      </c>
      <c r="N494">
        <v>49.900615692000002</v>
      </c>
    </row>
    <row r="495" spans="1:14" x14ac:dyDescent="0.25">
      <c r="A495">
        <v>234.589088</v>
      </c>
      <c r="B495" s="1">
        <f>DATE(2010,12,21) + TIME(14,8,17)</f>
        <v>40533.589085648149</v>
      </c>
      <c r="C495">
        <v>0</v>
      </c>
      <c r="D495">
        <v>2400</v>
      </c>
      <c r="E495">
        <v>2400</v>
      </c>
      <c r="F495">
        <v>0</v>
      </c>
      <c r="G495">
        <v>1320.0316161999999</v>
      </c>
      <c r="H495">
        <v>1314.8441161999999</v>
      </c>
      <c r="I495">
        <v>1367.3896483999999</v>
      </c>
      <c r="J495">
        <v>1356.5036620999999</v>
      </c>
      <c r="K495">
        <v>80</v>
      </c>
      <c r="L495">
        <v>73.263092040999993</v>
      </c>
      <c r="M495">
        <v>50</v>
      </c>
      <c r="N495">
        <v>49.900878906000003</v>
      </c>
    </row>
    <row r="496" spans="1:14" x14ac:dyDescent="0.25">
      <c r="A496">
        <v>236.14763199999999</v>
      </c>
      <c r="B496" s="1">
        <f>DATE(2010,12,23) + TIME(3,32,35)</f>
        <v>40535.147627314815</v>
      </c>
      <c r="C496">
        <v>0</v>
      </c>
      <c r="D496">
        <v>2400</v>
      </c>
      <c r="E496">
        <v>2400</v>
      </c>
      <c r="F496">
        <v>0</v>
      </c>
      <c r="G496">
        <v>1319.9158935999999</v>
      </c>
      <c r="H496">
        <v>1314.6966553</v>
      </c>
      <c r="I496">
        <v>1367.3389893000001</v>
      </c>
      <c r="J496">
        <v>1356.4532471</v>
      </c>
      <c r="K496">
        <v>80</v>
      </c>
      <c r="L496">
        <v>73.117286682</v>
      </c>
      <c r="M496">
        <v>50</v>
      </c>
      <c r="N496">
        <v>49.901149750000002</v>
      </c>
    </row>
    <row r="497" spans="1:14" x14ac:dyDescent="0.25">
      <c r="A497">
        <v>237.75831400000001</v>
      </c>
      <c r="B497" s="1">
        <f>DATE(2010,12,24) + TIME(18,11,58)</f>
        <v>40536.758310185185</v>
      </c>
      <c r="C497">
        <v>0</v>
      </c>
      <c r="D497">
        <v>2400</v>
      </c>
      <c r="E497">
        <v>2400</v>
      </c>
      <c r="F497">
        <v>0</v>
      </c>
      <c r="G497">
        <v>1319.7950439000001</v>
      </c>
      <c r="H497">
        <v>1314.5423584</v>
      </c>
      <c r="I497">
        <v>1367.2886963000001</v>
      </c>
      <c r="J497">
        <v>1356.4030762</v>
      </c>
      <c r="K497">
        <v>80</v>
      </c>
      <c r="L497">
        <v>72.969123839999995</v>
      </c>
      <c r="M497">
        <v>50</v>
      </c>
      <c r="N497">
        <v>49.901432036999999</v>
      </c>
    </row>
    <row r="498" spans="1:14" x14ac:dyDescent="0.25">
      <c r="A498">
        <v>239.42580100000001</v>
      </c>
      <c r="B498" s="1">
        <f>DATE(2010,12,26) + TIME(10,13,9)</f>
        <v>40538.425798611112</v>
      </c>
      <c r="C498">
        <v>0</v>
      </c>
      <c r="D498">
        <v>2400</v>
      </c>
      <c r="E498">
        <v>2400</v>
      </c>
      <c r="F498">
        <v>0</v>
      </c>
      <c r="G498">
        <v>1319.6685791</v>
      </c>
      <c r="H498">
        <v>1314.3806152</v>
      </c>
      <c r="I498">
        <v>1367.2384033000001</v>
      </c>
      <c r="J498">
        <v>1356.3527832</v>
      </c>
      <c r="K498">
        <v>80</v>
      </c>
      <c r="L498">
        <v>72.818252563000001</v>
      </c>
      <c r="M498">
        <v>50</v>
      </c>
      <c r="N498">
        <v>49.901721954000003</v>
      </c>
    </row>
    <row r="499" spans="1:14" x14ac:dyDescent="0.25">
      <c r="A499">
        <v>241.12527299999999</v>
      </c>
      <c r="B499" s="1">
        <f>DATE(2010,12,28) + TIME(3,0,23)</f>
        <v>40540.1252662037</v>
      </c>
      <c r="C499">
        <v>0</v>
      </c>
      <c r="D499">
        <v>2400</v>
      </c>
      <c r="E499">
        <v>2400</v>
      </c>
      <c r="F499">
        <v>0</v>
      </c>
      <c r="G499">
        <v>1319.5360106999999</v>
      </c>
      <c r="H499">
        <v>1314.2109375</v>
      </c>
      <c r="I499">
        <v>1367.1882324000001</v>
      </c>
      <c r="J499">
        <v>1356.3024902</v>
      </c>
      <c r="K499">
        <v>80</v>
      </c>
      <c r="L499">
        <v>72.665817261000001</v>
      </c>
      <c r="M499">
        <v>50</v>
      </c>
      <c r="N499">
        <v>49.902015685999999</v>
      </c>
    </row>
    <row r="500" spans="1:14" x14ac:dyDescent="0.25">
      <c r="A500">
        <v>242.83767900000001</v>
      </c>
      <c r="B500" s="1">
        <f>DATE(2010,12,29) + TIME(20,6,15)</f>
        <v>40541.837673611109</v>
      </c>
      <c r="C500">
        <v>0</v>
      </c>
      <c r="D500">
        <v>2400</v>
      </c>
      <c r="E500">
        <v>2400</v>
      </c>
      <c r="F500">
        <v>0</v>
      </c>
      <c r="G500">
        <v>1319.3989257999999</v>
      </c>
      <c r="H500">
        <v>1314.0351562000001</v>
      </c>
      <c r="I500">
        <v>1367.1389160000001</v>
      </c>
      <c r="J500">
        <v>1356.2528076000001</v>
      </c>
      <c r="K500">
        <v>80</v>
      </c>
      <c r="L500">
        <v>72.513114928999997</v>
      </c>
      <c r="M500">
        <v>50</v>
      </c>
      <c r="N500">
        <v>49.902309418000002</v>
      </c>
    </row>
    <row r="501" spans="1:14" x14ac:dyDescent="0.25">
      <c r="A501">
        <v>244.56988999999999</v>
      </c>
      <c r="B501" s="1">
        <f>DATE(2010,12,31) + TIME(13,40,38)</f>
        <v>40543.569884259261</v>
      </c>
      <c r="C501">
        <v>0</v>
      </c>
      <c r="D501">
        <v>2400</v>
      </c>
      <c r="E501">
        <v>2400</v>
      </c>
      <c r="F501">
        <v>0</v>
      </c>
      <c r="G501">
        <v>1319.2584228999999</v>
      </c>
      <c r="H501">
        <v>1313.8544922000001</v>
      </c>
      <c r="I501">
        <v>1367.0908202999999</v>
      </c>
      <c r="J501">
        <v>1356.2042236</v>
      </c>
      <c r="K501">
        <v>80</v>
      </c>
      <c r="L501">
        <v>72.360305785999998</v>
      </c>
      <c r="M501">
        <v>50</v>
      </c>
      <c r="N501">
        <v>49.902610779</v>
      </c>
    </row>
    <row r="502" spans="1:14" x14ac:dyDescent="0.25">
      <c r="A502">
        <v>245</v>
      </c>
      <c r="B502" s="1">
        <f>DATE(2011,1,1) + TIME(0,0,0)</f>
        <v>40544</v>
      </c>
      <c r="C502">
        <v>0</v>
      </c>
      <c r="D502">
        <v>2400</v>
      </c>
      <c r="E502">
        <v>2400</v>
      </c>
      <c r="F502">
        <v>0</v>
      </c>
      <c r="G502">
        <v>1319.1274414</v>
      </c>
      <c r="H502">
        <v>1313.6925048999999</v>
      </c>
      <c r="I502">
        <v>1367.0427245999999</v>
      </c>
      <c r="J502">
        <v>1356.1563721</v>
      </c>
      <c r="K502">
        <v>80</v>
      </c>
      <c r="L502">
        <v>72.303153992000006</v>
      </c>
      <c r="M502">
        <v>50</v>
      </c>
      <c r="N502">
        <v>49.902679442999997</v>
      </c>
    </row>
    <row r="503" spans="1:14" x14ac:dyDescent="0.25">
      <c r="A503">
        <v>246.75914900000001</v>
      </c>
      <c r="B503" s="1">
        <f>DATE(2011,1,2) + TIME(18,13,10)</f>
        <v>40545.759143518517</v>
      </c>
      <c r="C503">
        <v>0</v>
      </c>
      <c r="D503">
        <v>2400</v>
      </c>
      <c r="E503">
        <v>2400</v>
      </c>
      <c r="F503">
        <v>0</v>
      </c>
      <c r="G503">
        <v>1319.0694579999999</v>
      </c>
      <c r="H503">
        <v>1313.6094971</v>
      </c>
      <c r="I503">
        <v>1367.0325928</v>
      </c>
      <c r="J503">
        <v>1356.1447754000001</v>
      </c>
      <c r="K503">
        <v>80</v>
      </c>
      <c r="L503">
        <v>72.159248352000006</v>
      </c>
      <c r="M503">
        <v>50</v>
      </c>
      <c r="N503">
        <v>49.902988434000001</v>
      </c>
    </row>
    <row r="504" spans="1:14" x14ac:dyDescent="0.25">
      <c r="A504">
        <v>248.56303399999999</v>
      </c>
      <c r="B504" s="1">
        <f>DATE(2011,1,4) + TIME(13,30,46)</f>
        <v>40547.563032407408</v>
      </c>
      <c r="C504">
        <v>0</v>
      </c>
      <c r="D504">
        <v>2400</v>
      </c>
      <c r="E504">
        <v>2400</v>
      </c>
      <c r="F504">
        <v>0</v>
      </c>
      <c r="G504">
        <v>1318.9251709</v>
      </c>
      <c r="H504">
        <v>1313.4238281</v>
      </c>
      <c r="I504">
        <v>1366.9869385</v>
      </c>
      <c r="J504">
        <v>1356.0986327999999</v>
      </c>
      <c r="K504">
        <v>80</v>
      </c>
      <c r="L504">
        <v>72.010246276999993</v>
      </c>
      <c r="M504">
        <v>50</v>
      </c>
      <c r="N504">
        <v>49.903297424000002</v>
      </c>
    </row>
    <row r="505" spans="1:14" x14ac:dyDescent="0.25">
      <c r="A505">
        <v>250.410798</v>
      </c>
      <c r="B505" s="1">
        <f>DATE(2011,1,6) + TIME(9,51,32)</f>
        <v>40549.410787037035</v>
      </c>
      <c r="C505">
        <v>0</v>
      </c>
      <c r="D505">
        <v>2400</v>
      </c>
      <c r="E505">
        <v>2400</v>
      </c>
      <c r="F505">
        <v>0</v>
      </c>
      <c r="G505">
        <v>1318.7729492000001</v>
      </c>
      <c r="H505">
        <v>1313.2275391000001</v>
      </c>
      <c r="I505">
        <v>1366.9415283000001</v>
      </c>
      <c r="J505">
        <v>1356.0524902</v>
      </c>
      <c r="K505">
        <v>80</v>
      </c>
      <c r="L505">
        <v>71.857589722</v>
      </c>
      <c r="M505">
        <v>50</v>
      </c>
      <c r="N505">
        <v>49.903614044000001</v>
      </c>
    </row>
    <row r="506" spans="1:14" x14ac:dyDescent="0.25">
      <c r="A506">
        <v>252.30955800000001</v>
      </c>
      <c r="B506" s="1">
        <f>DATE(2011,1,8) + TIME(7,25,45)</f>
        <v>40551.309548611112</v>
      </c>
      <c r="C506">
        <v>0</v>
      </c>
      <c r="D506">
        <v>2400</v>
      </c>
      <c r="E506">
        <v>2400</v>
      </c>
      <c r="F506">
        <v>0</v>
      </c>
      <c r="G506">
        <v>1318.6141356999999</v>
      </c>
      <c r="H506">
        <v>1313.0218506000001</v>
      </c>
      <c r="I506">
        <v>1366.8967285000001</v>
      </c>
      <c r="J506">
        <v>1356.0067139</v>
      </c>
      <c r="K506">
        <v>80</v>
      </c>
      <c r="L506">
        <v>71.701805114999999</v>
      </c>
      <c r="M506">
        <v>50</v>
      </c>
      <c r="N506">
        <v>49.903934479</v>
      </c>
    </row>
    <row r="507" spans="1:14" x14ac:dyDescent="0.25">
      <c r="A507">
        <v>254.267358</v>
      </c>
      <c r="B507" s="1">
        <f>DATE(2011,1,10) + TIME(6,24,59)</f>
        <v>40553.26734953704</v>
      </c>
      <c r="C507">
        <v>0</v>
      </c>
      <c r="D507">
        <v>2400</v>
      </c>
      <c r="E507">
        <v>2400</v>
      </c>
      <c r="F507">
        <v>0</v>
      </c>
      <c r="G507">
        <v>1318.4483643000001</v>
      </c>
      <c r="H507">
        <v>1312.8067627</v>
      </c>
      <c r="I507">
        <v>1366.8520507999999</v>
      </c>
      <c r="J507">
        <v>1355.9610596</v>
      </c>
      <c r="K507">
        <v>80</v>
      </c>
      <c r="L507">
        <v>71.542861938000001</v>
      </c>
      <c r="M507">
        <v>50</v>
      </c>
      <c r="N507">
        <v>49.904266356999997</v>
      </c>
    </row>
    <row r="508" spans="1:14" x14ac:dyDescent="0.25">
      <c r="A508">
        <v>256.289267</v>
      </c>
      <c r="B508" s="1">
        <f>DATE(2011,1,12) + TIME(6,56,32)</f>
        <v>40555.289259259262</v>
      </c>
      <c r="C508">
        <v>0</v>
      </c>
      <c r="D508">
        <v>2400</v>
      </c>
      <c r="E508">
        <v>2400</v>
      </c>
      <c r="F508">
        <v>0</v>
      </c>
      <c r="G508">
        <v>1318.2752685999999</v>
      </c>
      <c r="H508">
        <v>1312.5816649999999</v>
      </c>
      <c r="I508">
        <v>1366.8076172000001</v>
      </c>
      <c r="J508">
        <v>1355.9154053</v>
      </c>
      <c r="K508">
        <v>80</v>
      </c>
      <c r="L508">
        <v>71.380584717000005</v>
      </c>
      <c r="M508">
        <v>50</v>
      </c>
      <c r="N508">
        <v>49.904605865000001</v>
      </c>
    </row>
    <row r="509" spans="1:14" x14ac:dyDescent="0.25">
      <c r="A509">
        <v>258.31863700000002</v>
      </c>
      <c r="B509" s="1">
        <f>DATE(2011,1,14) + TIME(7,38,50)</f>
        <v>40557.31863425926</v>
      </c>
      <c r="C509">
        <v>0</v>
      </c>
      <c r="D509">
        <v>2400</v>
      </c>
      <c r="E509">
        <v>2400</v>
      </c>
      <c r="F509">
        <v>0</v>
      </c>
      <c r="G509">
        <v>1318.0948486</v>
      </c>
      <c r="H509">
        <v>1312.3468018000001</v>
      </c>
      <c r="I509">
        <v>1366.7630615</v>
      </c>
      <c r="J509">
        <v>1355.869751</v>
      </c>
      <c r="K509">
        <v>80</v>
      </c>
      <c r="L509">
        <v>71.217094420999999</v>
      </c>
      <c r="M509">
        <v>50</v>
      </c>
      <c r="N509">
        <v>49.904945374</v>
      </c>
    </row>
    <row r="510" spans="1:14" x14ac:dyDescent="0.25">
      <c r="A510">
        <v>260.36542700000001</v>
      </c>
      <c r="B510" s="1">
        <f>DATE(2011,1,16) + TIME(8,46,12)</f>
        <v>40559.365416666667</v>
      </c>
      <c r="C510">
        <v>0</v>
      </c>
      <c r="D510">
        <v>2400</v>
      </c>
      <c r="E510">
        <v>2400</v>
      </c>
      <c r="F510">
        <v>0</v>
      </c>
      <c r="G510">
        <v>1317.9104004000001</v>
      </c>
      <c r="H510">
        <v>1312.105957</v>
      </c>
      <c r="I510">
        <v>1366.7198486</v>
      </c>
      <c r="J510">
        <v>1355.8251952999999</v>
      </c>
      <c r="K510">
        <v>80</v>
      </c>
      <c r="L510">
        <v>71.053009032999995</v>
      </c>
      <c r="M510">
        <v>50</v>
      </c>
      <c r="N510">
        <v>49.905284881999997</v>
      </c>
    </row>
    <row r="511" spans="1:14" x14ac:dyDescent="0.25">
      <c r="A511">
        <v>262.43842000000001</v>
      </c>
      <c r="B511" s="1">
        <f>DATE(2011,1,18) + TIME(10,31,19)</f>
        <v>40561.438414351855</v>
      </c>
      <c r="C511">
        <v>0</v>
      </c>
      <c r="D511">
        <v>2400</v>
      </c>
      <c r="E511">
        <v>2400</v>
      </c>
      <c r="F511">
        <v>0</v>
      </c>
      <c r="G511">
        <v>1317.7220459</v>
      </c>
      <c r="H511">
        <v>1311.859375</v>
      </c>
      <c r="I511">
        <v>1366.6777344</v>
      </c>
      <c r="J511">
        <v>1355.7816161999999</v>
      </c>
      <c r="K511">
        <v>80</v>
      </c>
      <c r="L511">
        <v>70.888183593999997</v>
      </c>
      <c r="M511">
        <v>50</v>
      </c>
      <c r="N511">
        <v>49.905628204000003</v>
      </c>
    </row>
    <row r="512" spans="1:14" x14ac:dyDescent="0.25">
      <c r="A512">
        <v>264.54642699999999</v>
      </c>
      <c r="B512" s="1">
        <f>DATE(2011,1,20) + TIME(13,6,51)</f>
        <v>40563.546423611115</v>
      </c>
      <c r="C512">
        <v>0</v>
      </c>
      <c r="D512">
        <v>2400</v>
      </c>
      <c r="E512">
        <v>2400</v>
      </c>
      <c r="F512">
        <v>0</v>
      </c>
      <c r="G512">
        <v>1317.5290527</v>
      </c>
      <c r="H512">
        <v>1311.6062012</v>
      </c>
      <c r="I512">
        <v>1366.6363524999999</v>
      </c>
      <c r="J512">
        <v>1355.7388916</v>
      </c>
      <c r="K512">
        <v>80</v>
      </c>
      <c r="L512">
        <v>70.722137450999995</v>
      </c>
      <c r="M512">
        <v>50</v>
      </c>
      <c r="N512">
        <v>49.905975341999998</v>
      </c>
    </row>
    <row r="513" spans="1:14" x14ac:dyDescent="0.25">
      <c r="A513">
        <v>266.69921299999999</v>
      </c>
      <c r="B513" s="1">
        <f>DATE(2011,1,22) + TIME(16,46,52)</f>
        <v>40565.699212962965</v>
      </c>
      <c r="C513">
        <v>0</v>
      </c>
      <c r="D513">
        <v>2400</v>
      </c>
      <c r="E513">
        <v>2400</v>
      </c>
      <c r="F513">
        <v>0</v>
      </c>
      <c r="G513">
        <v>1317.3309326000001</v>
      </c>
      <c r="H513">
        <v>1311.3457031</v>
      </c>
      <c r="I513">
        <v>1366.5954589999999</v>
      </c>
      <c r="J513">
        <v>1355.6965332</v>
      </c>
      <c r="K513">
        <v>80</v>
      </c>
      <c r="L513">
        <v>70.554145813000005</v>
      </c>
      <c r="M513">
        <v>50</v>
      </c>
      <c r="N513">
        <v>49.906330109000002</v>
      </c>
    </row>
    <row r="514" spans="1:14" x14ac:dyDescent="0.25">
      <c r="A514">
        <v>268.90447799999998</v>
      </c>
      <c r="B514" s="1">
        <f>DATE(2011,1,24) + TIME(21,42,26)</f>
        <v>40567.904467592591</v>
      </c>
      <c r="C514">
        <v>0</v>
      </c>
      <c r="D514">
        <v>2400</v>
      </c>
      <c r="E514">
        <v>2400</v>
      </c>
      <c r="F514">
        <v>0</v>
      </c>
      <c r="G514">
        <v>1317.1267089999999</v>
      </c>
      <c r="H514">
        <v>1311.0766602000001</v>
      </c>
      <c r="I514">
        <v>1366.5550536999999</v>
      </c>
      <c r="J514">
        <v>1355.6546631000001</v>
      </c>
      <c r="K514">
        <v>80</v>
      </c>
      <c r="L514">
        <v>70.383468628000003</v>
      </c>
      <c r="M514">
        <v>50</v>
      </c>
      <c r="N514">
        <v>49.906684875000003</v>
      </c>
    </row>
    <row r="515" spans="1:14" x14ac:dyDescent="0.25">
      <c r="A515">
        <v>271.17138299999999</v>
      </c>
      <c r="B515" s="1">
        <f>DATE(2011,1,27) + TIME(4,6,47)</f>
        <v>40570.171377314815</v>
      </c>
      <c r="C515">
        <v>0</v>
      </c>
      <c r="D515">
        <v>2400</v>
      </c>
      <c r="E515">
        <v>2400</v>
      </c>
      <c r="F515">
        <v>0</v>
      </c>
      <c r="G515">
        <v>1316.9157714999999</v>
      </c>
      <c r="H515">
        <v>1310.7979736</v>
      </c>
      <c r="I515">
        <v>1366.5148925999999</v>
      </c>
      <c r="J515">
        <v>1355.6130370999999</v>
      </c>
      <c r="K515">
        <v>80</v>
      </c>
      <c r="L515">
        <v>70.209236145000006</v>
      </c>
      <c r="M515">
        <v>50</v>
      </c>
      <c r="N515">
        <v>49.907051086000003</v>
      </c>
    </row>
    <row r="516" spans="1:14" x14ac:dyDescent="0.25">
      <c r="A516">
        <v>273.46692400000001</v>
      </c>
      <c r="B516" s="1">
        <f>DATE(2011,1,29) + TIME(11,12,22)</f>
        <v>40572.466921296298</v>
      </c>
      <c r="C516">
        <v>0</v>
      </c>
      <c r="D516">
        <v>2400</v>
      </c>
      <c r="E516">
        <v>2400</v>
      </c>
      <c r="F516">
        <v>0</v>
      </c>
      <c r="G516">
        <v>1316.6972656</v>
      </c>
      <c r="H516">
        <v>1310.5087891000001</v>
      </c>
      <c r="I516">
        <v>1366.4748535000001</v>
      </c>
      <c r="J516">
        <v>1355.5715332</v>
      </c>
      <c r="K516">
        <v>80</v>
      </c>
      <c r="L516">
        <v>70.031982421999999</v>
      </c>
      <c r="M516">
        <v>50</v>
      </c>
      <c r="N516">
        <v>49.907417297000002</v>
      </c>
    </row>
    <row r="517" spans="1:14" x14ac:dyDescent="0.25">
      <c r="A517">
        <v>275.79127</v>
      </c>
      <c r="B517" s="1">
        <f>DATE(2011,1,31) + TIME(18,59,25)</f>
        <v>40574.791261574072</v>
      </c>
      <c r="C517">
        <v>0</v>
      </c>
      <c r="D517">
        <v>2400</v>
      </c>
      <c r="E517">
        <v>2400</v>
      </c>
      <c r="F517">
        <v>0</v>
      </c>
      <c r="G517">
        <v>1316.4732666</v>
      </c>
      <c r="H517">
        <v>1310.2116699000001</v>
      </c>
      <c r="I517">
        <v>1366.4354248</v>
      </c>
      <c r="J517">
        <v>1355.5306396000001</v>
      </c>
      <c r="K517">
        <v>80</v>
      </c>
      <c r="L517">
        <v>69.851791382000002</v>
      </c>
      <c r="M517">
        <v>50</v>
      </c>
      <c r="N517">
        <v>49.907783508000001</v>
      </c>
    </row>
    <row r="518" spans="1:14" x14ac:dyDescent="0.25">
      <c r="A518">
        <v>276</v>
      </c>
      <c r="B518" s="1">
        <f>DATE(2011,2,1) + TIME(0,0,0)</f>
        <v>40575</v>
      </c>
      <c r="C518">
        <v>0</v>
      </c>
      <c r="D518">
        <v>2400</v>
      </c>
      <c r="E518">
        <v>2400</v>
      </c>
      <c r="F518">
        <v>0</v>
      </c>
      <c r="G518">
        <v>1316.2757568</v>
      </c>
      <c r="H518">
        <v>1309.9636230000001</v>
      </c>
      <c r="I518">
        <v>1366.3952637</v>
      </c>
      <c r="J518">
        <v>1355.4904785000001</v>
      </c>
      <c r="K518">
        <v>80</v>
      </c>
      <c r="L518">
        <v>69.818778992000006</v>
      </c>
      <c r="M518">
        <v>50</v>
      </c>
      <c r="N518">
        <v>49.907814025999997</v>
      </c>
    </row>
    <row r="519" spans="1:14" x14ac:dyDescent="0.25">
      <c r="A519">
        <v>278.35741400000001</v>
      </c>
      <c r="B519" s="1">
        <f>DATE(2011,2,3) + TIME(8,34,40)</f>
        <v>40577.357407407406</v>
      </c>
      <c r="C519">
        <v>0</v>
      </c>
      <c r="D519">
        <v>2400</v>
      </c>
      <c r="E519">
        <v>2400</v>
      </c>
      <c r="F519">
        <v>0</v>
      </c>
      <c r="G519">
        <v>1316.2137451000001</v>
      </c>
      <c r="H519">
        <v>1309.8647461</v>
      </c>
      <c r="I519">
        <v>1366.3933105000001</v>
      </c>
      <c r="J519">
        <v>1355.4865723</v>
      </c>
      <c r="K519">
        <v>80</v>
      </c>
      <c r="L519">
        <v>69.644630432</v>
      </c>
      <c r="M519">
        <v>50</v>
      </c>
      <c r="N519">
        <v>49.908187865999999</v>
      </c>
    </row>
    <row r="520" spans="1:14" x14ac:dyDescent="0.25">
      <c r="A520">
        <v>280.744799</v>
      </c>
      <c r="B520" s="1">
        <f>DATE(2011,2,5) + TIME(17,52,30)</f>
        <v>40579.744791666664</v>
      </c>
      <c r="C520">
        <v>0</v>
      </c>
      <c r="D520">
        <v>2400</v>
      </c>
      <c r="E520">
        <v>2400</v>
      </c>
      <c r="F520">
        <v>0</v>
      </c>
      <c r="G520">
        <v>1315.9853516000001</v>
      </c>
      <c r="H520">
        <v>1309.5607910000001</v>
      </c>
      <c r="I520">
        <v>1366.3552245999999</v>
      </c>
      <c r="J520">
        <v>1355.4472656</v>
      </c>
      <c r="K520">
        <v>80</v>
      </c>
      <c r="L520">
        <v>69.461975097999996</v>
      </c>
      <c r="M520">
        <v>50</v>
      </c>
      <c r="N520">
        <v>49.908557891999997</v>
      </c>
    </row>
    <row r="521" spans="1:14" x14ac:dyDescent="0.25">
      <c r="A521">
        <v>283.16003999999998</v>
      </c>
      <c r="B521" s="1">
        <f>DATE(2011,2,8) + TIME(3,50,27)</f>
        <v>40582.160034722219</v>
      </c>
      <c r="C521">
        <v>0</v>
      </c>
      <c r="D521">
        <v>2400</v>
      </c>
      <c r="E521">
        <v>2400</v>
      </c>
      <c r="F521">
        <v>0</v>
      </c>
      <c r="G521">
        <v>1315.7484131000001</v>
      </c>
      <c r="H521">
        <v>1309.2442627</v>
      </c>
      <c r="I521">
        <v>1366.3176269999999</v>
      </c>
      <c r="J521">
        <v>1355.4085693</v>
      </c>
      <c r="K521">
        <v>80</v>
      </c>
      <c r="L521">
        <v>69.273399353000002</v>
      </c>
      <c r="M521">
        <v>50</v>
      </c>
      <c r="N521">
        <v>49.908927917</v>
      </c>
    </row>
    <row r="522" spans="1:14" x14ac:dyDescent="0.25">
      <c r="A522">
        <v>285.60769499999998</v>
      </c>
      <c r="B522" s="1">
        <f>DATE(2011,2,10) + TIME(14,35,4)</f>
        <v>40584.607685185183</v>
      </c>
      <c r="C522">
        <v>0</v>
      </c>
      <c r="D522">
        <v>2400</v>
      </c>
      <c r="E522">
        <v>2400</v>
      </c>
      <c r="F522">
        <v>0</v>
      </c>
      <c r="G522">
        <v>1315.5053711</v>
      </c>
      <c r="H522">
        <v>1308.9183350000001</v>
      </c>
      <c r="I522">
        <v>1366.2807617000001</v>
      </c>
      <c r="J522">
        <v>1355.3703613</v>
      </c>
      <c r="K522">
        <v>80</v>
      </c>
      <c r="L522">
        <v>69.079658507999994</v>
      </c>
      <c r="M522">
        <v>50</v>
      </c>
      <c r="N522">
        <v>49.909301757999998</v>
      </c>
    </row>
    <row r="523" spans="1:14" x14ac:dyDescent="0.25">
      <c r="A523">
        <v>288.07912299999998</v>
      </c>
      <c r="B523" s="1">
        <f>DATE(2011,2,13) + TIME(1,53,56)</f>
        <v>40587.07912037037</v>
      </c>
      <c r="C523">
        <v>0</v>
      </c>
      <c r="D523">
        <v>2400</v>
      </c>
      <c r="E523">
        <v>2400</v>
      </c>
      <c r="F523">
        <v>0</v>
      </c>
      <c r="G523">
        <v>1315.2570800999999</v>
      </c>
      <c r="H523">
        <v>1308.5843506000001</v>
      </c>
      <c r="I523">
        <v>1366.2442627</v>
      </c>
      <c r="J523">
        <v>1355.3327637</v>
      </c>
      <c r="K523">
        <v>80</v>
      </c>
      <c r="L523">
        <v>68.881011963000006</v>
      </c>
      <c r="M523">
        <v>50</v>
      </c>
      <c r="N523">
        <v>49.909671783</v>
      </c>
    </row>
    <row r="524" spans="1:14" x14ac:dyDescent="0.25">
      <c r="A524">
        <v>290.57828699999999</v>
      </c>
      <c r="B524" s="1">
        <f>DATE(2011,2,15) + TIME(13,52,43)</f>
        <v>40589.578275462962</v>
      </c>
      <c r="C524">
        <v>0</v>
      </c>
      <c r="D524">
        <v>2400</v>
      </c>
      <c r="E524">
        <v>2400</v>
      </c>
      <c r="F524">
        <v>0</v>
      </c>
      <c r="G524">
        <v>1315.0043945</v>
      </c>
      <c r="H524">
        <v>1308.2434082</v>
      </c>
      <c r="I524">
        <v>1366.208374</v>
      </c>
      <c r="J524">
        <v>1355.2957764</v>
      </c>
      <c r="K524">
        <v>80</v>
      </c>
      <c r="L524">
        <v>68.677238463999998</v>
      </c>
      <c r="M524">
        <v>50</v>
      </c>
      <c r="N524">
        <v>49.910045623999999</v>
      </c>
    </row>
    <row r="525" spans="1:14" x14ac:dyDescent="0.25">
      <c r="A525">
        <v>293.107485</v>
      </c>
      <c r="B525" s="1">
        <f>DATE(2011,2,18) + TIME(2,34,46)</f>
        <v>40592.107476851852</v>
      </c>
      <c r="C525">
        <v>0</v>
      </c>
      <c r="D525">
        <v>2400</v>
      </c>
      <c r="E525">
        <v>2400</v>
      </c>
      <c r="F525">
        <v>0</v>
      </c>
      <c r="G525">
        <v>1314.7473144999999</v>
      </c>
      <c r="H525">
        <v>1307.8956298999999</v>
      </c>
      <c r="I525">
        <v>1366.1729736</v>
      </c>
      <c r="J525">
        <v>1355.2595214999999</v>
      </c>
      <c r="K525">
        <v>80</v>
      </c>
      <c r="L525">
        <v>68.467773437999995</v>
      </c>
      <c r="M525">
        <v>50</v>
      </c>
      <c r="N525">
        <v>49.910415649000001</v>
      </c>
    </row>
    <row r="526" spans="1:14" x14ac:dyDescent="0.25">
      <c r="A526">
        <v>295.65983999999997</v>
      </c>
      <c r="B526" s="1">
        <f>DATE(2011,2,20) + TIME(15,50,10)</f>
        <v>40594.659837962965</v>
      </c>
      <c r="C526">
        <v>0</v>
      </c>
      <c r="D526">
        <v>2400</v>
      </c>
      <c r="E526">
        <v>2400</v>
      </c>
      <c r="F526">
        <v>0</v>
      </c>
      <c r="G526">
        <v>1314.4860839999999</v>
      </c>
      <c r="H526">
        <v>1307.5410156</v>
      </c>
      <c r="I526">
        <v>1366.1380615</v>
      </c>
      <c r="J526">
        <v>1355.2237548999999</v>
      </c>
      <c r="K526">
        <v>80</v>
      </c>
      <c r="L526">
        <v>68.252227782999995</v>
      </c>
      <c r="M526">
        <v>50</v>
      </c>
      <c r="N526">
        <v>49.910785675</v>
      </c>
    </row>
    <row r="527" spans="1:14" x14ac:dyDescent="0.25">
      <c r="A527">
        <v>298.24026600000002</v>
      </c>
      <c r="B527" s="1">
        <f>DATE(2011,2,23) + TIME(5,45,58)</f>
        <v>40597.240254629629</v>
      </c>
      <c r="C527">
        <v>0</v>
      </c>
      <c r="D527">
        <v>2400</v>
      </c>
      <c r="E527">
        <v>2400</v>
      </c>
      <c r="F527">
        <v>0</v>
      </c>
      <c r="G527">
        <v>1314.2211914</v>
      </c>
      <c r="H527">
        <v>1307.1802978999999</v>
      </c>
      <c r="I527">
        <v>1366.1036377</v>
      </c>
      <c r="J527">
        <v>1355.1885986</v>
      </c>
      <c r="K527">
        <v>80</v>
      </c>
      <c r="L527">
        <v>68.029998778999996</v>
      </c>
      <c r="M527">
        <v>50</v>
      </c>
      <c r="N527">
        <v>49.911155700999998</v>
      </c>
    </row>
    <row r="528" spans="1:14" x14ac:dyDescent="0.25">
      <c r="A528">
        <v>300.84797099999997</v>
      </c>
      <c r="B528" s="1">
        <f>DATE(2011,2,25) + TIME(20,21,4)</f>
        <v>40599.847962962966</v>
      </c>
      <c r="C528">
        <v>0</v>
      </c>
      <c r="D528">
        <v>2400</v>
      </c>
      <c r="E528">
        <v>2400</v>
      </c>
      <c r="F528">
        <v>0</v>
      </c>
      <c r="G528">
        <v>1313.9525146000001</v>
      </c>
      <c r="H528">
        <v>1306.8132324000001</v>
      </c>
      <c r="I528">
        <v>1366.0695800999999</v>
      </c>
      <c r="J528">
        <v>1355.1540527</v>
      </c>
      <c r="K528">
        <v>80</v>
      </c>
      <c r="L528">
        <v>67.800430297999995</v>
      </c>
      <c r="M528">
        <v>50</v>
      </c>
      <c r="N528">
        <v>49.911525726000001</v>
      </c>
    </row>
    <row r="529" spans="1:14" x14ac:dyDescent="0.25">
      <c r="A529">
        <v>303.479784</v>
      </c>
      <c r="B529" s="1">
        <f>DATE(2011,2,28) + TIME(11,30,53)</f>
        <v>40602.479780092595</v>
      </c>
      <c r="C529">
        <v>0</v>
      </c>
      <c r="D529">
        <v>2400</v>
      </c>
      <c r="E529">
        <v>2400</v>
      </c>
      <c r="F529">
        <v>0</v>
      </c>
      <c r="G529">
        <v>1313.6802978999999</v>
      </c>
      <c r="H529">
        <v>1306.4401855000001</v>
      </c>
      <c r="I529">
        <v>1366.0358887</v>
      </c>
      <c r="J529">
        <v>1355.1199951000001</v>
      </c>
      <c r="K529">
        <v>80</v>
      </c>
      <c r="L529">
        <v>67.562957764000004</v>
      </c>
      <c r="M529">
        <v>50</v>
      </c>
      <c r="N529">
        <v>49.911895752</v>
      </c>
    </row>
    <row r="530" spans="1:14" x14ac:dyDescent="0.25">
      <c r="A530">
        <v>304</v>
      </c>
      <c r="B530" s="1">
        <f>DATE(2011,3,1) + TIME(0,0,0)</f>
        <v>40603</v>
      </c>
      <c r="C530">
        <v>0</v>
      </c>
      <c r="D530">
        <v>2400</v>
      </c>
      <c r="E530">
        <v>2400</v>
      </c>
      <c r="F530">
        <v>0</v>
      </c>
      <c r="G530">
        <v>1313.4318848</v>
      </c>
      <c r="H530">
        <v>1306.1174315999999</v>
      </c>
      <c r="I530">
        <v>1366.0013428</v>
      </c>
      <c r="J530">
        <v>1355.0859375</v>
      </c>
      <c r="K530">
        <v>80</v>
      </c>
      <c r="L530">
        <v>67.467834472999996</v>
      </c>
      <c r="M530">
        <v>50</v>
      </c>
      <c r="N530">
        <v>49.911964417</v>
      </c>
    </row>
    <row r="531" spans="1:14" x14ac:dyDescent="0.25">
      <c r="A531">
        <v>306.66117500000001</v>
      </c>
      <c r="B531" s="1">
        <f>DATE(2011,3,3) + TIME(15,52,5)</f>
        <v>40605.661168981482</v>
      </c>
      <c r="C531">
        <v>0</v>
      </c>
      <c r="D531">
        <v>2400</v>
      </c>
      <c r="E531">
        <v>2400</v>
      </c>
      <c r="F531">
        <v>0</v>
      </c>
      <c r="G531">
        <v>1313.3283690999999</v>
      </c>
      <c r="H531">
        <v>1305.9515381000001</v>
      </c>
      <c r="I531">
        <v>1365.9960937999999</v>
      </c>
      <c r="J531">
        <v>1355.0793457</v>
      </c>
      <c r="K531">
        <v>80</v>
      </c>
      <c r="L531">
        <v>67.249000549000002</v>
      </c>
      <c r="M531">
        <v>50</v>
      </c>
      <c r="N531">
        <v>49.912338257000002</v>
      </c>
    </row>
    <row r="532" spans="1:14" x14ac:dyDescent="0.25">
      <c r="A532">
        <v>309.352779</v>
      </c>
      <c r="B532" s="1">
        <f>DATE(2011,3,6) + TIME(8,28,0)</f>
        <v>40608.352777777778</v>
      </c>
      <c r="C532">
        <v>0</v>
      </c>
      <c r="D532">
        <v>2400</v>
      </c>
      <c r="E532">
        <v>2400</v>
      </c>
      <c r="F532">
        <v>0</v>
      </c>
      <c r="G532">
        <v>1313.0637207</v>
      </c>
      <c r="H532">
        <v>1305.5887451000001</v>
      </c>
      <c r="I532">
        <v>1365.9632568</v>
      </c>
      <c r="J532">
        <v>1355.046875</v>
      </c>
      <c r="K532">
        <v>80</v>
      </c>
      <c r="L532">
        <v>67.003013611</v>
      </c>
      <c r="M532">
        <v>50</v>
      </c>
      <c r="N532">
        <v>49.912704468000001</v>
      </c>
    </row>
    <row r="533" spans="1:14" x14ac:dyDescent="0.25">
      <c r="A533">
        <v>312.07127000000003</v>
      </c>
      <c r="B533" s="1">
        <f>DATE(2011,3,9) + TIME(1,42,37)</f>
        <v>40611.071261574078</v>
      </c>
      <c r="C533">
        <v>0</v>
      </c>
      <c r="D533">
        <v>2400</v>
      </c>
      <c r="E533">
        <v>2400</v>
      </c>
      <c r="F533">
        <v>0</v>
      </c>
      <c r="G533">
        <v>1312.7871094</v>
      </c>
      <c r="H533">
        <v>1305.2064209</v>
      </c>
      <c r="I533">
        <v>1365.9306641000001</v>
      </c>
      <c r="J533">
        <v>1355.0146483999999</v>
      </c>
      <c r="K533">
        <v>80</v>
      </c>
      <c r="L533">
        <v>66.739982604999994</v>
      </c>
      <c r="M533">
        <v>50</v>
      </c>
      <c r="N533">
        <v>49.913066864000001</v>
      </c>
    </row>
    <row r="534" spans="1:14" x14ac:dyDescent="0.25">
      <c r="A534">
        <v>314.81718899999998</v>
      </c>
      <c r="B534" s="1">
        <f>DATE(2011,3,11) + TIME(19,36,45)</f>
        <v>40613.817187499997</v>
      </c>
      <c r="C534">
        <v>0</v>
      </c>
      <c r="D534">
        <v>2400</v>
      </c>
      <c r="E534">
        <v>2400</v>
      </c>
      <c r="F534">
        <v>0</v>
      </c>
      <c r="G534">
        <v>1312.5045166</v>
      </c>
      <c r="H534">
        <v>1304.8137207</v>
      </c>
      <c r="I534">
        <v>1365.8984375</v>
      </c>
      <c r="J534">
        <v>1354.9827881000001</v>
      </c>
      <c r="K534">
        <v>80</v>
      </c>
      <c r="L534">
        <v>66.463562011999997</v>
      </c>
      <c r="M534">
        <v>50</v>
      </c>
      <c r="N534">
        <v>49.913433075</v>
      </c>
    </row>
    <row r="535" spans="1:14" x14ac:dyDescent="0.25">
      <c r="A535">
        <v>317.58955900000001</v>
      </c>
      <c r="B535" s="1">
        <f>DATE(2011,3,14) + TIME(14,8,57)</f>
        <v>40616.589548611111</v>
      </c>
      <c r="C535">
        <v>0</v>
      </c>
      <c r="D535">
        <v>2400</v>
      </c>
      <c r="E535">
        <v>2400</v>
      </c>
      <c r="F535">
        <v>0</v>
      </c>
      <c r="G535">
        <v>1312.2185059000001</v>
      </c>
      <c r="H535">
        <v>1304.4143065999999</v>
      </c>
      <c r="I535">
        <v>1365.8663329999999</v>
      </c>
      <c r="J535">
        <v>1354.9514160000001</v>
      </c>
      <c r="K535">
        <v>80</v>
      </c>
      <c r="L535">
        <v>66.174797057999996</v>
      </c>
      <c r="M535">
        <v>50</v>
      </c>
      <c r="N535">
        <v>49.913791656000001</v>
      </c>
    </row>
    <row r="536" spans="1:14" x14ac:dyDescent="0.25">
      <c r="A536">
        <v>320.38867599999998</v>
      </c>
      <c r="B536" s="1">
        <f>DATE(2011,3,17) + TIME(9,19,41)</f>
        <v>40619.388668981483</v>
      </c>
      <c r="C536">
        <v>0</v>
      </c>
      <c r="D536">
        <v>2400</v>
      </c>
      <c r="E536">
        <v>2400</v>
      </c>
      <c r="F536">
        <v>0</v>
      </c>
      <c r="G536">
        <v>1311.9299315999999</v>
      </c>
      <c r="H536">
        <v>1304.0098877</v>
      </c>
      <c r="I536">
        <v>1365.8344727000001</v>
      </c>
      <c r="J536">
        <v>1354.9202881000001</v>
      </c>
      <c r="K536">
        <v>80</v>
      </c>
      <c r="L536">
        <v>65.873786925999994</v>
      </c>
      <c r="M536">
        <v>50</v>
      </c>
      <c r="N536">
        <v>49.914154052999997</v>
      </c>
    </row>
    <row r="537" spans="1:14" x14ac:dyDescent="0.25">
      <c r="A537">
        <v>323.22153700000001</v>
      </c>
      <c r="B537" s="1">
        <f>DATE(2011,3,20) + TIME(5,19,0)</f>
        <v>40622.22152777778</v>
      </c>
      <c r="C537">
        <v>0</v>
      </c>
      <c r="D537">
        <v>2400</v>
      </c>
      <c r="E537">
        <v>2400</v>
      </c>
      <c r="F537">
        <v>0</v>
      </c>
      <c r="G537">
        <v>1311.6394043</v>
      </c>
      <c r="H537">
        <v>1303.6009521000001</v>
      </c>
      <c r="I537">
        <v>1365.8028564000001</v>
      </c>
      <c r="J537">
        <v>1354.8896483999999</v>
      </c>
      <c r="K537">
        <v>80</v>
      </c>
      <c r="L537">
        <v>65.559967040999993</v>
      </c>
      <c r="M537">
        <v>50</v>
      </c>
      <c r="N537">
        <v>49.914512633999998</v>
      </c>
    </row>
    <row r="538" spans="1:14" x14ac:dyDescent="0.25">
      <c r="A538">
        <v>326.08212800000001</v>
      </c>
      <c r="B538" s="1">
        <f>DATE(2011,3,23) + TIME(1,58,15)</f>
        <v>40625.082118055558</v>
      </c>
      <c r="C538">
        <v>0</v>
      </c>
      <c r="D538">
        <v>2400</v>
      </c>
      <c r="E538">
        <v>2400</v>
      </c>
      <c r="F538">
        <v>0</v>
      </c>
      <c r="G538">
        <v>1311.3469238</v>
      </c>
      <c r="H538">
        <v>1303.1877440999999</v>
      </c>
      <c r="I538">
        <v>1365.7713623</v>
      </c>
      <c r="J538">
        <v>1354.859375</v>
      </c>
      <c r="K538">
        <v>80</v>
      </c>
      <c r="L538">
        <v>65.232826232999997</v>
      </c>
      <c r="M538">
        <v>50</v>
      </c>
      <c r="N538">
        <v>49.914875031000001</v>
      </c>
    </row>
    <row r="539" spans="1:14" x14ac:dyDescent="0.25">
      <c r="A539">
        <v>328.977666</v>
      </c>
      <c r="B539" s="1">
        <f>DATE(2011,3,25) + TIME(23,27,50)</f>
        <v>40627.977662037039</v>
      </c>
      <c r="C539">
        <v>0</v>
      </c>
      <c r="D539">
        <v>2400</v>
      </c>
      <c r="E539">
        <v>2400</v>
      </c>
      <c r="F539">
        <v>0</v>
      </c>
      <c r="G539">
        <v>1311.0531006000001</v>
      </c>
      <c r="H539">
        <v>1302.7707519999999</v>
      </c>
      <c r="I539">
        <v>1365.7399902</v>
      </c>
      <c r="J539">
        <v>1354.8294678</v>
      </c>
      <c r="K539">
        <v>80</v>
      </c>
      <c r="L539">
        <v>64.891845703000001</v>
      </c>
      <c r="M539">
        <v>50</v>
      </c>
      <c r="N539">
        <v>49.915229797000002</v>
      </c>
    </row>
    <row r="540" spans="1:14" x14ac:dyDescent="0.25">
      <c r="A540">
        <v>331.91098699999998</v>
      </c>
      <c r="B540" s="1">
        <f>DATE(2011,3,28) + TIME(21,51,49)</f>
        <v>40630.910983796297</v>
      </c>
      <c r="C540">
        <v>0</v>
      </c>
      <c r="D540">
        <v>2400</v>
      </c>
      <c r="E540">
        <v>2400</v>
      </c>
      <c r="F540">
        <v>0</v>
      </c>
      <c r="G540">
        <v>1310.7578125</v>
      </c>
      <c r="H540">
        <v>1302.3499756000001</v>
      </c>
      <c r="I540">
        <v>1365.7086182</v>
      </c>
      <c r="J540">
        <v>1354.7996826000001</v>
      </c>
      <c r="K540">
        <v>80</v>
      </c>
      <c r="L540">
        <v>64.536270142000006</v>
      </c>
      <c r="M540">
        <v>50</v>
      </c>
      <c r="N540">
        <v>49.915588378999999</v>
      </c>
    </row>
    <row r="541" spans="1:14" x14ac:dyDescent="0.25">
      <c r="A541">
        <v>333.45549299999999</v>
      </c>
      <c r="B541" s="1">
        <f>DATE(2011,3,30) + TIME(10,55,54)</f>
        <v>40632.45548611111</v>
      </c>
      <c r="C541">
        <v>0</v>
      </c>
      <c r="D541">
        <v>2400</v>
      </c>
      <c r="E541">
        <v>2400</v>
      </c>
      <c r="F541">
        <v>0</v>
      </c>
      <c r="G541">
        <v>1310.4714355000001</v>
      </c>
      <c r="H541">
        <v>1301.9527588000001</v>
      </c>
      <c r="I541">
        <v>1365.6766356999999</v>
      </c>
      <c r="J541">
        <v>1354.7697754000001</v>
      </c>
      <c r="K541">
        <v>80</v>
      </c>
      <c r="L541">
        <v>64.253242493000002</v>
      </c>
      <c r="M541">
        <v>50</v>
      </c>
      <c r="N541">
        <v>49.915767670000001</v>
      </c>
    </row>
    <row r="542" spans="1:14" x14ac:dyDescent="0.25">
      <c r="A542">
        <v>335</v>
      </c>
      <c r="B542" s="1">
        <f>DATE(2011,4,1) + TIME(0,0,0)</f>
        <v>40634</v>
      </c>
      <c r="C542">
        <v>0</v>
      </c>
      <c r="D542">
        <v>2400</v>
      </c>
      <c r="E542">
        <v>2400</v>
      </c>
      <c r="F542">
        <v>0</v>
      </c>
      <c r="G542">
        <v>1310.2880858999999</v>
      </c>
      <c r="H542">
        <v>1301.6811522999999</v>
      </c>
      <c r="I542">
        <v>1365.6602783000001</v>
      </c>
      <c r="J542">
        <v>1354.7539062000001</v>
      </c>
      <c r="K542">
        <v>80</v>
      </c>
      <c r="L542">
        <v>64.010093689000001</v>
      </c>
      <c r="M542">
        <v>50</v>
      </c>
      <c r="N542">
        <v>49.915954589999998</v>
      </c>
    </row>
    <row r="543" spans="1:14" x14ac:dyDescent="0.25">
      <c r="A543">
        <v>337.169847</v>
      </c>
      <c r="B543" s="1">
        <f>DATE(2011,4,3) + TIME(4,4,34)</f>
        <v>40636.16983796296</v>
      </c>
      <c r="C543">
        <v>0</v>
      </c>
      <c r="D543">
        <v>2400</v>
      </c>
      <c r="E543">
        <v>2400</v>
      </c>
      <c r="F543">
        <v>0</v>
      </c>
      <c r="G543">
        <v>1310.1153564000001</v>
      </c>
      <c r="H543">
        <v>1301.4232178</v>
      </c>
      <c r="I543">
        <v>1365.6444091999999</v>
      </c>
      <c r="J543">
        <v>1354.7385254000001</v>
      </c>
      <c r="K543">
        <v>80</v>
      </c>
      <c r="L543">
        <v>63.748142242</v>
      </c>
      <c r="M543">
        <v>50</v>
      </c>
      <c r="N543">
        <v>49.916217803999999</v>
      </c>
    </row>
    <row r="544" spans="1:14" x14ac:dyDescent="0.25">
      <c r="A544">
        <v>340.08451700000001</v>
      </c>
      <c r="B544" s="1">
        <f>DATE(2011,4,6) + TIME(2,1,42)</f>
        <v>40639.084513888891</v>
      </c>
      <c r="C544">
        <v>0</v>
      </c>
      <c r="D544">
        <v>2400</v>
      </c>
      <c r="E544">
        <v>2400</v>
      </c>
      <c r="F544">
        <v>0</v>
      </c>
      <c r="G544">
        <v>1309.9025879000001</v>
      </c>
      <c r="H544">
        <v>1301.1130370999999</v>
      </c>
      <c r="I544">
        <v>1365.6218262</v>
      </c>
      <c r="J544">
        <v>1354.7177733999999</v>
      </c>
      <c r="K544">
        <v>80</v>
      </c>
      <c r="L544">
        <v>63.433933258000003</v>
      </c>
      <c r="M544">
        <v>50</v>
      </c>
      <c r="N544">
        <v>49.916561127000001</v>
      </c>
    </row>
    <row r="545" spans="1:14" x14ac:dyDescent="0.25">
      <c r="A545">
        <v>343.072114</v>
      </c>
      <c r="B545" s="1">
        <f>DATE(2011,4,9) + TIME(1,43,50)</f>
        <v>40642.072106481479</v>
      </c>
      <c r="C545">
        <v>0</v>
      </c>
      <c r="D545">
        <v>2400</v>
      </c>
      <c r="E545">
        <v>2400</v>
      </c>
      <c r="F545">
        <v>0</v>
      </c>
      <c r="G545">
        <v>1309.6363524999999</v>
      </c>
      <c r="H545">
        <v>1300.7315673999999</v>
      </c>
      <c r="I545">
        <v>1365.5915527</v>
      </c>
      <c r="J545">
        <v>1354.6904297000001</v>
      </c>
      <c r="K545">
        <v>80</v>
      </c>
      <c r="L545">
        <v>63.057449341000002</v>
      </c>
      <c r="M545">
        <v>50</v>
      </c>
      <c r="N545">
        <v>49.916908264</v>
      </c>
    </row>
    <row r="546" spans="1:14" x14ac:dyDescent="0.25">
      <c r="A546">
        <v>346.14078799999999</v>
      </c>
      <c r="B546" s="1">
        <f>DATE(2011,4,12) + TIME(3,22,44)</f>
        <v>40645.140787037039</v>
      </c>
      <c r="C546">
        <v>0</v>
      </c>
      <c r="D546">
        <v>2400</v>
      </c>
      <c r="E546">
        <v>2400</v>
      </c>
      <c r="F546">
        <v>0</v>
      </c>
      <c r="G546">
        <v>1309.3542480000001</v>
      </c>
      <c r="H546">
        <v>1300.3220214999999</v>
      </c>
      <c r="I546">
        <v>1365.5607910000001</v>
      </c>
      <c r="J546">
        <v>1354.6624756000001</v>
      </c>
      <c r="K546">
        <v>80</v>
      </c>
      <c r="L546">
        <v>62.645961761000002</v>
      </c>
      <c r="M546">
        <v>50</v>
      </c>
      <c r="N546">
        <v>49.917255402000002</v>
      </c>
    </row>
    <row r="547" spans="1:14" x14ac:dyDescent="0.25">
      <c r="A547">
        <v>349.279967</v>
      </c>
      <c r="B547" s="1">
        <f>DATE(2011,4,15) + TIME(6,43,9)</f>
        <v>40648.279965277776</v>
      </c>
      <c r="C547">
        <v>0</v>
      </c>
      <c r="D547">
        <v>2400</v>
      </c>
      <c r="E547">
        <v>2400</v>
      </c>
      <c r="F547">
        <v>0</v>
      </c>
      <c r="G547">
        <v>1309.0640868999999</v>
      </c>
      <c r="H547">
        <v>1299.8980713000001</v>
      </c>
      <c r="I547">
        <v>1365.5294189000001</v>
      </c>
      <c r="J547">
        <v>1354.6341553</v>
      </c>
      <c r="K547">
        <v>80</v>
      </c>
      <c r="L547">
        <v>62.208683014000002</v>
      </c>
      <c r="M547">
        <v>50</v>
      </c>
      <c r="N547">
        <v>49.917606354</v>
      </c>
    </row>
    <row r="548" spans="1:14" x14ac:dyDescent="0.25">
      <c r="A548">
        <v>352.47154599999999</v>
      </c>
      <c r="B548" s="1">
        <f>DATE(2011,4,18) + TIME(11,19,1)</f>
        <v>40651.471539351849</v>
      </c>
      <c r="C548">
        <v>0</v>
      </c>
      <c r="D548">
        <v>2400</v>
      </c>
      <c r="E548">
        <v>2400</v>
      </c>
      <c r="F548">
        <v>0</v>
      </c>
      <c r="G548">
        <v>1308.7700195</v>
      </c>
      <c r="H548">
        <v>1299.4659423999999</v>
      </c>
      <c r="I548">
        <v>1365.4976807</v>
      </c>
      <c r="J548">
        <v>1354.6055908000001</v>
      </c>
      <c r="K548">
        <v>80</v>
      </c>
      <c r="L548">
        <v>61.749927520999996</v>
      </c>
      <c r="M548">
        <v>50</v>
      </c>
      <c r="N548">
        <v>49.917957305999998</v>
      </c>
    </row>
    <row r="549" spans="1:14" x14ac:dyDescent="0.25">
      <c r="A549">
        <v>355.71420000000001</v>
      </c>
      <c r="B549" s="1">
        <f>DATE(2011,4,21) + TIME(17,8,26)</f>
        <v>40654.714189814818</v>
      </c>
      <c r="C549">
        <v>0</v>
      </c>
      <c r="D549">
        <v>2400</v>
      </c>
      <c r="E549">
        <v>2400</v>
      </c>
      <c r="F549">
        <v>0</v>
      </c>
      <c r="G549">
        <v>1308.4750977000001</v>
      </c>
      <c r="H549">
        <v>1299.0300293</v>
      </c>
      <c r="I549">
        <v>1365.4655762</v>
      </c>
      <c r="J549">
        <v>1354.5770264</v>
      </c>
      <c r="K549">
        <v>80</v>
      </c>
      <c r="L549">
        <v>61.272247313999998</v>
      </c>
      <c r="M549">
        <v>50</v>
      </c>
      <c r="N549">
        <v>49.918312073000003</v>
      </c>
    </row>
    <row r="550" spans="1:14" x14ac:dyDescent="0.25">
      <c r="A550">
        <v>359.017518</v>
      </c>
      <c r="B550" s="1">
        <f>DATE(2011,4,25) + TIME(0,25,13)</f>
        <v>40658.017511574071</v>
      </c>
      <c r="C550">
        <v>0</v>
      </c>
      <c r="D550">
        <v>2400</v>
      </c>
      <c r="E550">
        <v>2400</v>
      </c>
      <c r="F550">
        <v>0</v>
      </c>
      <c r="G550">
        <v>1308.1806641000001</v>
      </c>
      <c r="H550">
        <v>1298.5924072</v>
      </c>
      <c r="I550">
        <v>1365.4332274999999</v>
      </c>
      <c r="J550">
        <v>1354.5482178</v>
      </c>
      <c r="K550">
        <v>80</v>
      </c>
      <c r="L550">
        <v>60.776321410999998</v>
      </c>
      <c r="M550">
        <v>50</v>
      </c>
      <c r="N550">
        <v>49.91866684</v>
      </c>
    </row>
    <row r="551" spans="1:14" x14ac:dyDescent="0.25">
      <c r="A551">
        <v>362.37325499999997</v>
      </c>
      <c r="B551" s="1">
        <f>DATE(2011,4,28) + TIME(8,57,29)</f>
        <v>40661.373252314814</v>
      </c>
      <c r="C551">
        <v>0</v>
      </c>
      <c r="D551">
        <v>2400</v>
      </c>
      <c r="E551">
        <v>2400</v>
      </c>
      <c r="F551">
        <v>0</v>
      </c>
      <c r="G551">
        <v>1307.8869629000001</v>
      </c>
      <c r="H551">
        <v>1298.1534423999999</v>
      </c>
      <c r="I551">
        <v>1365.4003906</v>
      </c>
      <c r="J551">
        <v>1354.5194091999999</v>
      </c>
      <c r="K551">
        <v>80</v>
      </c>
      <c r="L551">
        <v>60.262401580999999</v>
      </c>
      <c r="M551">
        <v>50</v>
      </c>
      <c r="N551">
        <v>49.919021606000001</v>
      </c>
    </row>
    <row r="552" spans="1:14" x14ac:dyDescent="0.25">
      <c r="A552">
        <v>365</v>
      </c>
      <c r="B552" s="1">
        <f>DATE(2011,5,1) + TIME(0,0,0)</f>
        <v>40664</v>
      </c>
      <c r="C552">
        <v>0</v>
      </c>
      <c r="D552">
        <v>2400</v>
      </c>
      <c r="E552">
        <v>2400</v>
      </c>
      <c r="F552">
        <v>0</v>
      </c>
      <c r="G552">
        <v>1307.5979004000001</v>
      </c>
      <c r="H552">
        <v>1297.7257079999999</v>
      </c>
      <c r="I552">
        <v>1365.3670654</v>
      </c>
      <c r="J552">
        <v>1354.4901123</v>
      </c>
      <c r="K552">
        <v>80</v>
      </c>
      <c r="L552">
        <v>59.773387909</v>
      </c>
      <c r="M552">
        <v>50</v>
      </c>
      <c r="N552">
        <v>49.919288635000001</v>
      </c>
    </row>
    <row r="553" spans="1:14" x14ac:dyDescent="0.25">
      <c r="A553">
        <v>365.000001</v>
      </c>
      <c r="B553" s="1">
        <f>DATE(2011,5,1) + TIME(0,0,0)</f>
        <v>40664</v>
      </c>
      <c r="C553">
        <v>2400</v>
      </c>
      <c r="D553">
        <v>0</v>
      </c>
      <c r="E553">
        <v>0</v>
      </c>
      <c r="F553">
        <v>2400</v>
      </c>
      <c r="G553">
        <v>1320.3895264</v>
      </c>
      <c r="H553">
        <v>1308.1831055</v>
      </c>
      <c r="I553">
        <v>1354.0532227000001</v>
      </c>
      <c r="J553">
        <v>1345.7587891000001</v>
      </c>
      <c r="K553">
        <v>80</v>
      </c>
      <c r="L553">
        <v>59.773483276</v>
      </c>
      <c r="M553">
        <v>50</v>
      </c>
      <c r="N553">
        <v>49.919235229000002</v>
      </c>
    </row>
    <row r="554" spans="1:14" x14ac:dyDescent="0.25">
      <c r="A554">
        <v>365.00000399999999</v>
      </c>
      <c r="B554" s="1">
        <f>DATE(2011,5,1) + TIME(0,0,0)</f>
        <v>40664</v>
      </c>
      <c r="C554">
        <v>2400</v>
      </c>
      <c r="D554">
        <v>0</v>
      </c>
      <c r="E554">
        <v>0</v>
      </c>
      <c r="F554">
        <v>2400</v>
      </c>
      <c r="G554">
        <v>1321.6325684000001</v>
      </c>
      <c r="H554">
        <v>1309.6995850000001</v>
      </c>
      <c r="I554">
        <v>1352.8878173999999</v>
      </c>
      <c r="J554">
        <v>1344.5924072</v>
      </c>
      <c r="K554">
        <v>80</v>
      </c>
      <c r="L554">
        <v>59.773735045999999</v>
      </c>
      <c r="M554">
        <v>50</v>
      </c>
      <c r="N554">
        <v>49.919086456000002</v>
      </c>
    </row>
    <row r="555" spans="1:14" x14ac:dyDescent="0.25">
      <c r="A555">
        <v>365.00001300000002</v>
      </c>
      <c r="B555" s="1">
        <f>DATE(2011,5,1) + TIME(0,0,1)</f>
        <v>40664.000011574077</v>
      </c>
      <c r="C555">
        <v>2400</v>
      </c>
      <c r="D555">
        <v>0</v>
      </c>
      <c r="E555">
        <v>0</v>
      </c>
      <c r="F555">
        <v>2400</v>
      </c>
      <c r="G555">
        <v>1324.456543</v>
      </c>
      <c r="H555">
        <v>1312.9216309000001</v>
      </c>
      <c r="I555">
        <v>1350.2728271000001</v>
      </c>
      <c r="J555">
        <v>1341.9760742000001</v>
      </c>
      <c r="K555">
        <v>80</v>
      </c>
      <c r="L555">
        <v>59.774311066000003</v>
      </c>
      <c r="M555">
        <v>50</v>
      </c>
      <c r="N555">
        <v>49.918758392000001</v>
      </c>
    </row>
    <row r="556" spans="1:14" x14ac:dyDescent="0.25">
      <c r="A556">
        <v>365.00004000000001</v>
      </c>
      <c r="B556" s="1">
        <f>DATE(2011,5,1) + TIME(0,0,3)</f>
        <v>40664.000034722223</v>
      </c>
      <c r="C556">
        <v>2400</v>
      </c>
      <c r="D556">
        <v>0</v>
      </c>
      <c r="E556">
        <v>0</v>
      </c>
      <c r="F556">
        <v>2400</v>
      </c>
      <c r="G556">
        <v>1329.3220214999999</v>
      </c>
      <c r="H556">
        <v>1317.9964600000001</v>
      </c>
      <c r="I556">
        <v>1345.9000243999999</v>
      </c>
      <c r="J556">
        <v>1337.6044922000001</v>
      </c>
      <c r="K556">
        <v>80</v>
      </c>
      <c r="L556">
        <v>59.775432586999997</v>
      </c>
      <c r="M556">
        <v>50</v>
      </c>
      <c r="N556">
        <v>49.918205260999997</v>
      </c>
    </row>
    <row r="557" spans="1:14" x14ac:dyDescent="0.25">
      <c r="A557">
        <v>365.00012099999998</v>
      </c>
      <c r="B557" s="1">
        <f>DATE(2011,5,1) + TIME(0,0,10)</f>
        <v>40664.000115740739</v>
      </c>
      <c r="C557">
        <v>2400</v>
      </c>
      <c r="D557">
        <v>0</v>
      </c>
      <c r="E557">
        <v>0</v>
      </c>
      <c r="F557">
        <v>2400</v>
      </c>
      <c r="G557">
        <v>1335.503418</v>
      </c>
      <c r="H557">
        <v>1324.0776367000001</v>
      </c>
      <c r="I557">
        <v>1340.5559082</v>
      </c>
      <c r="J557">
        <v>1332.269043</v>
      </c>
      <c r="K557">
        <v>80</v>
      </c>
      <c r="L557">
        <v>59.777603149000001</v>
      </c>
      <c r="M557">
        <v>50</v>
      </c>
      <c r="N557">
        <v>49.917518616000002</v>
      </c>
    </row>
    <row r="558" spans="1:14" x14ac:dyDescent="0.25">
      <c r="A558">
        <v>365.00036399999999</v>
      </c>
      <c r="B558" s="1">
        <f>DATE(2011,5,1) + TIME(0,0,31)</f>
        <v>40664.000358796293</v>
      </c>
      <c r="C558">
        <v>2400</v>
      </c>
      <c r="D558">
        <v>0</v>
      </c>
      <c r="E558">
        <v>0</v>
      </c>
      <c r="F558">
        <v>2400</v>
      </c>
      <c r="G558">
        <v>1342.0926514</v>
      </c>
      <c r="H558">
        <v>1330.5007324000001</v>
      </c>
      <c r="I558">
        <v>1335.041626</v>
      </c>
      <c r="J558">
        <v>1326.7692870999999</v>
      </c>
      <c r="K558">
        <v>80</v>
      </c>
      <c r="L558">
        <v>59.782623291</v>
      </c>
      <c r="M558">
        <v>50</v>
      </c>
      <c r="N558">
        <v>49.916786193999997</v>
      </c>
    </row>
    <row r="559" spans="1:14" x14ac:dyDescent="0.25">
      <c r="A559">
        <v>365.00109300000003</v>
      </c>
      <c r="B559" s="1">
        <f>DATE(2011,5,1) + TIME(0,1,34)</f>
        <v>40664.001087962963</v>
      </c>
      <c r="C559">
        <v>2400</v>
      </c>
      <c r="D559">
        <v>0</v>
      </c>
      <c r="E559">
        <v>0</v>
      </c>
      <c r="F559">
        <v>2400</v>
      </c>
      <c r="G559">
        <v>1348.9735106999999</v>
      </c>
      <c r="H559">
        <v>1337.2463379000001</v>
      </c>
      <c r="I559">
        <v>1329.4560547000001</v>
      </c>
      <c r="J559">
        <v>1321.1811522999999</v>
      </c>
      <c r="K559">
        <v>80</v>
      </c>
      <c r="L559">
        <v>59.796165465999998</v>
      </c>
      <c r="M559">
        <v>50</v>
      </c>
      <c r="N559">
        <v>49.915958404999998</v>
      </c>
    </row>
    <row r="560" spans="1:14" x14ac:dyDescent="0.25">
      <c r="A560">
        <v>365.00328000000002</v>
      </c>
      <c r="B560" s="1">
        <f>DATE(2011,5,1) + TIME(0,4,43)</f>
        <v>40664.003275462965</v>
      </c>
      <c r="C560">
        <v>2400</v>
      </c>
      <c r="D560">
        <v>0</v>
      </c>
      <c r="E560">
        <v>0</v>
      </c>
      <c r="F560">
        <v>2400</v>
      </c>
      <c r="G560">
        <v>1356.1807861</v>
      </c>
      <c r="H560">
        <v>1344.3917236</v>
      </c>
      <c r="I560">
        <v>1323.6480713000001</v>
      </c>
      <c r="J560">
        <v>1315.2785644999999</v>
      </c>
      <c r="K560">
        <v>80</v>
      </c>
      <c r="L560">
        <v>59.835227965999998</v>
      </c>
      <c r="M560">
        <v>50</v>
      </c>
      <c r="N560">
        <v>49.914840697999999</v>
      </c>
    </row>
    <row r="561" spans="1:14" x14ac:dyDescent="0.25">
      <c r="A561">
        <v>365.00984099999999</v>
      </c>
      <c r="B561" s="1">
        <f>DATE(2011,5,1) + TIME(0,14,10)</f>
        <v>40664.009837962964</v>
      </c>
      <c r="C561">
        <v>2400</v>
      </c>
      <c r="D561">
        <v>0</v>
      </c>
      <c r="E561">
        <v>0</v>
      </c>
      <c r="F561">
        <v>2400</v>
      </c>
      <c r="G561">
        <v>1362.8248291</v>
      </c>
      <c r="H561">
        <v>1351.1051024999999</v>
      </c>
      <c r="I561">
        <v>1318.1097411999999</v>
      </c>
      <c r="J561">
        <v>1309.5336914</v>
      </c>
      <c r="K561">
        <v>80</v>
      </c>
      <c r="L561">
        <v>59.949348450000002</v>
      </c>
      <c r="M561">
        <v>50</v>
      </c>
      <c r="N561">
        <v>49.912960052000003</v>
      </c>
    </row>
    <row r="562" spans="1:14" x14ac:dyDescent="0.25">
      <c r="A562">
        <v>365.02952399999998</v>
      </c>
      <c r="B562" s="1">
        <f>DATE(2011,5,1) + TIME(0,42,30)</f>
        <v>40664.029513888891</v>
      </c>
      <c r="C562">
        <v>2400</v>
      </c>
      <c r="D562">
        <v>0</v>
      </c>
      <c r="E562">
        <v>0</v>
      </c>
      <c r="F562">
        <v>2400</v>
      </c>
      <c r="G562">
        <v>1367.369751</v>
      </c>
      <c r="H562">
        <v>1355.8094481999999</v>
      </c>
      <c r="I562">
        <v>1314.1500243999999</v>
      </c>
      <c r="J562">
        <v>1305.3671875</v>
      </c>
      <c r="K562">
        <v>80</v>
      </c>
      <c r="L562">
        <v>60.280921935999999</v>
      </c>
      <c r="M562">
        <v>50</v>
      </c>
      <c r="N562">
        <v>49.908885955999999</v>
      </c>
    </row>
    <row r="563" spans="1:14" x14ac:dyDescent="0.25">
      <c r="A563">
        <v>365.07304299999998</v>
      </c>
      <c r="B563" s="1">
        <f>DATE(2011,5,1) + TIME(1,45,10)</f>
        <v>40664.07303240741</v>
      </c>
      <c r="C563">
        <v>2400</v>
      </c>
      <c r="D563">
        <v>0</v>
      </c>
      <c r="E563">
        <v>0</v>
      </c>
      <c r="F563">
        <v>2400</v>
      </c>
      <c r="G563">
        <v>1369.1733397999999</v>
      </c>
      <c r="H563">
        <v>1357.7735596</v>
      </c>
      <c r="I563">
        <v>1312.5383300999999</v>
      </c>
      <c r="J563">
        <v>1303.6639404</v>
      </c>
      <c r="K563">
        <v>80</v>
      </c>
      <c r="L563">
        <v>60.984142302999999</v>
      </c>
      <c r="M563">
        <v>50</v>
      </c>
      <c r="N563">
        <v>49.900852202999999</v>
      </c>
    </row>
    <row r="564" spans="1:14" x14ac:dyDescent="0.25">
      <c r="A564">
        <v>365.11714799999999</v>
      </c>
      <c r="B564" s="1">
        <f>DATE(2011,5,1) + TIME(2,48,41)</f>
        <v>40664.1171412037</v>
      </c>
      <c r="C564">
        <v>2400</v>
      </c>
      <c r="D564">
        <v>0</v>
      </c>
      <c r="E564">
        <v>0</v>
      </c>
      <c r="F564">
        <v>2400</v>
      </c>
      <c r="G564">
        <v>1369.5909423999999</v>
      </c>
      <c r="H564">
        <v>1358.2818603999999</v>
      </c>
      <c r="I564">
        <v>1312.1977539</v>
      </c>
      <c r="J564">
        <v>1303.3026123</v>
      </c>
      <c r="K564">
        <v>80</v>
      </c>
      <c r="L564">
        <v>61.672370911000002</v>
      </c>
      <c r="M564">
        <v>50</v>
      </c>
      <c r="N564">
        <v>49.892917633000003</v>
      </c>
    </row>
    <row r="565" spans="1:14" x14ac:dyDescent="0.25">
      <c r="A565">
        <v>365.16204900000002</v>
      </c>
      <c r="B565" s="1">
        <f>DATE(2011,5,1) + TIME(3,53,21)</f>
        <v>40664.162048611113</v>
      </c>
      <c r="C565">
        <v>2400</v>
      </c>
      <c r="D565">
        <v>0</v>
      </c>
      <c r="E565">
        <v>0</v>
      </c>
      <c r="F565">
        <v>2400</v>
      </c>
      <c r="G565">
        <v>1369.6546631000001</v>
      </c>
      <c r="H565">
        <v>1358.4262695</v>
      </c>
      <c r="I565">
        <v>1312.1341553</v>
      </c>
      <c r="J565">
        <v>1303.2335204999999</v>
      </c>
      <c r="K565">
        <v>80</v>
      </c>
      <c r="L565">
        <v>62.348983765</v>
      </c>
      <c r="M565">
        <v>50</v>
      </c>
      <c r="N565">
        <v>49.884933472</v>
      </c>
    </row>
    <row r="566" spans="1:14" x14ac:dyDescent="0.25">
      <c r="A566">
        <v>365.20780500000001</v>
      </c>
      <c r="B566" s="1">
        <f>DATE(2011,5,1) + TIME(4,59,14)</f>
        <v>40664.207800925928</v>
      </c>
      <c r="C566">
        <v>2400</v>
      </c>
      <c r="D566">
        <v>0</v>
      </c>
      <c r="E566">
        <v>0</v>
      </c>
      <c r="F566">
        <v>2400</v>
      </c>
      <c r="G566">
        <v>1369.6186522999999</v>
      </c>
      <c r="H566">
        <v>1358.4660644999999</v>
      </c>
      <c r="I566">
        <v>1312.1303711</v>
      </c>
      <c r="J566">
        <v>1303.2275391000001</v>
      </c>
      <c r="K566">
        <v>80</v>
      </c>
      <c r="L566">
        <v>63.014392852999997</v>
      </c>
      <c r="M566">
        <v>50</v>
      </c>
      <c r="N566">
        <v>49.876873015999998</v>
      </c>
    </row>
    <row r="567" spans="1:14" x14ac:dyDescent="0.25">
      <c r="A567">
        <v>365.25446599999998</v>
      </c>
      <c r="B567" s="1">
        <f>DATE(2011,5,1) + TIME(6,6,25)</f>
        <v>40664.25445601852</v>
      </c>
      <c r="C567">
        <v>2400</v>
      </c>
      <c r="D567">
        <v>0</v>
      </c>
      <c r="E567">
        <v>0</v>
      </c>
      <c r="F567">
        <v>2400</v>
      </c>
      <c r="G567">
        <v>1369.5543213000001</v>
      </c>
      <c r="H567">
        <v>1358.4735106999999</v>
      </c>
      <c r="I567">
        <v>1312.1363524999999</v>
      </c>
      <c r="J567">
        <v>1303.2320557</v>
      </c>
      <c r="K567">
        <v>80</v>
      </c>
      <c r="L567">
        <v>63.668758392000001</v>
      </c>
      <c r="M567">
        <v>50</v>
      </c>
      <c r="N567">
        <v>49.868717193999998</v>
      </c>
    </row>
    <row r="568" spans="1:14" x14ac:dyDescent="0.25">
      <c r="A568">
        <v>365.30205699999999</v>
      </c>
      <c r="B568" s="1">
        <f>DATE(2011,5,1) + TIME(7,14,57)</f>
        <v>40664.302048611113</v>
      </c>
      <c r="C568">
        <v>2400</v>
      </c>
      <c r="D568">
        <v>0</v>
      </c>
      <c r="E568">
        <v>0</v>
      </c>
      <c r="F568">
        <v>2400</v>
      </c>
      <c r="G568">
        <v>1369.4840088000001</v>
      </c>
      <c r="H568">
        <v>1358.4714355000001</v>
      </c>
      <c r="I568">
        <v>1312.1416016000001</v>
      </c>
      <c r="J568">
        <v>1303.2360839999999</v>
      </c>
      <c r="K568">
        <v>80</v>
      </c>
      <c r="L568">
        <v>64.311798096000004</v>
      </c>
      <c r="M568">
        <v>50</v>
      </c>
      <c r="N568">
        <v>49.860466002999999</v>
      </c>
    </row>
    <row r="569" spans="1:14" x14ac:dyDescent="0.25">
      <c r="A569">
        <v>365.35061200000001</v>
      </c>
      <c r="B569" s="1">
        <f>DATE(2011,5,1) + TIME(8,24,52)</f>
        <v>40664.350601851853</v>
      </c>
      <c r="C569">
        <v>2400</v>
      </c>
      <c r="D569">
        <v>0</v>
      </c>
      <c r="E569">
        <v>0</v>
      </c>
      <c r="F569">
        <v>2400</v>
      </c>
      <c r="G569">
        <v>1369.4154053</v>
      </c>
      <c r="H569">
        <v>1358.4675293</v>
      </c>
      <c r="I569">
        <v>1312.1453856999999</v>
      </c>
      <c r="J569">
        <v>1303.2385254000001</v>
      </c>
      <c r="K569">
        <v>80</v>
      </c>
      <c r="L569">
        <v>64.943367003999995</v>
      </c>
      <c r="M569">
        <v>50</v>
      </c>
      <c r="N569">
        <v>49.852115630999997</v>
      </c>
    </row>
    <row r="570" spans="1:14" x14ac:dyDescent="0.25">
      <c r="A570">
        <v>365.40018400000002</v>
      </c>
      <c r="B570" s="1">
        <f>DATE(2011,5,1) + TIME(9,36,15)</f>
        <v>40664.400173611109</v>
      </c>
      <c r="C570">
        <v>2400</v>
      </c>
      <c r="D570">
        <v>0</v>
      </c>
      <c r="E570">
        <v>0</v>
      </c>
      <c r="F570">
        <v>2400</v>
      </c>
      <c r="G570">
        <v>1369.3511963000001</v>
      </c>
      <c r="H570">
        <v>1358.4647216999999</v>
      </c>
      <c r="I570">
        <v>1312.1479492000001</v>
      </c>
      <c r="J570">
        <v>1303.2397461</v>
      </c>
      <c r="K570">
        <v>80</v>
      </c>
      <c r="L570">
        <v>65.563629149999997</v>
      </c>
      <c r="M570">
        <v>50</v>
      </c>
      <c r="N570">
        <v>49.843658447000003</v>
      </c>
    </row>
    <row r="571" spans="1:14" x14ac:dyDescent="0.25">
      <c r="A571">
        <v>365.45082600000001</v>
      </c>
      <c r="B571" s="1">
        <f>DATE(2011,5,1) + TIME(10,49,11)</f>
        <v>40664.450821759259</v>
      </c>
      <c r="C571">
        <v>2400</v>
      </c>
      <c r="D571">
        <v>0</v>
      </c>
      <c r="E571">
        <v>0</v>
      </c>
      <c r="F571">
        <v>2400</v>
      </c>
      <c r="G571">
        <v>1369.2923584</v>
      </c>
      <c r="H571">
        <v>1358.4638672000001</v>
      </c>
      <c r="I571">
        <v>1312.1500243999999</v>
      </c>
      <c r="J571">
        <v>1303.2402344</v>
      </c>
      <c r="K571">
        <v>80</v>
      </c>
      <c r="L571">
        <v>66.172439574999999</v>
      </c>
      <c r="M571">
        <v>50</v>
      </c>
      <c r="N571">
        <v>49.835090637</v>
      </c>
    </row>
    <row r="572" spans="1:14" x14ac:dyDescent="0.25">
      <c r="A572">
        <v>365.50259</v>
      </c>
      <c r="B572" s="1">
        <f>DATE(2011,5,1) + TIME(12,3,43)</f>
        <v>40664.502581018518</v>
      </c>
      <c r="C572">
        <v>2400</v>
      </c>
      <c r="D572">
        <v>0</v>
      </c>
      <c r="E572">
        <v>0</v>
      </c>
      <c r="F572">
        <v>2400</v>
      </c>
      <c r="G572">
        <v>1369.2388916</v>
      </c>
      <c r="H572">
        <v>1358.4655762</v>
      </c>
      <c r="I572">
        <v>1312.1517334</v>
      </c>
      <c r="J572">
        <v>1303.2403564000001</v>
      </c>
      <c r="K572">
        <v>80</v>
      </c>
      <c r="L572">
        <v>66.769714355000005</v>
      </c>
      <c r="M572">
        <v>50</v>
      </c>
      <c r="N572">
        <v>49.826404572000001</v>
      </c>
    </row>
    <row r="573" spans="1:14" x14ac:dyDescent="0.25">
      <c r="A573">
        <v>365.55550299999999</v>
      </c>
      <c r="B573" s="1">
        <f>DATE(2011,5,1) + TIME(13,19,55)</f>
        <v>40664.555497685185</v>
      </c>
      <c r="C573">
        <v>2400</v>
      </c>
      <c r="D573">
        <v>0</v>
      </c>
      <c r="E573">
        <v>0</v>
      </c>
      <c r="F573">
        <v>2400</v>
      </c>
      <c r="G573">
        <v>1369.190918</v>
      </c>
      <c r="H573">
        <v>1358.4696045000001</v>
      </c>
      <c r="I573">
        <v>1312.1533202999999</v>
      </c>
      <c r="J573">
        <v>1303.2402344</v>
      </c>
      <c r="K573">
        <v>80</v>
      </c>
      <c r="L573">
        <v>67.355041503999999</v>
      </c>
      <c r="M573">
        <v>50</v>
      </c>
      <c r="N573">
        <v>49.817596436000002</v>
      </c>
    </row>
    <row r="574" spans="1:14" x14ac:dyDescent="0.25">
      <c r="A574">
        <v>365.60962599999999</v>
      </c>
      <c r="B574" s="1">
        <f>DATE(2011,5,1) + TIME(14,37,51)</f>
        <v>40664.609618055554</v>
      </c>
      <c r="C574">
        <v>2400</v>
      </c>
      <c r="D574">
        <v>0</v>
      </c>
      <c r="E574">
        <v>0</v>
      </c>
      <c r="F574">
        <v>2400</v>
      </c>
      <c r="G574">
        <v>1369.1481934000001</v>
      </c>
      <c r="H574">
        <v>1358.4760742000001</v>
      </c>
      <c r="I574">
        <v>1312.1549072</v>
      </c>
      <c r="J574">
        <v>1303.2401123</v>
      </c>
      <c r="K574">
        <v>80</v>
      </c>
      <c r="L574">
        <v>67.928382873999993</v>
      </c>
      <c r="M574">
        <v>50</v>
      </c>
      <c r="N574">
        <v>49.808662415000001</v>
      </c>
    </row>
    <row r="575" spans="1:14" x14ac:dyDescent="0.25">
      <c r="A575">
        <v>365.66502300000002</v>
      </c>
      <c r="B575" s="1">
        <f>DATE(2011,5,1) + TIME(15,57,37)</f>
        <v>40664.665011574078</v>
      </c>
      <c r="C575">
        <v>2400</v>
      </c>
      <c r="D575">
        <v>0</v>
      </c>
      <c r="E575">
        <v>0</v>
      </c>
      <c r="F575">
        <v>2400</v>
      </c>
      <c r="G575">
        <v>1369.1103516000001</v>
      </c>
      <c r="H575">
        <v>1358.4847411999999</v>
      </c>
      <c r="I575">
        <v>1312.1564940999999</v>
      </c>
      <c r="J575">
        <v>1303.2398682</v>
      </c>
      <c r="K575">
        <v>80</v>
      </c>
      <c r="L575">
        <v>68.489662170000003</v>
      </c>
      <c r="M575">
        <v>50</v>
      </c>
      <c r="N575">
        <v>49.799594878999997</v>
      </c>
    </row>
    <row r="576" spans="1:14" x14ac:dyDescent="0.25">
      <c r="A576">
        <v>365.72176400000001</v>
      </c>
      <c r="B576" s="1">
        <f>DATE(2011,5,1) + TIME(17,19,20)</f>
        <v>40664.721759259257</v>
      </c>
      <c r="C576">
        <v>2400</v>
      </c>
      <c r="D576">
        <v>0</v>
      </c>
      <c r="E576">
        <v>0</v>
      </c>
      <c r="F576">
        <v>2400</v>
      </c>
      <c r="G576">
        <v>1369.0772704999999</v>
      </c>
      <c r="H576">
        <v>1358.4956055</v>
      </c>
      <c r="I576">
        <v>1312.1580810999999</v>
      </c>
      <c r="J576">
        <v>1303.2395019999999</v>
      </c>
      <c r="K576">
        <v>80</v>
      </c>
      <c r="L576">
        <v>69.038810729999994</v>
      </c>
      <c r="M576">
        <v>50</v>
      </c>
      <c r="N576">
        <v>49.790382385000001</v>
      </c>
    </row>
    <row r="577" spans="1:14" x14ac:dyDescent="0.25">
      <c r="A577">
        <v>365.779923</v>
      </c>
      <c r="B577" s="1">
        <f>DATE(2011,5,1) + TIME(18,43,5)</f>
        <v>40664.779918981483</v>
      </c>
      <c r="C577">
        <v>2400</v>
      </c>
      <c r="D577">
        <v>0</v>
      </c>
      <c r="E577">
        <v>0</v>
      </c>
      <c r="F577">
        <v>2400</v>
      </c>
      <c r="G577">
        <v>1369.0485839999999</v>
      </c>
      <c r="H577">
        <v>1358.5083007999999</v>
      </c>
      <c r="I577">
        <v>1312.1595459</v>
      </c>
      <c r="J577">
        <v>1303.2390137</v>
      </c>
      <c r="K577">
        <v>80</v>
      </c>
      <c r="L577">
        <v>69.575729370000005</v>
      </c>
      <c r="M577">
        <v>50</v>
      </c>
      <c r="N577">
        <v>49.781021117999998</v>
      </c>
    </row>
    <row r="578" spans="1:14" x14ac:dyDescent="0.25">
      <c r="A578">
        <v>365.83957299999997</v>
      </c>
      <c r="B578" s="1">
        <f>DATE(2011,5,1) + TIME(20,8,59)</f>
        <v>40664.839571759258</v>
      </c>
      <c r="C578">
        <v>2400</v>
      </c>
      <c r="D578">
        <v>0</v>
      </c>
      <c r="E578">
        <v>0</v>
      </c>
      <c r="F578">
        <v>2400</v>
      </c>
      <c r="G578">
        <v>1369.0241699000001</v>
      </c>
      <c r="H578">
        <v>1358.5228271000001</v>
      </c>
      <c r="I578">
        <v>1312.1611327999999</v>
      </c>
      <c r="J578">
        <v>1303.2385254000001</v>
      </c>
      <c r="K578">
        <v>80</v>
      </c>
      <c r="L578">
        <v>70.100189209000007</v>
      </c>
      <c r="M578">
        <v>50</v>
      </c>
      <c r="N578">
        <v>49.771499634000001</v>
      </c>
    </row>
    <row r="579" spans="1:14" x14ac:dyDescent="0.25">
      <c r="A579">
        <v>365.90076399999998</v>
      </c>
      <c r="B579" s="1">
        <f>DATE(2011,5,1) + TIME(21,37,6)</f>
        <v>40664.900763888887</v>
      </c>
      <c r="C579">
        <v>2400</v>
      </c>
      <c r="D579">
        <v>0</v>
      </c>
      <c r="E579">
        <v>0</v>
      </c>
      <c r="F579">
        <v>2400</v>
      </c>
      <c r="G579">
        <v>1369.0036620999999</v>
      </c>
      <c r="H579">
        <v>1358.5390625</v>
      </c>
      <c r="I579">
        <v>1312.1627197</v>
      </c>
      <c r="J579">
        <v>1303.2380370999999</v>
      </c>
      <c r="K579">
        <v>80</v>
      </c>
      <c r="L579">
        <v>70.611579895000006</v>
      </c>
      <c r="M579">
        <v>50</v>
      </c>
      <c r="N579">
        <v>49.761817932</v>
      </c>
    </row>
    <row r="580" spans="1:14" x14ac:dyDescent="0.25">
      <c r="A580">
        <v>365.96358400000003</v>
      </c>
      <c r="B580" s="1">
        <f>DATE(2011,5,1) + TIME(23,7,33)</f>
        <v>40664.963576388887</v>
      </c>
      <c r="C580">
        <v>2400</v>
      </c>
      <c r="D580">
        <v>0</v>
      </c>
      <c r="E580">
        <v>0</v>
      </c>
      <c r="F580">
        <v>2400</v>
      </c>
      <c r="G580">
        <v>1368.9869385</v>
      </c>
      <c r="H580">
        <v>1358.5568848</v>
      </c>
      <c r="I580">
        <v>1312.1644286999999</v>
      </c>
      <c r="J580">
        <v>1303.2374268000001</v>
      </c>
      <c r="K580">
        <v>80</v>
      </c>
      <c r="L580">
        <v>71.110092163000004</v>
      </c>
      <c r="M580">
        <v>50</v>
      </c>
      <c r="N580">
        <v>49.751960754000002</v>
      </c>
    </row>
    <row r="581" spans="1:14" x14ac:dyDescent="0.25">
      <c r="A581">
        <v>366.02812599999999</v>
      </c>
      <c r="B581" s="1">
        <f>DATE(2011,5,2) + TIME(0,40,30)</f>
        <v>40665.028124999997</v>
      </c>
      <c r="C581">
        <v>2400</v>
      </c>
      <c r="D581">
        <v>0</v>
      </c>
      <c r="E581">
        <v>0</v>
      </c>
      <c r="F581">
        <v>2400</v>
      </c>
      <c r="G581">
        <v>1368.9737548999999</v>
      </c>
      <c r="H581">
        <v>1358.5759277</v>
      </c>
      <c r="I581">
        <v>1312.1660156</v>
      </c>
      <c r="J581">
        <v>1303.2368164</v>
      </c>
      <c r="K581">
        <v>80</v>
      </c>
      <c r="L581">
        <v>71.595603943</v>
      </c>
      <c r="M581">
        <v>50</v>
      </c>
      <c r="N581">
        <v>49.741924286</v>
      </c>
    </row>
    <row r="582" spans="1:14" x14ac:dyDescent="0.25">
      <c r="A582">
        <v>366.09448600000002</v>
      </c>
      <c r="B582" s="1">
        <f>DATE(2011,5,2) + TIME(2,16,3)</f>
        <v>40665.09447916667</v>
      </c>
      <c r="C582">
        <v>2400</v>
      </c>
      <c r="D582">
        <v>0</v>
      </c>
      <c r="E582">
        <v>0</v>
      </c>
      <c r="F582">
        <v>2400</v>
      </c>
      <c r="G582">
        <v>1368.9636230000001</v>
      </c>
      <c r="H582">
        <v>1358.5961914</v>
      </c>
      <c r="I582">
        <v>1312.1676024999999</v>
      </c>
      <c r="J582">
        <v>1303.2360839999999</v>
      </c>
      <c r="K582">
        <v>80</v>
      </c>
      <c r="L582">
        <v>72.067970275999997</v>
      </c>
      <c r="M582">
        <v>50</v>
      </c>
      <c r="N582">
        <v>49.731693268000001</v>
      </c>
    </row>
    <row r="583" spans="1:14" x14ac:dyDescent="0.25">
      <c r="A583">
        <v>366.16276499999998</v>
      </c>
      <c r="B583" s="1">
        <f>DATE(2011,5,2) + TIME(3,54,22)</f>
        <v>40665.162754629629</v>
      </c>
      <c r="C583">
        <v>2400</v>
      </c>
      <c r="D583">
        <v>0</v>
      </c>
      <c r="E583">
        <v>0</v>
      </c>
      <c r="F583">
        <v>2400</v>
      </c>
      <c r="G583">
        <v>1368.9566649999999</v>
      </c>
      <c r="H583">
        <v>1358.6175536999999</v>
      </c>
      <c r="I583">
        <v>1312.1691894999999</v>
      </c>
      <c r="J583">
        <v>1303.2353516000001</v>
      </c>
      <c r="K583">
        <v>80</v>
      </c>
      <c r="L583">
        <v>72.527015685999999</v>
      </c>
      <c r="M583">
        <v>50</v>
      </c>
      <c r="N583">
        <v>49.721256255999997</v>
      </c>
    </row>
    <row r="584" spans="1:14" x14ac:dyDescent="0.25">
      <c r="A584">
        <v>366.23308700000001</v>
      </c>
      <c r="B584" s="1">
        <f>DATE(2011,5,2) + TIME(5,35,38)</f>
        <v>40665.233078703706</v>
      </c>
      <c r="C584">
        <v>2400</v>
      </c>
      <c r="D584">
        <v>0</v>
      </c>
      <c r="E584">
        <v>0</v>
      </c>
      <c r="F584">
        <v>2400</v>
      </c>
      <c r="G584">
        <v>1368.9523925999999</v>
      </c>
      <c r="H584">
        <v>1358.6397704999999</v>
      </c>
      <c r="I584">
        <v>1312.1707764</v>
      </c>
      <c r="J584">
        <v>1303.2346190999999</v>
      </c>
      <c r="K584">
        <v>80</v>
      </c>
      <c r="L584">
        <v>72.972663878999995</v>
      </c>
      <c r="M584">
        <v>50</v>
      </c>
      <c r="N584">
        <v>49.710605620999999</v>
      </c>
    </row>
    <row r="585" spans="1:14" x14ac:dyDescent="0.25">
      <c r="A585">
        <v>366.30557800000003</v>
      </c>
      <c r="B585" s="1">
        <f>DATE(2011,5,2) + TIME(7,20,1)</f>
        <v>40665.305567129632</v>
      </c>
      <c r="C585">
        <v>2400</v>
      </c>
      <c r="D585">
        <v>0</v>
      </c>
      <c r="E585">
        <v>0</v>
      </c>
      <c r="F585">
        <v>2400</v>
      </c>
      <c r="G585">
        <v>1368.9508057</v>
      </c>
      <c r="H585">
        <v>1358.6627197</v>
      </c>
      <c r="I585">
        <v>1312.1723632999999</v>
      </c>
      <c r="J585">
        <v>1303.2337646000001</v>
      </c>
      <c r="K585">
        <v>80</v>
      </c>
      <c r="L585">
        <v>73.404785156000003</v>
      </c>
      <c r="M585">
        <v>50</v>
      </c>
      <c r="N585">
        <v>49.699722289999997</v>
      </c>
    </row>
    <row r="586" spans="1:14" x14ac:dyDescent="0.25">
      <c r="A586">
        <v>366.38037300000002</v>
      </c>
      <c r="B586" s="1">
        <f>DATE(2011,5,2) + TIME(9,7,44)</f>
        <v>40665.380370370367</v>
      </c>
      <c r="C586">
        <v>2400</v>
      </c>
      <c r="D586">
        <v>0</v>
      </c>
      <c r="E586">
        <v>0</v>
      </c>
      <c r="F586">
        <v>2400</v>
      </c>
      <c r="G586">
        <v>1368.9514160000001</v>
      </c>
      <c r="H586">
        <v>1358.6862793</v>
      </c>
      <c r="I586">
        <v>1312.1740723</v>
      </c>
      <c r="J586">
        <v>1303.2327881000001</v>
      </c>
      <c r="K586">
        <v>80</v>
      </c>
      <c r="L586">
        <v>73.823219299000002</v>
      </c>
      <c r="M586">
        <v>50</v>
      </c>
      <c r="N586">
        <v>49.688591002999999</v>
      </c>
    </row>
    <row r="587" spans="1:14" x14ac:dyDescent="0.25">
      <c r="A587">
        <v>366.45761700000003</v>
      </c>
      <c r="B587" s="1">
        <f>DATE(2011,5,2) + TIME(10,58,58)</f>
        <v>40665.457615740743</v>
      </c>
      <c r="C587">
        <v>2400</v>
      </c>
      <c r="D587">
        <v>0</v>
      </c>
      <c r="E587">
        <v>0</v>
      </c>
      <c r="F587">
        <v>2400</v>
      </c>
      <c r="G587">
        <v>1368.9542236</v>
      </c>
      <c r="H587">
        <v>1358.7104492000001</v>
      </c>
      <c r="I587">
        <v>1312.1756591999999</v>
      </c>
      <c r="J587">
        <v>1303.2319336</v>
      </c>
      <c r="K587">
        <v>80</v>
      </c>
      <c r="L587">
        <v>74.227828978999995</v>
      </c>
      <c r="M587">
        <v>50</v>
      </c>
      <c r="N587">
        <v>49.677204132</v>
      </c>
    </row>
    <row r="588" spans="1:14" x14ac:dyDescent="0.25">
      <c r="A588">
        <v>366.53746699999999</v>
      </c>
      <c r="B588" s="1">
        <f>DATE(2011,5,2) + TIME(12,53,57)</f>
        <v>40665.537465277775</v>
      </c>
      <c r="C588">
        <v>2400</v>
      </c>
      <c r="D588">
        <v>0</v>
      </c>
      <c r="E588">
        <v>0</v>
      </c>
      <c r="F588">
        <v>2400</v>
      </c>
      <c r="G588">
        <v>1368.9589844</v>
      </c>
      <c r="H588">
        <v>1358.7348632999999</v>
      </c>
      <c r="I588">
        <v>1312.1772461</v>
      </c>
      <c r="J588">
        <v>1303.2308350000001</v>
      </c>
      <c r="K588">
        <v>80</v>
      </c>
      <c r="L588">
        <v>74.618469238000003</v>
      </c>
      <c r="M588">
        <v>50</v>
      </c>
      <c r="N588">
        <v>49.665538787999999</v>
      </c>
    </row>
    <row r="589" spans="1:14" x14ac:dyDescent="0.25">
      <c r="A589">
        <v>366.62009599999999</v>
      </c>
      <c r="B589" s="1">
        <f>DATE(2011,5,2) + TIME(14,52,56)</f>
        <v>40665.620092592595</v>
      </c>
      <c r="C589">
        <v>2400</v>
      </c>
      <c r="D589">
        <v>0</v>
      </c>
      <c r="E589">
        <v>0</v>
      </c>
      <c r="F589">
        <v>2400</v>
      </c>
      <c r="G589">
        <v>1368.9654541</v>
      </c>
      <c r="H589">
        <v>1358.7593993999999</v>
      </c>
      <c r="I589">
        <v>1312.1788329999999</v>
      </c>
      <c r="J589">
        <v>1303.2298584</v>
      </c>
      <c r="K589">
        <v>80</v>
      </c>
      <c r="L589">
        <v>74.994979857999994</v>
      </c>
      <c r="M589">
        <v>50</v>
      </c>
      <c r="N589">
        <v>49.653579712000003</v>
      </c>
    </row>
    <row r="590" spans="1:14" x14ac:dyDescent="0.25">
      <c r="A590">
        <v>366.70569</v>
      </c>
      <c r="B590" s="1">
        <f>DATE(2011,5,2) + TIME(16,56,11)</f>
        <v>40665.705682870372</v>
      </c>
      <c r="C590">
        <v>2400</v>
      </c>
      <c r="D590">
        <v>0</v>
      </c>
      <c r="E590">
        <v>0</v>
      </c>
      <c r="F590">
        <v>2400</v>
      </c>
      <c r="G590">
        <v>1368.9735106999999</v>
      </c>
      <c r="H590">
        <v>1358.7840576000001</v>
      </c>
      <c r="I590">
        <v>1312.1802978999999</v>
      </c>
      <c r="J590">
        <v>1303.2287598</v>
      </c>
      <c r="K590">
        <v>80</v>
      </c>
      <c r="L590">
        <v>75.356964110999996</v>
      </c>
      <c r="M590">
        <v>50</v>
      </c>
      <c r="N590">
        <v>49.641307830999999</v>
      </c>
    </row>
    <row r="591" spans="1:14" x14ac:dyDescent="0.25">
      <c r="A591">
        <v>366.79445199999998</v>
      </c>
      <c r="B591" s="1">
        <f>DATE(2011,5,2) + TIME(19,4,0)</f>
        <v>40665.794444444444</v>
      </c>
      <c r="C591">
        <v>2400</v>
      </c>
      <c r="D591">
        <v>0</v>
      </c>
      <c r="E591">
        <v>0</v>
      </c>
      <c r="F591">
        <v>2400</v>
      </c>
      <c r="G591">
        <v>1368.9827881000001</v>
      </c>
      <c r="H591">
        <v>1358.8087158000001</v>
      </c>
      <c r="I591">
        <v>1312.1818848</v>
      </c>
      <c r="J591">
        <v>1303.2275391000001</v>
      </c>
      <c r="K591">
        <v>80</v>
      </c>
      <c r="L591">
        <v>75.704536438000005</v>
      </c>
      <c r="M591">
        <v>50</v>
      </c>
      <c r="N591">
        <v>49.628700256000002</v>
      </c>
    </row>
    <row r="592" spans="1:14" x14ac:dyDescent="0.25">
      <c r="A592">
        <v>366.88660499999997</v>
      </c>
      <c r="B592" s="1">
        <f>DATE(2011,5,2) + TIME(21,16,42)</f>
        <v>40665.886597222219</v>
      </c>
      <c r="C592">
        <v>2400</v>
      </c>
      <c r="D592">
        <v>0</v>
      </c>
      <c r="E592">
        <v>0</v>
      </c>
      <c r="F592">
        <v>2400</v>
      </c>
      <c r="G592">
        <v>1368.9930420000001</v>
      </c>
      <c r="H592">
        <v>1358.8330077999999</v>
      </c>
      <c r="I592">
        <v>1312.1833495999999</v>
      </c>
      <c r="J592">
        <v>1303.2263184000001</v>
      </c>
      <c r="K592">
        <v>80</v>
      </c>
      <c r="L592">
        <v>76.037590026999993</v>
      </c>
      <c r="M592">
        <v>50</v>
      </c>
      <c r="N592">
        <v>49.615737914999997</v>
      </c>
    </row>
    <row r="593" spans="1:14" x14ac:dyDescent="0.25">
      <c r="A593">
        <v>366.982438</v>
      </c>
      <c r="B593" s="1">
        <f>DATE(2011,5,2) + TIME(23,34,42)</f>
        <v>40665.982430555552</v>
      </c>
      <c r="C593">
        <v>2400</v>
      </c>
      <c r="D593">
        <v>0</v>
      </c>
      <c r="E593">
        <v>0</v>
      </c>
      <c r="F593">
        <v>2400</v>
      </c>
      <c r="G593">
        <v>1369.0042725000001</v>
      </c>
      <c r="H593">
        <v>1358.8569336</v>
      </c>
      <c r="I593">
        <v>1312.1848144999999</v>
      </c>
      <c r="J593">
        <v>1303.2250977000001</v>
      </c>
      <c r="K593">
        <v>80</v>
      </c>
      <c r="L593">
        <v>76.356140136999997</v>
      </c>
      <c r="M593">
        <v>50</v>
      </c>
      <c r="N593">
        <v>49.602386475000003</v>
      </c>
    </row>
    <row r="594" spans="1:14" x14ac:dyDescent="0.25">
      <c r="A594">
        <v>367.08218399999998</v>
      </c>
      <c r="B594" s="1">
        <f>DATE(2011,5,3) + TIME(1,58,20)</f>
        <v>40666.082175925927</v>
      </c>
      <c r="C594">
        <v>2400</v>
      </c>
      <c r="D594">
        <v>0</v>
      </c>
      <c r="E594">
        <v>0</v>
      </c>
      <c r="F594">
        <v>2400</v>
      </c>
      <c r="G594">
        <v>1369.0162353999999</v>
      </c>
      <c r="H594">
        <v>1358.880249</v>
      </c>
      <c r="I594">
        <v>1312.1862793</v>
      </c>
      <c r="J594">
        <v>1303.2237548999999</v>
      </c>
      <c r="K594">
        <v>80</v>
      </c>
      <c r="L594">
        <v>76.659973144999995</v>
      </c>
      <c r="M594">
        <v>50</v>
      </c>
      <c r="N594">
        <v>49.588623046999999</v>
      </c>
    </row>
    <row r="595" spans="1:14" x14ac:dyDescent="0.25">
      <c r="A595">
        <v>367.18613800000003</v>
      </c>
      <c r="B595" s="1">
        <f>DATE(2011,5,3) + TIME(4,28,2)</f>
        <v>40666.18613425926</v>
      </c>
      <c r="C595">
        <v>2400</v>
      </c>
      <c r="D595">
        <v>0</v>
      </c>
      <c r="E595">
        <v>0</v>
      </c>
      <c r="F595">
        <v>2400</v>
      </c>
      <c r="G595">
        <v>1369.0286865</v>
      </c>
      <c r="H595">
        <v>1358.9029541</v>
      </c>
      <c r="I595">
        <v>1312.1876221</v>
      </c>
      <c r="J595">
        <v>1303.2224120999999</v>
      </c>
      <c r="K595">
        <v>80</v>
      </c>
      <c r="L595">
        <v>76.948997497999997</v>
      </c>
      <c r="M595">
        <v>50</v>
      </c>
      <c r="N595">
        <v>49.574424743999998</v>
      </c>
    </row>
    <row r="596" spans="1:14" x14ac:dyDescent="0.25">
      <c r="A596">
        <v>367.29462999999998</v>
      </c>
      <c r="B596" s="1">
        <f>DATE(2011,5,3) + TIME(7,4,16)</f>
        <v>40666.294629629629</v>
      </c>
      <c r="C596">
        <v>2400</v>
      </c>
      <c r="D596">
        <v>0</v>
      </c>
      <c r="E596">
        <v>0</v>
      </c>
      <c r="F596">
        <v>2400</v>
      </c>
      <c r="G596">
        <v>1369.0413818</v>
      </c>
      <c r="H596">
        <v>1358.9249268000001</v>
      </c>
      <c r="I596">
        <v>1312.1889647999999</v>
      </c>
      <c r="J596">
        <v>1303.2209473</v>
      </c>
      <c r="K596">
        <v>80</v>
      </c>
      <c r="L596">
        <v>77.223175049000005</v>
      </c>
      <c r="M596">
        <v>50</v>
      </c>
      <c r="N596">
        <v>49.559749603</v>
      </c>
    </row>
    <row r="597" spans="1:14" x14ac:dyDescent="0.25">
      <c r="A597">
        <v>367.40802600000001</v>
      </c>
      <c r="B597" s="1">
        <f>DATE(2011,5,3) + TIME(9,47,33)</f>
        <v>40666.408020833333</v>
      </c>
      <c r="C597">
        <v>2400</v>
      </c>
      <c r="D597">
        <v>0</v>
      </c>
      <c r="E597">
        <v>0</v>
      </c>
      <c r="F597">
        <v>2400</v>
      </c>
      <c r="G597">
        <v>1369.0540771000001</v>
      </c>
      <c r="H597">
        <v>1358.9458007999999</v>
      </c>
      <c r="I597">
        <v>1312.1903076000001</v>
      </c>
      <c r="J597">
        <v>1303.2193603999999</v>
      </c>
      <c r="K597">
        <v>80</v>
      </c>
      <c r="L597">
        <v>77.482460021999998</v>
      </c>
      <c r="M597">
        <v>50</v>
      </c>
      <c r="N597">
        <v>49.544570923000002</v>
      </c>
    </row>
    <row r="598" spans="1:14" x14ac:dyDescent="0.25">
      <c r="A598">
        <v>367.52673299999998</v>
      </c>
      <c r="B598" s="1">
        <f>DATE(2011,5,3) + TIME(12,38,29)</f>
        <v>40666.526724537034</v>
      </c>
      <c r="C598">
        <v>2400</v>
      </c>
      <c r="D598">
        <v>0</v>
      </c>
      <c r="E598">
        <v>0</v>
      </c>
      <c r="F598">
        <v>2400</v>
      </c>
      <c r="G598">
        <v>1369.0665283000001</v>
      </c>
      <c r="H598">
        <v>1358.9655762</v>
      </c>
      <c r="I598">
        <v>1312.1915283000001</v>
      </c>
      <c r="J598">
        <v>1303.2177733999999</v>
      </c>
      <c r="K598">
        <v>80</v>
      </c>
      <c r="L598">
        <v>77.726867675999998</v>
      </c>
      <c r="M598">
        <v>50</v>
      </c>
      <c r="N598">
        <v>49.528839111000003</v>
      </c>
    </row>
    <row r="599" spans="1:14" x14ac:dyDescent="0.25">
      <c r="A599">
        <v>367.651208</v>
      </c>
      <c r="B599" s="1">
        <f>DATE(2011,5,3) + TIME(15,37,44)</f>
        <v>40666.651203703703</v>
      </c>
      <c r="C599">
        <v>2400</v>
      </c>
      <c r="D599">
        <v>0</v>
      </c>
      <c r="E599">
        <v>0</v>
      </c>
      <c r="F599">
        <v>2400</v>
      </c>
      <c r="G599">
        <v>1369.0787353999999</v>
      </c>
      <c r="H599">
        <v>1358.9840088000001</v>
      </c>
      <c r="I599">
        <v>1312.1926269999999</v>
      </c>
      <c r="J599">
        <v>1303.2161865</v>
      </c>
      <c r="K599">
        <v>80</v>
      </c>
      <c r="L599">
        <v>77.956428528000004</v>
      </c>
      <c r="M599">
        <v>50</v>
      </c>
      <c r="N599">
        <v>49.512516022</v>
      </c>
    </row>
    <row r="600" spans="1:14" x14ac:dyDescent="0.25">
      <c r="A600">
        <v>367.78196300000002</v>
      </c>
      <c r="B600" s="1">
        <f>DATE(2011,5,3) + TIME(18,46,1)</f>
        <v>40666.781956018516</v>
      </c>
      <c r="C600">
        <v>2400</v>
      </c>
      <c r="D600">
        <v>0</v>
      </c>
      <c r="E600">
        <v>0</v>
      </c>
      <c r="F600">
        <v>2400</v>
      </c>
      <c r="G600">
        <v>1369.0902100000001</v>
      </c>
      <c r="H600">
        <v>1359.0010986</v>
      </c>
      <c r="I600">
        <v>1312.1937256000001</v>
      </c>
      <c r="J600">
        <v>1303.2143555</v>
      </c>
      <c r="K600">
        <v>80</v>
      </c>
      <c r="L600">
        <v>78.171211243000002</v>
      </c>
      <c r="M600">
        <v>50</v>
      </c>
      <c r="N600">
        <v>49.495552062999998</v>
      </c>
    </row>
    <row r="601" spans="1:14" x14ac:dyDescent="0.25">
      <c r="A601">
        <v>367.919578</v>
      </c>
      <c r="B601" s="1">
        <f>DATE(2011,5,3) + TIME(22,4,11)</f>
        <v>40666.919571759259</v>
      </c>
      <c r="C601">
        <v>2400</v>
      </c>
      <c r="D601">
        <v>0</v>
      </c>
      <c r="E601">
        <v>0</v>
      </c>
      <c r="F601">
        <v>2400</v>
      </c>
      <c r="G601">
        <v>1369.1007079999999</v>
      </c>
      <c r="H601">
        <v>1359.0163574000001</v>
      </c>
      <c r="I601">
        <v>1312.1947021000001</v>
      </c>
      <c r="J601">
        <v>1303.2125243999999</v>
      </c>
      <c r="K601">
        <v>80</v>
      </c>
      <c r="L601">
        <v>78.371322632000002</v>
      </c>
      <c r="M601">
        <v>50</v>
      </c>
      <c r="N601">
        <v>49.477890015</v>
      </c>
    </row>
    <row r="602" spans="1:14" x14ac:dyDescent="0.25">
      <c r="A602">
        <v>368.064707</v>
      </c>
      <c r="B602" s="1">
        <f>DATE(2011,5,4) + TIME(1,33,10)</f>
        <v>40667.064699074072</v>
      </c>
      <c r="C602">
        <v>2400</v>
      </c>
      <c r="D602">
        <v>0</v>
      </c>
      <c r="E602">
        <v>0</v>
      </c>
      <c r="F602">
        <v>2400</v>
      </c>
      <c r="G602">
        <v>1369.1102295000001</v>
      </c>
      <c r="H602">
        <v>1359.0300293</v>
      </c>
      <c r="I602">
        <v>1312.1956786999999</v>
      </c>
      <c r="J602">
        <v>1303.2105713000001</v>
      </c>
      <c r="K602">
        <v>80</v>
      </c>
      <c r="L602">
        <v>78.556915282999995</v>
      </c>
      <c r="M602">
        <v>50</v>
      </c>
      <c r="N602">
        <v>49.459461212000001</v>
      </c>
    </row>
    <row r="603" spans="1:14" x14ac:dyDescent="0.25">
      <c r="A603">
        <v>368.21815099999998</v>
      </c>
      <c r="B603" s="1">
        <f>DATE(2011,5,4) + TIME(5,14,8)</f>
        <v>40667.218148148146</v>
      </c>
      <c r="C603">
        <v>2400</v>
      </c>
      <c r="D603">
        <v>0</v>
      </c>
      <c r="E603">
        <v>0</v>
      </c>
      <c r="F603">
        <v>2400</v>
      </c>
      <c r="G603">
        <v>1369.1182861</v>
      </c>
      <c r="H603">
        <v>1359.0415039</v>
      </c>
      <c r="I603">
        <v>1312.1964111</v>
      </c>
      <c r="J603">
        <v>1303.2084961</v>
      </c>
      <c r="K603">
        <v>80</v>
      </c>
      <c r="L603">
        <v>78.728225707999997</v>
      </c>
      <c r="M603">
        <v>50</v>
      </c>
      <c r="N603">
        <v>49.440196991000001</v>
      </c>
    </row>
    <row r="604" spans="1:14" x14ac:dyDescent="0.25">
      <c r="A604">
        <v>368.38079099999999</v>
      </c>
      <c r="B604" s="1">
        <f>DATE(2011,5,4) + TIME(9,8,20)</f>
        <v>40667.380787037036</v>
      </c>
      <c r="C604">
        <v>2400</v>
      </c>
      <c r="D604">
        <v>0</v>
      </c>
      <c r="E604">
        <v>0</v>
      </c>
      <c r="F604">
        <v>2400</v>
      </c>
      <c r="G604">
        <v>1369.1247559000001</v>
      </c>
      <c r="H604">
        <v>1359.0510254000001</v>
      </c>
      <c r="I604">
        <v>1312.1970214999999</v>
      </c>
      <c r="J604">
        <v>1303.2062988</v>
      </c>
      <c r="K604">
        <v>80</v>
      </c>
      <c r="L604">
        <v>78.885513306000007</v>
      </c>
      <c r="M604">
        <v>50</v>
      </c>
      <c r="N604">
        <v>49.420005797999998</v>
      </c>
    </row>
    <row r="605" spans="1:14" x14ac:dyDescent="0.25">
      <c r="A605">
        <v>368.55356399999999</v>
      </c>
      <c r="B605" s="1">
        <f>DATE(2011,5,4) + TIME(13,17,7)</f>
        <v>40667.553553240738</v>
      </c>
      <c r="C605">
        <v>2400</v>
      </c>
      <c r="D605">
        <v>0</v>
      </c>
      <c r="E605">
        <v>0</v>
      </c>
      <c r="F605">
        <v>2400</v>
      </c>
      <c r="G605">
        <v>1369.1293945</v>
      </c>
      <c r="H605">
        <v>1359.0581055</v>
      </c>
      <c r="I605">
        <v>1312.1976318</v>
      </c>
      <c r="J605">
        <v>1303.2039795000001</v>
      </c>
      <c r="K605">
        <v>80</v>
      </c>
      <c r="L605">
        <v>79.028999329000001</v>
      </c>
      <c r="M605">
        <v>50</v>
      </c>
      <c r="N605">
        <v>49.398807525999999</v>
      </c>
    </row>
    <row r="606" spans="1:14" x14ac:dyDescent="0.25">
      <c r="A606">
        <v>368.73762499999998</v>
      </c>
      <c r="B606" s="1">
        <f>DATE(2011,5,4) + TIME(17,42,10)</f>
        <v>40667.737615740742</v>
      </c>
      <c r="C606">
        <v>2400</v>
      </c>
      <c r="D606">
        <v>0</v>
      </c>
      <c r="E606">
        <v>0</v>
      </c>
      <c r="F606">
        <v>2400</v>
      </c>
      <c r="G606">
        <v>1369.1318358999999</v>
      </c>
      <c r="H606">
        <v>1359.0627440999999</v>
      </c>
      <c r="I606">
        <v>1312.1979980000001</v>
      </c>
      <c r="J606">
        <v>1303.2015381000001</v>
      </c>
      <c r="K606">
        <v>80</v>
      </c>
      <c r="L606">
        <v>79.159034728999998</v>
      </c>
      <c r="M606">
        <v>50</v>
      </c>
      <c r="N606">
        <v>49.376491547000001</v>
      </c>
    </row>
    <row r="607" spans="1:14" x14ac:dyDescent="0.25">
      <c r="A607">
        <v>368.934327</v>
      </c>
      <c r="B607" s="1">
        <f>DATE(2011,5,4) + TIME(22,25,25)</f>
        <v>40667.934317129628</v>
      </c>
      <c r="C607">
        <v>2400</v>
      </c>
      <c r="D607">
        <v>0</v>
      </c>
      <c r="E607">
        <v>0</v>
      </c>
      <c r="F607">
        <v>2400</v>
      </c>
      <c r="G607">
        <v>1369.1317139</v>
      </c>
      <c r="H607">
        <v>1359.0645752</v>
      </c>
      <c r="I607">
        <v>1312.1982422000001</v>
      </c>
      <c r="J607">
        <v>1303.1989745999999</v>
      </c>
      <c r="K607">
        <v>80</v>
      </c>
      <c r="L607">
        <v>79.276031493999994</v>
      </c>
      <c r="M607">
        <v>50</v>
      </c>
      <c r="N607">
        <v>49.352928161999998</v>
      </c>
    </row>
    <row r="608" spans="1:14" x14ac:dyDescent="0.25">
      <c r="A608">
        <v>369.13978500000002</v>
      </c>
      <c r="B608" s="1">
        <f>DATE(2011,5,5) + TIME(3,21,17)</f>
        <v>40668.139780092592</v>
      </c>
      <c r="C608">
        <v>2400</v>
      </c>
      <c r="D608">
        <v>0</v>
      </c>
      <c r="E608">
        <v>0</v>
      </c>
      <c r="F608">
        <v>2400</v>
      </c>
      <c r="G608">
        <v>1369.1300048999999</v>
      </c>
      <c r="H608">
        <v>1359.0642089999999</v>
      </c>
      <c r="I608">
        <v>1312.1982422000001</v>
      </c>
      <c r="J608">
        <v>1303.1961670000001</v>
      </c>
      <c r="K608">
        <v>80</v>
      </c>
      <c r="L608">
        <v>79.378196716000005</v>
      </c>
      <c r="M608">
        <v>50</v>
      </c>
      <c r="N608">
        <v>49.328556061</v>
      </c>
    </row>
    <row r="609" spans="1:14" x14ac:dyDescent="0.25">
      <c r="A609">
        <v>369.34815300000002</v>
      </c>
      <c r="B609" s="1">
        <f>DATE(2011,5,5) + TIME(8,21,20)</f>
        <v>40668.34814814815</v>
      </c>
      <c r="C609">
        <v>2400</v>
      </c>
      <c r="D609">
        <v>0</v>
      </c>
      <c r="E609">
        <v>0</v>
      </c>
      <c r="F609">
        <v>2400</v>
      </c>
      <c r="G609">
        <v>1369.1267089999999</v>
      </c>
      <c r="H609">
        <v>1359.0615233999999</v>
      </c>
      <c r="I609">
        <v>1312.1979980000001</v>
      </c>
      <c r="J609">
        <v>1303.1932373</v>
      </c>
      <c r="K609">
        <v>80</v>
      </c>
      <c r="L609">
        <v>79.464599609000004</v>
      </c>
      <c r="M609">
        <v>50</v>
      </c>
      <c r="N609">
        <v>49.304000854000002</v>
      </c>
    </row>
    <row r="610" spans="1:14" x14ac:dyDescent="0.25">
      <c r="A610">
        <v>369.55993799999999</v>
      </c>
      <c r="B610" s="1">
        <f>DATE(2011,5,5) + TIME(13,26,18)</f>
        <v>40668.559930555559</v>
      </c>
      <c r="C610">
        <v>2400</v>
      </c>
      <c r="D610">
        <v>0</v>
      </c>
      <c r="E610">
        <v>0</v>
      </c>
      <c r="F610">
        <v>2400</v>
      </c>
      <c r="G610">
        <v>1369.1202393000001</v>
      </c>
      <c r="H610">
        <v>1359.0559082</v>
      </c>
      <c r="I610">
        <v>1312.1975098</v>
      </c>
      <c r="J610">
        <v>1303.1901855000001</v>
      </c>
      <c r="K610">
        <v>80</v>
      </c>
      <c r="L610">
        <v>79.537643433</v>
      </c>
      <c r="M610">
        <v>50</v>
      </c>
      <c r="N610">
        <v>49.279209137000002</v>
      </c>
    </row>
    <row r="611" spans="1:14" x14ac:dyDescent="0.25">
      <c r="A611">
        <v>369.775284</v>
      </c>
      <c r="B611" s="1">
        <f>DATE(2011,5,5) + TIME(18,36,24)</f>
        <v>40668.775277777779</v>
      </c>
      <c r="C611">
        <v>2400</v>
      </c>
      <c r="D611">
        <v>0</v>
      </c>
      <c r="E611">
        <v>0</v>
      </c>
      <c r="F611">
        <v>2400</v>
      </c>
      <c r="G611">
        <v>1369.1109618999999</v>
      </c>
      <c r="H611">
        <v>1359.0478516000001</v>
      </c>
      <c r="I611">
        <v>1312.1968993999999</v>
      </c>
      <c r="J611">
        <v>1303.1871338000001</v>
      </c>
      <c r="K611">
        <v>80</v>
      </c>
      <c r="L611">
        <v>79.599258422999995</v>
      </c>
      <c r="M611">
        <v>50</v>
      </c>
      <c r="N611">
        <v>49.254161834999998</v>
      </c>
    </row>
    <row r="612" spans="1:14" x14ac:dyDescent="0.25">
      <c r="A612">
        <v>369.99475100000001</v>
      </c>
      <c r="B612" s="1">
        <f>DATE(2011,5,5) + TIME(23,52,26)</f>
        <v>40668.994745370372</v>
      </c>
      <c r="C612">
        <v>2400</v>
      </c>
      <c r="D612">
        <v>0</v>
      </c>
      <c r="E612">
        <v>0</v>
      </c>
      <c r="F612">
        <v>2400</v>
      </c>
      <c r="G612">
        <v>1369.098999</v>
      </c>
      <c r="H612">
        <v>1359.0372314000001</v>
      </c>
      <c r="I612">
        <v>1312.1961670000001</v>
      </c>
      <c r="J612">
        <v>1303.184082</v>
      </c>
      <c r="K612">
        <v>80</v>
      </c>
      <c r="L612">
        <v>79.651184082</v>
      </c>
      <c r="M612">
        <v>50</v>
      </c>
      <c r="N612">
        <v>49.228805542000003</v>
      </c>
    </row>
    <row r="613" spans="1:14" x14ac:dyDescent="0.25">
      <c r="A613">
        <v>370.218705</v>
      </c>
      <c r="B613" s="1">
        <f>DATE(2011,5,6) + TIME(5,14,56)</f>
        <v>40669.2187037037</v>
      </c>
      <c r="C613">
        <v>2400</v>
      </c>
      <c r="D613">
        <v>0</v>
      </c>
      <c r="E613">
        <v>0</v>
      </c>
      <c r="F613">
        <v>2400</v>
      </c>
      <c r="G613">
        <v>1369.0845947</v>
      </c>
      <c r="H613">
        <v>1359.0244141000001</v>
      </c>
      <c r="I613">
        <v>1312.1951904</v>
      </c>
      <c r="J613">
        <v>1303.1807861</v>
      </c>
      <c r="K613">
        <v>80</v>
      </c>
      <c r="L613">
        <v>79.694862365999995</v>
      </c>
      <c r="M613">
        <v>50</v>
      </c>
      <c r="N613">
        <v>49.203105927000003</v>
      </c>
    </row>
    <row r="614" spans="1:14" x14ac:dyDescent="0.25">
      <c r="A614">
        <v>370.447181</v>
      </c>
      <c r="B614" s="1">
        <f>DATE(2011,5,6) + TIME(10,43,56)</f>
        <v>40669.447175925925</v>
      </c>
      <c r="C614">
        <v>2400</v>
      </c>
      <c r="D614">
        <v>0</v>
      </c>
      <c r="E614">
        <v>0</v>
      </c>
      <c r="F614">
        <v>2400</v>
      </c>
      <c r="G614">
        <v>1369.0679932</v>
      </c>
      <c r="H614">
        <v>1359.0096435999999</v>
      </c>
      <c r="I614">
        <v>1312.1940918</v>
      </c>
      <c r="J614">
        <v>1303.1774902</v>
      </c>
      <c r="K614">
        <v>80</v>
      </c>
      <c r="L614">
        <v>79.731475829999994</v>
      </c>
      <c r="M614">
        <v>50</v>
      </c>
      <c r="N614">
        <v>49.177055359000001</v>
      </c>
    </row>
    <row r="615" spans="1:14" x14ac:dyDescent="0.25">
      <c r="A615">
        <v>370.68065100000001</v>
      </c>
      <c r="B615" s="1">
        <f>DATE(2011,5,6) + TIME(16,20,8)</f>
        <v>40669.680648148147</v>
      </c>
      <c r="C615">
        <v>2400</v>
      </c>
      <c r="D615">
        <v>0</v>
      </c>
      <c r="E615">
        <v>0</v>
      </c>
      <c r="F615">
        <v>2400</v>
      </c>
      <c r="G615">
        <v>1369.0490723</v>
      </c>
      <c r="H615">
        <v>1358.9930420000001</v>
      </c>
      <c r="I615">
        <v>1312.1928711</v>
      </c>
      <c r="J615">
        <v>1303.1741943</v>
      </c>
      <c r="K615">
        <v>80</v>
      </c>
      <c r="L615">
        <v>79.762130737000007</v>
      </c>
      <c r="M615">
        <v>50</v>
      </c>
      <c r="N615">
        <v>49.150608063</v>
      </c>
    </row>
    <row r="616" spans="1:14" x14ac:dyDescent="0.25">
      <c r="A616">
        <v>370.91962899999999</v>
      </c>
      <c r="B616" s="1">
        <f>DATE(2011,5,6) + TIME(22,4,15)</f>
        <v>40669.919618055559</v>
      </c>
      <c r="C616">
        <v>2400</v>
      </c>
      <c r="D616">
        <v>0</v>
      </c>
      <c r="E616">
        <v>0</v>
      </c>
      <c r="F616">
        <v>2400</v>
      </c>
      <c r="G616">
        <v>1369.0281981999999</v>
      </c>
      <c r="H616">
        <v>1358.9747314000001</v>
      </c>
      <c r="I616">
        <v>1312.1914062000001</v>
      </c>
      <c r="J616">
        <v>1303.1706543</v>
      </c>
      <c r="K616">
        <v>80</v>
      </c>
      <c r="L616">
        <v>79.787734985</v>
      </c>
      <c r="M616">
        <v>50</v>
      </c>
      <c r="N616">
        <v>49.123722076</v>
      </c>
    </row>
    <row r="617" spans="1:14" x14ac:dyDescent="0.25">
      <c r="A617">
        <v>371.16426999999999</v>
      </c>
      <c r="B617" s="1">
        <f>DATE(2011,5,7) + TIME(3,56,32)</f>
        <v>40670.164259259262</v>
      </c>
      <c r="C617">
        <v>2400</v>
      </c>
      <c r="D617">
        <v>0</v>
      </c>
      <c r="E617">
        <v>0</v>
      </c>
      <c r="F617">
        <v>2400</v>
      </c>
      <c r="G617">
        <v>1369.0054932</v>
      </c>
      <c r="H617">
        <v>1358.9548339999999</v>
      </c>
      <c r="I617">
        <v>1312.1898193</v>
      </c>
      <c r="J617">
        <v>1303.1671143000001</v>
      </c>
      <c r="K617">
        <v>80</v>
      </c>
      <c r="L617">
        <v>79.809059142999999</v>
      </c>
      <c r="M617">
        <v>50</v>
      </c>
      <c r="N617">
        <v>49.096378326</v>
      </c>
    </row>
    <row r="618" spans="1:14" x14ac:dyDescent="0.25">
      <c r="A618">
        <v>371.41481700000003</v>
      </c>
      <c r="B618" s="1">
        <f>DATE(2011,5,7) + TIME(9,57,20)</f>
        <v>40670.414814814816</v>
      </c>
      <c r="C618">
        <v>2400</v>
      </c>
      <c r="D618">
        <v>0</v>
      </c>
      <c r="E618">
        <v>0</v>
      </c>
      <c r="F618">
        <v>2400</v>
      </c>
      <c r="G618">
        <v>1368.980957</v>
      </c>
      <c r="H618">
        <v>1358.9334716999999</v>
      </c>
      <c r="I618">
        <v>1312.1879882999999</v>
      </c>
      <c r="J618">
        <v>1303.1634521000001</v>
      </c>
      <c r="K618">
        <v>80</v>
      </c>
      <c r="L618">
        <v>79.826759338000002</v>
      </c>
      <c r="M618">
        <v>50</v>
      </c>
      <c r="N618">
        <v>49.068557738999999</v>
      </c>
    </row>
    <row r="619" spans="1:14" x14ac:dyDescent="0.25">
      <c r="A619">
        <v>371.671852</v>
      </c>
      <c r="B619" s="1">
        <f>DATE(2011,5,7) + TIME(16,7,28)</f>
        <v>40670.671851851854</v>
      </c>
      <c r="C619">
        <v>2400</v>
      </c>
      <c r="D619">
        <v>0</v>
      </c>
      <c r="E619">
        <v>0</v>
      </c>
      <c r="F619">
        <v>2400</v>
      </c>
      <c r="G619">
        <v>1368.9548339999999</v>
      </c>
      <c r="H619">
        <v>1358.9108887</v>
      </c>
      <c r="I619">
        <v>1312.1861572</v>
      </c>
      <c r="J619">
        <v>1303.159668</v>
      </c>
      <c r="K619">
        <v>80</v>
      </c>
      <c r="L619">
        <v>79.841423035000005</v>
      </c>
      <c r="M619">
        <v>50</v>
      </c>
      <c r="N619">
        <v>49.040206908999998</v>
      </c>
    </row>
    <row r="620" spans="1:14" x14ac:dyDescent="0.25">
      <c r="A620">
        <v>371.93597999999997</v>
      </c>
      <c r="B620" s="1">
        <f>DATE(2011,5,7) + TIME(22,27,48)</f>
        <v>40670.935972222222</v>
      </c>
      <c r="C620">
        <v>2400</v>
      </c>
      <c r="D620">
        <v>0</v>
      </c>
      <c r="E620">
        <v>0</v>
      </c>
      <c r="F620">
        <v>2400</v>
      </c>
      <c r="G620">
        <v>1368.927124</v>
      </c>
      <c r="H620">
        <v>1358.8869629000001</v>
      </c>
      <c r="I620">
        <v>1312.184082</v>
      </c>
      <c r="J620">
        <v>1303.1556396000001</v>
      </c>
      <c r="K620">
        <v>80</v>
      </c>
      <c r="L620">
        <v>79.853553771999998</v>
      </c>
      <c r="M620">
        <v>50</v>
      </c>
      <c r="N620">
        <v>49.011272429999998</v>
      </c>
    </row>
    <row r="621" spans="1:14" x14ac:dyDescent="0.25">
      <c r="A621">
        <v>372.20698499999997</v>
      </c>
      <c r="B621" s="1">
        <f>DATE(2011,5,8) + TIME(4,58,3)</f>
        <v>40671.206979166665</v>
      </c>
      <c r="C621">
        <v>2400</v>
      </c>
      <c r="D621">
        <v>0</v>
      </c>
      <c r="E621">
        <v>0</v>
      </c>
      <c r="F621">
        <v>2400</v>
      </c>
      <c r="G621">
        <v>1368.8979492000001</v>
      </c>
      <c r="H621">
        <v>1358.8620605000001</v>
      </c>
      <c r="I621">
        <v>1312.1818848</v>
      </c>
      <c r="J621">
        <v>1303.1516113</v>
      </c>
      <c r="K621">
        <v>80</v>
      </c>
      <c r="L621">
        <v>79.863533020000006</v>
      </c>
      <c r="M621">
        <v>50</v>
      </c>
      <c r="N621">
        <v>48.981777190999999</v>
      </c>
    </row>
    <row r="622" spans="1:14" x14ac:dyDescent="0.25">
      <c r="A622">
        <v>372.485524</v>
      </c>
      <c r="B622" s="1">
        <f>DATE(2011,5,8) + TIME(11,39,9)</f>
        <v>40671.485520833332</v>
      </c>
      <c r="C622">
        <v>2400</v>
      </c>
      <c r="D622">
        <v>0</v>
      </c>
      <c r="E622">
        <v>0</v>
      </c>
      <c r="F622">
        <v>2400</v>
      </c>
      <c r="G622">
        <v>1368.8674315999999</v>
      </c>
      <c r="H622">
        <v>1358.8359375</v>
      </c>
      <c r="I622">
        <v>1312.1795654</v>
      </c>
      <c r="J622">
        <v>1303.1474608999999</v>
      </c>
      <c r="K622">
        <v>80</v>
      </c>
      <c r="L622">
        <v>79.871742248999993</v>
      </c>
      <c r="M622">
        <v>50</v>
      </c>
      <c r="N622">
        <v>48.951660156000003</v>
      </c>
    </row>
    <row r="623" spans="1:14" x14ac:dyDescent="0.25">
      <c r="A623">
        <v>372.77227699999997</v>
      </c>
      <c r="B623" s="1">
        <f>DATE(2011,5,8) + TIME(18,32,4)</f>
        <v>40671.772268518522</v>
      </c>
      <c r="C623">
        <v>2400</v>
      </c>
      <c r="D623">
        <v>0</v>
      </c>
      <c r="E623">
        <v>0</v>
      </c>
      <c r="F623">
        <v>2400</v>
      </c>
      <c r="G623">
        <v>1368.8356934000001</v>
      </c>
      <c r="H623">
        <v>1358.8089600000001</v>
      </c>
      <c r="I623">
        <v>1312.1770019999999</v>
      </c>
      <c r="J623">
        <v>1303.1430664</v>
      </c>
      <c r="K623">
        <v>80</v>
      </c>
      <c r="L623">
        <v>79.878463745000005</v>
      </c>
      <c r="M623">
        <v>50</v>
      </c>
      <c r="N623">
        <v>48.920864105</v>
      </c>
    </row>
    <row r="624" spans="1:14" x14ac:dyDescent="0.25">
      <c r="A624">
        <v>373.067632</v>
      </c>
      <c r="B624" s="1">
        <f>DATE(2011,5,9) + TIME(1,37,23)</f>
        <v>40672.067627314813</v>
      </c>
      <c r="C624">
        <v>2400</v>
      </c>
      <c r="D624">
        <v>0</v>
      </c>
      <c r="E624">
        <v>0</v>
      </c>
      <c r="F624">
        <v>2400</v>
      </c>
      <c r="G624">
        <v>1368.8027344</v>
      </c>
      <c r="H624">
        <v>1358.7811279</v>
      </c>
      <c r="I624">
        <v>1312.1744385</v>
      </c>
      <c r="J624">
        <v>1303.1385498</v>
      </c>
      <c r="K624">
        <v>80</v>
      </c>
      <c r="L624">
        <v>79.883972168</v>
      </c>
      <c r="M624">
        <v>50</v>
      </c>
      <c r="N624">
        <v>48.889362335000001</v>
      </c>
    </row>
    <row r="625" spans="1:14" x14ac:dyDescent="0.25">
      <c r="A625">
        <v>373.371601</v>
      </c>
      <c r="B625" s="1">
        <f>DATE(2011,5,9) + TIME(8,55,6)</f>
        <v>40672.37159722222</v>
      </c>
      <c r="C625">
        <v>2400</v>
      </c>
      <c r="D625">
        <v>0</v>
      </c>
      <c r="E625">
        <v>0</v>
      </c>
      <c r="F625">
        <v>2400</v>
      </c>
      <c r="G625">
        <v>1368.7685547000001</v>
      </c>
      <c r="H625">
        <v>1358.7523193</v>
      </c>
      <c r="I625">
        <v>1312.1715088000001</v>
      </c>
      <c r="J625">
        <v>1303.1339111</v>
      </c>
      <c r="K625">
        <v>80</v>
      </c>
      <c r="L625">
        <v>79.888458252000007</v>
      </c>
      <c r="M625">
        <v>50</v>
      </c>
      <c r="N625">
        <v>48.857151031000001</v>
      </c>
    </row>
    <row r="626" spans="1:14" x14ac:dyDescent="0.25">
      <c r="A626">
        <v>373.68496599999997</v>
      </c>
      <c r="B626" s="1">
        <f>DATE(2011,5,9) + TIME(16,26,21)</f>
        <v>40672.684965277775</v>
      </c>
      <c r="C626">
        <v>2400</v>
      </c>
      <c r="D626">
        <v>0</v>
      </c>
      <c r="E626">
        <v>0</v>
      </c>
      <c r="F626">
        <v>2400</v>
      </c>
      <c r="G626">
        <v>1368.7333983999999</v>
      </c>
      <c r="H626">
        <v>1358.7229004000001</v>
      </c>
      <c r="I626">
        <v>1312.1685791</v>
      </c>
      <c r="J626">
        <v>1303.1291504000001</v>
      </c>
      <c r="K626">
        <v>80</v>
      </c>
      <c r="L626">
        <v>79.892120360999996</v>
      </c>
      <c r="M626">
        <v>50</v>
      </c>
      <c r="N626">
        <v>48.824169159</v>
      </c>
    </row>
    <row r="627" spans="1:14" x14ac:dyDescent="0.25">
      <c r="A627">
        <v>374.008556</v>
      </c>
      <c r="B627" s="1">
        <f>DATE(2011,5,10) + TIME(0,12,19)</f>
        <v>40673.008553240739</v>
      </c>
      <c r="C627">
        <v>2400</v>
      </c>
      <c r="D627">
        <v>0</v>
      </c>
      <c r="E627">
        <v>0</v>
      </c>
      <c r="F627">
        <v>2400</v>
      </c>
      <c r="G627">
        <v>1368.6972656</v>
      </c>
      <c r="H627">
        <v>1358.6926269999999</v>
      </c>
      <c r="I627">
        <v>1312.1654053</v>
      </c>
      <c r="J627">
        <v>1303.1240233999999</v>
      </c>
      <c r="K627">
        <v>80</v>
      </c>
      <c r="L627">
        <v>79.895095824999999</v>
      </c>
      <c r="M627">
        <v>50</v>
      </c>
      <c r="N627">
        <v>48.790348053000002</v>
      </c>
    </row>
    <row r="628" spans="1:14" x14ac:dyDescent="0.25">
      <c r="A628">
        <v>374.34277500000002</v>
      </c>
      <c r="B628" s="1">
        <f>DATE(2011,5,10) + TIME(8,13,35)</f>
        <v>40673.342766203707</v>
      </c>
      <c r="C628">
        <v>2400</v>
      </c>
      <c r="D628">
        <v>0</v>
      </c>
      <c r="E628">
        <v>0</v>
      </c>
      <c r="F628">
        <v>2400</v>
      </c>
      <c r="G628">
        <v>1368.6601562000001</v>
      </c>
      <c r="H628">
        <v>1358.6617432</v>
      </c>
      <c r="I628">
        <v>1312.1621094</v>
      </c>
      <c r="J628">
        <v>1303.1187743999999</v>
      </c>
      <c r="K628">
        <v>80</v>
      </c>
      <c r="L628">
        <v>79.897521972999996</v>
      </c>
      <c r="M628">
        <v>50</v>
      </c>
      <c r="N628">
        <v>48.755653381000002</v>
      </c>
    </row>
    <row r="629" spans="1:14" x14ac:dyDescent="0.25">
      <c r="A629">
        <v>374.68758200000002</v>
      </c>
      <c r="B629" s="1">
        <f>DATE(2011,5,10) + TIME(16,30,7)</f>
        <v>40673.687581018516</v>
      </c>
      <c r="C629">
        <v>2400</v>
      </c>
      <c r="D629">
        <v>0</v>
      </c>
      <c r="E629">
        <v>0</v>
      </c>
      <c r="F629">
        <v>2400</v>
      </c>
      <c r="G629">
        <v>1368.6219481999999</v>
      </c>
      <c r="H629">
        <v>1358.6301269999999</v>
      </c>
      <c r="I629">
        <v>1312.1585693</v>
      </c>
      <c r="J629">
        <v>1303.1134033000001</v>
      </c>
      <c r="K629">
        <v>80</v>
      </c>
      <c r="L629">
        <v>79.899482727000006</v>
      </c>
      <c r="M629">
        <v>50</v>
      </c>
      <c r="N629">
        <v>48.720100403000004</v>
      </c>
    </row>
    <row r="630" spans="1:14" x14ac:dyDescent="0.25">
      <c r="A630">
        <v>375.043927</v>
      </c>
      <c r="B630" s="1">
        <f>DATE(2011,5,11) + TIME(1,3,15)</f>
        <v>40674.043923611112</v>
      </c>
      <c r="C630">
        <v>2400</v>
      </c>
      <c r="D630">
        <v>0</v>
      </c>
      <c r="E630">
        <v>0</v>
      </c>
      <c r="F630">
        <v>2400</v>
      </c>
      <c r="G630">
        <v>1368.5831298999999</v>
      </c>
      <c r="H630">
        <v>1358.5980225000001</v>
      </c>
      <c r="I630">
        <v>1312.1549072</v>
      </c>
      <c r="J630">
        <v>1303.1076660000001</v>
      </c>
      <c r="K630">
        <v>80</v>
      </c>
      <c r="L630">
        <v>79.901084900000001</v>
      </c>
      <c r="M630">
        <v>50</v>
      </c>
      <c r="N630">
        <v>48.683609009000001</v>
      </c>
    </row>
    <row r="631" spans="1:14" x14ac:dyDescent="0.25">
      <c r="A631">
        <v>375.41279800000001</v>
      </c>
      <c r="B631" s="1">
        <f>DATE(2011,5,11) + TIME(9,54,25)</f>
        <v>40674.412789351853</v>
      </c>
      <c r="C631">
        <v>2400</v>
      </c>
      <c r="D631">
        <v>0</v>
      </c>
      <c r="E631">
        <v>0</v>
      </c>
      <c r="F631">
        <v>2400</v>
      </c>
      <c r="G631">
        <v>1368.5433350000001</v>
      </c>
      <c r="H631">
        <v>1358.5651855000001</v>
      </c>
      <c r="I631">
        <v>1312.151001</v>
      </c>
      <c r="J631">
        <v>1303.1018065999999</v>
      </c>
      <c r="K631">
        <v>80</v>
      </c>
      <c r="L631">
        <v>79.902381896999998</v>
      </c>
      <c r="M631">
        <v>50</v>
      </c>
      <c r="N631">
        <v>48.646099091000004</v>
      </c>
    </row>
    <row r="632" spans="1:14" x14ac:dyDescent="0.25">
      <c r="A632">
        <v>375.79526600000003</v>
      </c>
      <c r="B632" s="1">
        <f>DATE(2011,5,11) + TIME(19,5,11)</f>
        <v>40674.795266203706</v>
      </c>
      <c r="C632">
        <v>2400</v>
      </c>
      <c r="D632">
        <v>0</v>
      </c>
      <c r="E632">
        <v>0</v>
      </c>
      <c r="F632">
        <v>2400</v>
      </c>
      <c r="G632">
        <v>1368.5026855000001</v>
      </c>
      <c r="H632">
        <v>1358.5318603999999</v>
      </c>
      <c r="I632">
        <v>1312.1468506000001</v>
      </c>
      <c r="J632">
        <v>1303.0955810999999</v>
      </c>
      <c r="K632">
        <v>80</v>
      </c>
      <c r="L632">
        <v>79.903442382999998</v>
      </c>
      <c r="M632">
        <v>50</v>
      </c>
      <c r="N632">
        <v>48.607498169000003</v>
      </c>
    </row>
    <row r="633" spans="1:14" x14ac:dyDescent="0.25">
      <c r="A633">
        <v>376.19173000000001</v>
      </c>
      <c r="B633" s="1">
        <f>DATE(2011,5,12) + TIME(4,36,5)</f>
        <v>40675.191724537035</v>
      </c>
      <c r="C633">
        <v>2400</v>
      </c>
      <c r="D633">
        <v>0</v>
      </c>
      <c r="E633">
        <v>0</v>
      </c>
      <c r="F633">
        <v>2400</v>
      </c>
      <c r="G633">
        <v>1368.4611815999999</v>
      </c>
      <c r="H633">
        <v>1358.4979248</v>
      </c>
      <c r="I633">
        <v>1312.1425781</v>
      </c>
      <c r="J633">
        <v>1303.0891113</v>
      </c>
      <c r="K633">
        <v>80</v>
      </c>
      <c r="L633">
        <v>79.904312133999994</v>
      </c>
      <c r="M633">
        <v>50</v>
      </c>
      <c r="N633">
        <v>48.567768096999998</v>
      </c>
    </row>
    <row r="634" spans="1:14" x14ac:dyDescent="0.25">
      <c r="A634">
        <v>376.59743800000001</v>
      </c>
      <c r="B634" s="1">
        <f>DATE(2011,5,12) + TIME(14,20,18)</f>
        <v>40675.597430555557</v>
      </c>
      <c r="C634">
        <v>2400</v>
      </c>
      <c r="D634">
        <v>0</v>
      </c>
      <c r="E634">
        <v>0</v>
      </c>
      <c r="F634">
        <v>2400</v>
      </c>
      <c r="G634">
        <v>1368.4190673999999</v>
      </c>
      <c r="H634">
        <v>1358.463501</v>
      </c>
      <c r="I634">
        <v>1312.1380615</v>
      </c>
      <c r="J634">
        <v>1303.0822754000001</v>
      </c>
      <c r="K634">
        <v>80</v>
      </c>
      <c r="L634">
        <v>79.905006408999995</v>
      </c>
      <c r="M634">
        <v>50</v>
      </c>
      <c r="N634">
        <v>48.527305603000002</v>
      </c>
    </row>
    <row r="635" spans="1:14" x14ac:dyDescent="0.25">
      <c r="A635">
        <v>377.008351</v>
      </c>
      <c r="B635" s="1">
        <f>DATE(2011,5,13) + TIME(0,12,1)</f>
        <v>40676.008344907408</v>
      </c>
      <c r="C635">
        <v>2400</v>
      </c>
      <c r="D635">
        <v>0</v>
      </c>
      <c r="E635">
        <v>0</v>
      </c>
      <c r="F635">
        <v>2400</v>
      </c>
      <c r="G635">
        <v>1368.3765868999999</v>
      </c>
      <c r="H635">
        <v>1358.4289550999999</v>
      </c>
      <c r="I635">
        <v>1312.1333007999999</v>
      </c>
      <c r="J635">
        <v>1303.0753173999999</v>
      </c>
      <c r="K635">
        <v>80</v>
      </c>
      <c r="L635">
        <v>79.905570983999993</v>
      </c>
      <c r="M635">
        <v>50</v>
      </c>
      <c r="N635">
        <v>48.486454010000003</v>
      </c>
    </row>
    <row r="636" spans="1:14" x14ac:dyDescent="0.25">
      <c r="A636">
        <v>377.42510800000002</v>
      </c>
      <c r="B636" s="1">
        <f>DATE(2011,5,13) + TIME(10,12,9)</f>
        <v>40676.425104166665</v>
      </c>
      <c r="C636">
        <v>2400</v>
      </c>
      <c r="D636">
        <v>0</v>
      </c>
      <c r="E636">
        <v>0</v>
      </c>
      <c r="F636">
        <v>2400</v>
      </c>
      <c r="G636">
        <v>1368.3344727000001</v>
      </c>
      <c r="H636">
        <v>1358.3947754000001</v>
      </c>
      <c r="I636">
        <v>1312.1282959</v>
      </c>
      <c r="J636">
        <v>1303.0681152</v>
      </c>
      <c r="K636">
        <v>80</v>
      </c>
      <c r="L636">
        <v>79.906021117999998</v>
      </c>
      <c r="M636">
        <v>50</v>
      </c>
      <c r="N636">
        <v>48.445178986000002</v>
      </c>
    </row>
    <row r="637" spans="1:14" x14ac:dyDescent="0.25">
      <c r="A637">
        <v>377.84876600000001</v>
      </c>
      <c r="B637" s="1">
        <f>DATE(2011,5,13) + TIME(20,22,13)</f>
        <v>40676.848761574074</v>
      </c>
      <c r="C637">
        <v>2400</v>
      </c>
      <c r="D637">
        <v>0</v>
      </c>
      <c r="E637">
        <v>0</v>
      </c>
      <c r="F637">
        <v>2400</v>
      </c>
      <c r="G637">
        <v>1368.2924805</v>
      </c>
      <c r="H637">
        <v>1358.3608397999999</v>
      </c>
      <c r="I637">
        <v>1312.1232910000001</v>
      </c>
      <c r="J637">
        <v>1303.0606689000001</v>
      </c>
      <c r="K637">
        <v>80</v>
      </c>
      <c r="L637">
        <v>79.906394958000007</v>
      </c>
      <c r="M637">
        <v>50</v>
      </c>
      <c r="N637">
        <v>48.403423308999997</v>
      </c>
    </row>
    <row r="638" spans="1:14" x14ac:dyDescent="0.25">
      <c r="A638">
        <v>378.278839</v>
      </c>
      <c r="B638" s="1">
        <f>DATE(2011,5,14) + TIME(6,41,31)</f>
        <v>40677.278831018521</v>
      </c>
      <c r="C638">
        <v>2400</v>
      </c>
      <c r="D638">
        <v>0</v>
      </c>
      <c r="E638">
        <v>0</v>
      </c>
      <c r="F638">
        <v>2400</v>
      </c>
      <c r="G638">
        <v>1368.2506103999999</v>
      </c>
      <c r="H638">
        <v>1358.3271483999999</v>
      </c>
      <c r="I638">
        <v>1312.1181641000001</v>
      </c>
      <c r="J638">
        <v>1303.0531006000001</v>
      </c>
      <c r="K638">
        <v>80</v>
      </c>
      <c r="L638">
        <v>79.906700134000005</v>
      </c>
      <c r="M638">
        <v>50</v>
      </c>
      <c r="N638">
        <v>48.361236572000003</v>
      </c>
    </row>
    <row r="639" spans="1:14" x14ac:dyDescent="0.25">
      <c r="A639">
        <v>378.71594399999998</v>
      </c>
      <c r="B639" s="1">
        <f>DATE(2011,5,14) + TIME(17,10,57)</f>
        <v>40677.715937499997</v>
      </c>
      <c r="C639">
        <v>2400</v>
      </c>
      <c r="D639">
        <v>0</v>
      </c>
      <c r="E639">
        <v>0</v>
      </c>
      <c r="F639">
        <v>2400</v>
      </c>
      <c r="G639">
        <v>1368.2091064000001</v>
      </c>
      <c r="H639">
        <v>1358.2935791</v>
      </c>
      <c r="I639">
        <v>1312.112793</v>
      </c>
      <c r="J639">
        <v>1303.0452881000001</v>
      </c>
      <c r="K639">
        <v>80</v>
      </c>
      <c r="L639">
        <v>79.906944275000001</v>
      </c>
      <c r="M639">
        <v>50</v>
      </c>
      <c r="N639">
        <v>48.318580627000003</v>
      </c>
    </row>
    <row r="640" spans="1:14" x14ac:dyDescent="0.25">
      <c r="A640">
        <v>379.161137</v>
      </c>
      <c r="B640" s="1">
        <f>DATE(2011,5,15) + TIME(3,52,2)</f>
        <v>40678.161134259259</v>
      </c>
      <c r="C640">
        <v>2400</v>
      </c>
      <c r="D640">
        <v>0</v>
      </c>
      <c r="E640">
        <v>0</v>
      </c>
      <c r="F640">
        <v>2400</v>
      </c>
      <c r="G640">
        <v>1368.1677245999999</v>
      </c>
      <c r="H640">
        <v>1358.260376</v>
      </c>
      <c r="I640">
        <v>1312.1072998</v>
      </c>
      <c r="J640">
        <v>1303.0372314000001</v>
      </c>
      <c r="K640">
        <v>80</v>
      </c>
      <c r="L640">
        <v>79.907150268999999</v>
      </c>
      <c r="M640">
        <v>50</v>
      </c>
      <c r="N640">
        <v>48.275382995999998</v>
      </c>
    </row>
    <row r="641" spans="1:14" x14ac:dyDescent="0.25">
      <c r="A641">
        <v>379.61407700000001</v>
      </c>
      <c r="B641" s="1">
        <f>DATE(2011,5,15) + TIME(14,44,16)</f>
        <v>40678.614074074074</v>
      </c>
      <c r="C641">
        <v>2400</v>
      </c>
      <c r="D641">
        <v>0</v>
      </c>
      <c r="E641">
        <v>0</v>
      </c>
      <c r="F641">
        <v>2400</v>
      </c>
      <c r="G641">
        <v>1368.1264647999999</v>
      </c>
      <c r="H641">
        <v>1358.2272949000001</v>
      </c>
      <c r="I641">
        <v>1312.1015625</v>
      </c>
      <c r="J641">
        <v>1303.0289307</v>
      </c>
      <c r="K641">
        <v>80</v>
      </c>
      <c r="L641">
        <v>79.907318114999995</v>
      </c>
      <c r="M641">
        <v>50</v>
      </c>
      <c r="N641">
        <v>48.231685638000002</v>
      </c>
    </row>
    <row r="642" spans="1:14" x14ac:dyDescent="0.25">
      <c r="A642">
        <v>380.07509399999998</v>
      </c>
      <c r="B642" s="1">
        <f>DATE(2011,5,16) + TIME(1,48,8)</f>
        <v>40679.075092592589</v>
      </c>
      <c r="C642">
        <v>2400</v>
      </c>
      <c r="D642">
        <v>0</v>
      </c>
      <c r="E642">
        <v>0</v>
      </c>
      <c r="F642">
        <v>2400</v>
      </c>
      <c r="G642">
        <v>1368.0853271000001</v>
      </c>
      <c r="H642">
        <v>1358.1943358999999</v>
      </c>
      <c r="I642">
        <v>1312.0957031</v>
      </c>
      <c r="J642">
        <v>1303.0203856999999</v>
      </c>
      <c r="K642">
        <v>80</v>
      </c>
      <c r="L642">
        <v>79.907455443999993</v>
      </c>
      <c r="M642">
        <v>50</v>
      </c>
      <c r="N642">
        <v>48.187465668000002</v>
      </c>
    </row>
    <row r="643" spans="1:14" x14ac:dyDescent="0.25">
      <c r="A643">
        <v>380.54527200000001</v>
      </c>
      <c r="B643" s="1">
        <f>DATE(2011,5,16) + TIME(13,5,11)</f>
        <v>40679.545266203706</v>
      </c>
      <c r="C643">
        <v>2400</v>
      </c>
      <c r="D643">
        <v>0</v>
      </c>
      <c r="E643">
        <v>0</v>
      </c>
      <c r="F643">
        <v>2400</v>
      </c>
      <c r="G643">
        <v>1368.0443115</v>
      </c>
      <c r="H643">
        <v>1358.1616211</v>
      </c>
      <c r="I643">
        <v>1312.0897216999999</v>
      </c>
      <c r="J643">
        <v>1303.0115966999999</v>
      </c>
      <c r="K643">
        <v>80</v>
      </c>
      <c r="L643">
        <v>79.907569885000001</v>
      </c>
      <c r="M643">
        <v>50</v>
      </c>
      <c r="N643">
        <v>48.142650604000004</v>
      </c>
    </row>
    <row r="644" spans="1:14" x14ac:dyDescent="0.25">
      <c r="A644">
        <v>381.02489000000003</v>
      </c>
      <c r="B644" s="1">
        <f>DATE(2011,5,17) + TIME(0,35,50)</f>
        <v>40680.024884259263</v>
      </c>
      <c r="C644">
        <v>2400</v>
      </c>
      <c r="D644">
        <v>0</v>
      </c>
      <c r="E644">
        <v>0</v>
      </c>
      <c r="F644">
        <v>2400</v>
      </c>
      <c r="G644">
        <v>1368.003418</v>
      </c>
      <c r="H644">
        <v>1358.1290283000001</v>
      </c>
      <c r="I644">
        <v>1312.0834961</v>
      </c>
      <c r="J644">
        <v>1303.0025635</v>
      </c>
      <c r="K644">
        <v>80</v>
      </c>
      <c r="L644">
        <v>79.907669067</v>
      </c>
      <c r="M644">
        <v>50</v>
      </c>
      <c r="N644">
        <v>48.097221374999997</v>
      </c>
    </row>
    <row r="645" spans="1:14" x14ac:dyDescent="0.25">
      <c r="A645">
        <v>381.51347600000003</v>
      </c>
      <c r="B645" s="1">
        <f>DATE(2011,5,17) + TIME(12,19,24)</f>
        <v>40680.513472222221</v>
      </c>
      <c r="C645">
        <v>2400</v>
      </c>
      <c r="D645">
        <v>0</v>
      </c>
      <c r="E645">
        <v>0</v>
      </c>
      <c r="F645">
        <v>2400</v>
      </c>
      <c r="G645">
        <v>1367.9626464999999</v>
      </c>
      <c r="H645">
        <v>1358.0965576000001</v>
      </c>
      <c r="I645">
        <v>1312.0770264</v>
      </c>
      <c r="J645">
        <v>1302.9931641000001</v>
      </c>
      <c r="K645">
        <v>80</v>
      </c>
      <c r="L645">
        <v>79.907745360999996</v>
      </c>
      <c r="M645">
        <v>50</v>
      </c>
      <c r="N645">
        <v>48.051223755000002</v>
      </c>
    </row>
    <row r="646" spans="1:14" x14ac:dyDescent="0.25">
      <c r="A646">
        <v>382.01215500000001</v>
      </c>
      <c r="B646" s="1">
        <f>DATE(2011,5,18) + TIME(0,17,30)</f>
        <v>40681.012152777781</v>
      </c>
      <c r="C646">
        <v>2400</v>
      </c>
      <c r="D646">
        <v>0</v>
      </c>
      <c r="E646">
        <v>0</v>
      </c>
      <c r="F646">
        <v>2400</v>
      </c>
      <c r="G646">
        <v>1367.921875</v>
      </c>
      <c r="H646">
        <v>1358.0642089999999</v>
      </c>
      <c r="I646">
        <v>1312.0703125</v>
      </c>
      <c r="J646">
        <v>1302.9833983999999</v>
      </c>
      <c r="K646">
        <v>80</v>
      </c>
      <c r="L646">
        <v>79.907806395999998</v>
      </c>
      <c r="M646">
        <v>50</v>
      </c>
      <c r="N646">
        <v>48.004573821999998</v>
      </c>
    </row>
    <row r="647" spans="1:14" x14ac:dyDescent="0.25">
      <c r="A647">
        <v>382.52210200000002</v>
      </c>
      <c r="B647" s="1">
        <f>DATE(2011,5,18) + TIME(12,31,49)</f>
        <v>40681.522094907406</v>
      </c>
      <c r="C647">
        <v>2400</v>
      </c>
      <c r="D647">
        <v>0</v>
      </c>
      <c r="E647">
        <v>0</v>
      </c>
      <c r="F647">
        <v>2400</v>
      </c>
      <c r="G647">
        <v>1367.8812256000001</v>
      </c>
      <c r="H647">
        <v>1358.0319824000001</v>
      </c>
      <c r="I647">
        <v>1312.0633545000001</v>
      </c>
      <c r="J647">
        <v>1302.9733887</v>
      </c>
      <c r="K647">
        <v>80</v>
      </c>
      <c r="L647">
        <v>79.907852172999995</v>
      </c>
      <c r="M647">
        <v>50</v>
      </c>
      <c r="N647">
        <v>47.957191467000001</v>
      </c>
    </row>
    <row r="648" spans="1:14" x14ac:dyDescent="0.25">
      <c r="A648">
        <v>383.042261</v>
      </c>
      <c r="B648" s="1">
        <f>DATE(2011,5,19) + TIME(1,0,51)</f>
        <v>40682.042256944442</v>
      </c>
      <c r="C648">
        <v>2400</v>
      </c>
      <c r="D648">
        <v>0</v>
      </c>
      <c r="E648">
        <v>0</v>
      </c>
      <c r="F648">
        <v>2400</v>
      </c>
      <c r="G648">
        <v>1367.8405762</v>
      </c>
      <c r="H648">
        <v>1357.9997559000001</v>
      </c>
      <c r="I648">
        <v>1312.0562743999999</v>
      </c>
      <c r="J648">
        <v>1302.9628906</v>
      </c>
      <c r="K648">
        <v>80</v>
      </c>
      <c r="L648">
        <v>79.907897949000002</v>
      </c>
      <c r="M648">
        <v>50</v>
      </c>
      <c r="N648">
        <v>47.909156799000002</v>
      </c>
    </row>
    <row r="649" spans="1:14" x14ac:dyDescent="0.25">
      <c r="A649">
        <v>383.573216</v>
      </c>
      <c r="B649" s="1">
        <f>DATE(2011,5,19) + TIME(13,45,25)</f>
        <v>40682.573206018518</v>
      </c>
      <c r="C649">
        <v>2400</v>
      </c>
      <c r="D649">
        <v>0</v>
      </c>
      <c r="E649">
        <v>0</v>
      </c>
      <c r="F649">
        <v>2400</v>
      </c>
      <c r="G649">
        <v>1367.8000488</v>
      </c>
      <c r="H649">
        <v>1357.9676514</v>
      </c>
      <c r="I649">
        <v>1312.0488281</v>
      </c>
      <c r="J649">
        <v>1302.9520264</v>
      </c>
      <c r="K649">
        <v>80</v>
      </c>
      <c r="L649">
        <v>79.907928467000005</v>
      </c>
      <c r="M649">
        <v>50</v>
      </c>
      <c r="N649">
        <v>47.860435486</v>
      </c>
    </row>
    <row r="650" spans="1:14" x14ac:dyDescent="0.25">
      <c r="A650">
        <v>384.11617899999999</v>
      </c>
      <c r="B650" s="1">
        <f>DATE(2011,5,20) + TIME(2,47,17)</f>
        <v>40683.116168981483</v>
      </c>
      <c r="C650">
        <v>2400</v>
      </c>
      <c r="D650">
        <v>0</v>
      </c>
      <c r="E650">
        <v>0</v>
      </c>
      <c r="F650">
        <v>2400</v>
      </c>
      <c r="G650">
        <v>1367.7593993999999</v>
      </c>
      <c r="H650">
        <v>1357.9355469</v>
      </c>
      <c r="I650">
        <v>1312.0410156</v>
      </c>
      <c r="J650">
        <v>1302.9407959</v>
      </c>
      <c r="K650">
        <v>80</v>
      </c>
      <c r="L650">
        <v>79.907951354999994</v>
      </c>
      <c r="M650">
        <v>50</v>
      </c>
      <c r="N650">
        <v>47.810943604000002</v>
      </c>
    </row>
    <row r="651" spans="1:14" x14ac:dyDescent="0.25">
      <c r="A651">
        <v>384.67233599999997</v>
      </c>
      <c r="B651" s="1">
        <f>DATE(2011,5,20) + TIME(16,8,9)</f>
        <v>40683.672326388885</v>
      </c>
      <c r="C651">
        <v>2400</v>
      </c>
      <c r="D651">
        <v>0</v>
      </c>
      <c r="E651">
        <v>0</v>
      </c>
      <c r="F651">
        <v>2400</v>
      </c>
      <c r="G651">
        <v>1367.7188721</v>
      </c>
      <c r="H651">
        <v>1357.9035644999999</v>
      </c>
      <c r="I651">
        <v>1312.0330810999999</v>
      </c>
      <c r="J651">
        <v>1302.9291992000001</v>
      </c>
      <c r="K651">
        <v>80</v>
      </c>
      <c r="L651">
        <v>79.907966614000003</v>
      </c>
      <c r="M651">
        <v>50</v>
      </c>
      <c r="N651">
        <v>47.760597228999998</v>
      </c>
    </row>
    <row r="652" spans="1:14" x14ac:dyDescent="0.25">
      <c r="A652">
        <v>385.24023199999999</v>
      </c>
      <c r="B652" s="1">
        <f>DATE(2011,5,21) + TIME(5,45,56)</f>
        <v>40684.240231481483</v>
      </c>
      <c r="C652">
        <v>2400</v>
      </c>
      <c r="D652">
        <v>0</v>
      </c>
      <c r="E652">
        <v>0</v>
      </c>
      <c r="F652">
        <v>2400</v>
      </c>
      <c r="G652">
        <v>1367.6782227000001</v>
      </c>
      <c r="H652">
        <v>1357.871582</v>
      </c>
      <c r="I652">
        <v>1312.0246582</v>
      </c>
      <c r="J652">
        <v>1302.9169922000001</v>
      </c>
      <c r="K652">
        <v>80</v>
      </c>
      <c r="L652">
        <v>79.907974242999998</v>
      </c>
      <c r="M652">
        <v>50</v>
      </c>
      <c r="N652">
        <v>47.709503173999998</v>
      </c>
    </row>
    <row r="653" spans="1:14" x14ac:dyDescent="0.25">
      <c r="A653">
        <v>385.82042200000001</v>
      </c>
      <c r="B653" s="1">
        <f>DATE(2011,5,21) + TIME(19,41,24)</f>
        <v>40684.820416666669</v>
      </c>
      <c r="C653">
        <v>2400</v>
      </c>
      <c r="D653">
        <v>0</v>
      </c>
      <c r="E653">
        <v>0</v>
      </c>
      <c r="F653">
        <v>2400</v>
      </c>
      <c r="G653">
        <v>1367.6374512</v>
      </c>
      <c r="H653">
        <v>1357.8394774999999</v>
      </c>
      <c r="I653">
        <v>1312.0161132999999</v>
      </c>
      <c r="J653">
        <v>1302.9044189000001</v>
      </c>
      <c r="K653">
        <v>80</v>
      </c>
      <c r="L653">
        <v>79.907981872999997</v>
      </c>
      <c r="M653">
        <v>50</v>
      </c>
      <c r="N653">
        <v>47.657630920000003</v>
      </c>
    </row>
    <row r="654" spans="1:14" x14ac:dyDescent="0.25">
      <c r="A654">
        <v>386.413951</v>
      </c>
      <c r="B654" s="1">
        <f>DATE(2011,5,22) + TIME(9,56,5)</f>
        <v>40685.413946759261</v>
      </c>
      <c r="C654">
        <v>2400</v>
      </c>
      <c r="D654">
        <v>0</v>
      </c>
      <c r="E654">
        <v>0</v>
      </c>
      <c r="F654">
        <v>2400</v>
      </c>
      <c r="G654">
        <v>1367.5968018000001</v>
      </c>
      <c r="H654">
        <v>1357.8076172000001</v>
      </c>
      <c r="I654">
        <v>1312.0070800999999</v>
      </c>
      <c r="J654">
        <v>1302.8912353999999</v>
      </c>
      <c r="K654">
        <v>80</v>
      </c>
      <c r="L654">
        <v>79.907989502000007</v>
      </c>
      <c r="M654">
        <v>50</v>
      </c>
      <c r="N654">
        <v>47.604907990000001</v>
      </c>
    </row>
    <row r="655" spans="1:14" x14ac:dyDescent="0.25">
      <c r="A655">
        <v>387.022201</v>
      </c>
      <c r="B655" s="1">
        <f>DATE(2011,5,23) + TIME(0,31,58)</f>
        <v>40686.022199074076</v>
      </c>
      <c r="C655">
        <v>2400</v>
      </c>
      <c r="D655">
        <v>0</v>
      </c>
      <c r="E655">
        <v>0</v>
      </c>
      <c r="F655">
        <v>2400</v>
      </c>
      <c r="G655">
        <v>1367.5561522999999</v>
      </c>
      <c r="H655">
        <v>1357.7756348</v>
      </c>
      <c r="I655">
        <v>1311.9976807</v>
      </c>
      <c r="J655">
        <v>1302.8776855000001</v>
      </c>
      <c r="K655">
        <v>80</v>
      </c>
      <c r="L655">
        <v>79.907989502000007</v>
      </c>
      <c r="M655">
        <v>50</v>
      </c>
      <c r="N655">
        <v>47.551250457999998</v>
      </c>
    </row>
    <row r="656" spans="1:14" x14ac:dyDescent="0.25">
      <c r="A656">
        <v>387.64700699999997</v>
      </c>
      <c r="B656" s="1">
        <f>DATE(2011,5,23) + TIME(15,31,41)</f>
        <v>40686.647002314814</v>
      </c>
      <c r="C656">
        <v>2400</v>
      </c>
      <c r="D656">
        <v>0</v>
      </c>
      <c r="E656">
        <v>0</v>
      </c>
      <c r="F656">
        <v>2400</v>
      </c>
      <c r="G656">
        <v>1367.5152588000001</v>
      </c>
      <c r="H656">
        <v>1357.7436522999999</v>
      </c>
      <c r="I656">
        <v>1311.9879149999999</v>
      </c>
      <c r="J656">
        <v>1302.8634033000001</v>
      </c>
      <c r="K656">
        <v>80</v>
      </c>
      <c r="L656">
        <v>79.907989502000007</v>
      </c>
      <c r="M656">
        <v>50</v>
      </c>
      <c r="N656">
        <v>47.496536255000002</v>
      </c>
    </row>
    <row r="657" spans="1:14" x14ac:dyDescent="0.25">
      <c r="A657">
        <v>388.28597600000001</v>
      </c>
      <c r="B657" s="1">
        <f>DATE(2011,5,24) + TIME(6,51,48)</f>
        <v>40687.28597222222</v>
      </c>
      <c r="C657">
        <v>2400</v>
      </c>
      <c r="D657">
        <v>0</v>
      </c>
      <c r="E657">
        <v>0</v>
      </c>
      <c r="F657">
        <v>2400</v>
      </c>
      <c r="G657">
        <v>1367.4741211</v>
      </c>
      <c r="H657">
        <v>1357.7114257999999</v>
      </c>
      <c r="I657">
        <v>1311.9776611</v>
      </c>
      <c r="J657">
        <v>1302.8485106999999</v>
      </c>
      <c r="K657">
        <v>80</v>
      </c>
      <c r="L657">
        <v>79.907981872999997</v>
      </c>
      <c r="M657">
        <v>50</v>
      </c>
      <c r="N657">
        <v>47.440917968999997</v>
      </c>
    </row>
    <row r="658" spans="1:14" x14ac:dyDescent="0.25">
      <c r="A658">
        <v>388.93329499999999</v>
      </c>
      <c r="B658" s="1">
        <f>DATE(2011,5,24) + TIME(22,23,56)</f>
        <v>40687.933287037034</v>
      </c>
      <c r="C658">
        <v>2400</v>
      </c>
      <c r="D658">
        <v>0</v>
      </c>
      <c r="E658">
        <v>0</v>
      </c>
      <c r="F658">
        <v>2400</v>
      </c>
      <c r="G658">
        <v>1367.4329834</v>
      </c>
      <c r="H658">
        <v>1357.6793213000001</v>
      </c>
      <c r="I658">
        <v>1311.9670410000001</v>
      </c>
      <c r="J658">
        <v>1302.8330077999999</v>
      </c>
      <c r="K658">
        <v>80</v>
      </c>
      <c r="L658">
        <v>79.907981872999997</v>
      </c>
      <c r="M658">
        <v>50</v>
      </c>
      <c r="N658">
        <v>47.384769439999999</v>
      </c>
    </row>
    <row r="659" spans="1:14" x14ac:dyDescent="0.25">
      <c r="A659">
        <v>389.59053399999999</v>
      </c>
      <c r="B659" s="1">
        <f>DATE(2011,5,25) + TIME(14,10,22)</f>
        <v>40688.590532407405</v>
      </c>
      <c r="C659">
        <v>2400</v>
      </c>
      <c r="D659">
        <v>0</v>
      </c>
      <c r="E659">
        <v>0</v>
      </c>
      <c r="F659">
        <v>2400</v>
      </c>
      <c r="G659">
        <v>1367.3922118999999</v>
      </c>
      <c r="H659">
        <v>1357.6473389</v>
      </c>
      <c r="I659">
        <v>1311.9560547000001</v>
      </c>
      <c r="J659">
        <v>1302.8168945</v>
      </c>
      <c r="K659">
        <v>80</v>
      </c>
      <c r="L659">
        <v>79.907974242999998</v>
      </c>
      <c r="M659">
        <v>50</v>
      </c>
      <c r="N659">
        <v>47.328033447000003</v>
      </c>
    </row>
    <row r="660" spans="1:14" x14ac:dyDescent="0.25">
      <c r="A660">
        <v>390.25682</v>
      </c>
      <c r="B660" s="1">
        <f>DATE(2011,5,26) + TIME(6,9,49)</f>
        <v>40689.25681712963</v>
      </c>
      <c r="C660">
        <v>2400</v>
      </c>
      <c r="D660">
        <v>0</v>
      </c>
      <c r="E660">
        <v>0</v>
      </c>
      <c r="F660">
        <v>2400</v>
      </c>
      <c r="G660">
        <v>1367.3516846</v>
      </c>
      <c r="H660">
        <v>1357.6157227000001</v>
      </c>
      <c r="I660">
        <v>1311.9447021000001</v>
      </c>
      <c r="J660">
        <v>1302.800293</v>
      </c>
      <c r="K660">
        <v>80</v>
      </c>
      <c r="L660">
        <v>79.907966614000003</v>
      </c>
      <c r="M660">
        <v>50</v>
      </c>
      <c r="N660">
        <v>47.270782470999997</v>
      </c>
    </row>
    <row r="661" spans="1:14" x14ac:dyDescent="0.25">
      <c r="A661">
        <v>390.93251800000002</v>
      </c>
      <c r="B661" s="1">
        <f>DATE(2011,5,26) + TIME(22,22,49)</f>
        <v>40689.932511574072</v>
      </c>
      <c r="C661">
        <v>2400</v>
      </c>
      <c r="D661">
        <v>0</v>
      </c>
      <c r="E661">
        <v>0</v>
      </c>
      <c r="F661">
        <v>2400</v>
      </c>
      <c r="G661">
        <v>1367.3114014</v>
      </c>
      <c r="H661">
        <v>1357.5842285000001</v>
      </c>
      <c r="I661">
        <v>1311.9328613</v>
      </c>
      <c r="J661">
        <v>1302.7830810999999</v>
      </c>
      <c r="K661">
        <v>80</v>
      </c>
      <c r="L661">
        <v>79.907958984000004</v>
      </c>
      <c r="M661">
        <v>50</v>
      </c>
      <c r="N661">
        <v>47.213016510000003</v>
      </c>
    </row>
    <row r="662" spans="1:14" x14ac:dyDescent="0.25">
      <c r="A662">
        <v>391.61909600000001</v>
      </c>
      <c r="B662" s="1">
        <f>DATE(2011,5,27) + TIME(14,51,29)</f>
        <v>40690.619085648148</v>
      </c>
      <c r="C662">
        <v>2400</v>
      </c>
      <c r="D662">
        <v>0</v>
      </c>
      <c r="E662">
        <v>0</v>
      </c>
      <c r="F662">
        <v>2400</v>
      </c>
      <c r="G662">
        <v>1367.2713623</v>
      </c>
      <c r="H662">
        <v>1357.5531006000001</v>
      </c>
      <c r="I662">
        <v>1311.9207764</v>
      </c>
      <c r="J662">
        <v>1302.7652588000001</v>
      </c>
      <c r="K662">
        <v>80</v>
      </c>
      <c r="L662">
        <v>79.907951354999994</v>
      </c>
      <c r="M662">
        <v>50</v>
      </c>
      <c r="N662">
        <v>47.154663085999999</v>
      </c>
    </row>
    <row r="663" spans="1:14" x14ac:dyDescent="0.25">
      <c r="A663">
        <v>392.317365</v>
      </c>
      <c r="B663" s="1">
        <f>DATE(2011,5,28) + TIME(7,37,0)</f>
        <v>40691.317361111112</v>
      </c>
      <c r="C663">
        <v>2400</v>
      </c>
      <c r="D663">
        <v>0</v>
      </c>
      <c r="E663">
        <v>0</v>
      </c>
      <c r="F663">
        <v>2400</v>
      </c>
      <c r="G663">
        <v>1367.2314452999999</v>
      </c>
      <c r="H663">
        <v>1357.5219727000001</v>
      </c>
      <c r="I663">
        <v>1311.9082031</v>
      </c>
      <c r="J663">
        <v>1302.7468262</v>
      </c>
      <c r="K663">
        <v>80</v>
      </c>
      <c r="L663">
        <v>79.907943725999999</v>
      </c>
      <c r="M663">
        <v>50</v>
      </c>
      <c r="N663">
        <v>47.095668793000002</v>
      </c>
    </row>
    <row r="664" spans="1:14" x14ac:dyDescent="0.25">
      <c r="A664">
        <v>393.02566100000001</v>
      </c>
      <c r="B664" s="1">
        <f>DATE(2011,5,29) + TIME(0,36,57)</f>
        <v>40692.025659722225</v>
      </c>
      <c r="C664">
        <v>2400</v>
      </c>
      <c r="D664">
        <v>0</v>
      </c>
      <c r="E664">
        <v>0</v>
      </c>
      <c r="F664">
        <v>2400</v>
      </c>
      <c r="G664">
        <v>1367.1917725000001</v>
      </c>
      <c r="H664">
        <v>1357.4910889</v>
      </c>
      <c r="I664">
        <v>1311.8951416</v>
      </c>
      <c r="J664">
        <v>1302.7277832</v>
      </c>
      <c r="K664">
        <v>80</v>
      </c>
      <c r="L664">
        <v>79.907936096</v>
      </c>
      <c r="M664">
        <v>50</v>
      </c>
      <c r="N664">
        <v>47.036144256999997</v>
      </c>
    </row>
    <row r="665" spans="1:14" x14ac:dyDescent="0.25">
      <c r="A665">
        <v>393.745386</v>
      </c>
      <c r="B665" s="1">
        <f>DATE(2011,5,29) + TIME(17,53,21)</f>
        <v>40692.745381944442</v>
      </c>
      <c r="C665">
        <v>2400</v>
      </c>
      <c r="D665">
        <v>0</v>
      </c>
      <c r="E665">
        <v>0</v>
      </c>
      <c r="F665">
        <v>2400</v>
      </c>
      <c r="G665">
        <v>1367.1522216999999</v>
      </c>
      <c r="H665">
        <v>1357.4603271000001</v>
      </c>
      <c r="I665">
        <v>1311.8815918</v>
      </c>
      <c r="J665">
        <v>1302.7078856999999</v>
      </c>
      <c r="K665">
        <v>80</v>
      </c>
      <c r="L665">
        <v>79.907928467000005</v>
      </c>
      <c r="M665">
        <v>50</v>
      </c>
      <c r="N665">
        <v>46.976005553999997</v>
      </c>
    </row>
    <row r="666" spans="1:14" x14ac:dyDescent="0.25">
      <c r="A666">
        <v>394.47794900000002</v>
      </c>
      <c r="B666" s="1">
        <f>DATE(2011,5,30) + TIME(11,28,14)</f>
        <v>40693.477939814817</v>
      </c>
      <c r="C666">
        <v>2400</v>
      </c>
      <c r="D666">
        <v>0</v>
      </c>
      <c r="E666">
        <v>0</v>
      </c>
      <c r="F666">
        <v>2400</v>
      </c>
      <c r="G666">
        <v>1367.112793</v>
      </c>
      <c r="H666">
        <v>1357.4296875</v>
      </c>
      <c r="I666">
        <v>1311.8676757999999</v>
      </c>
      <c r="J666">
        <v>1302.6873779</v>
      </c>
      <c r="K666">
        <v>80</v>
      </c>
      <c r="L666">
        <v>79.907920837000006</v>
      </c>
      <c r="M666">
        <v>50</v>
      </c>
      <c r="N666">
        <v>46.915176391999999</v>
      </c>
    </row>
    <row r="667" spans="1:14" x14ac:dyDescent="0.25">
      <c r="A667">
        <v>395.22377599999999</v>
      </c>
      <c r="B667" s="1">
        <f>DATE(2011,5,31) + TIME(5,22,14)</f>
        <v>40694.223773148151</v>
      </c>
      <c r="C667">
        <v>2400</v>
      </c>
      <c r="D667">
        <v>0</v>
      </c>
      <c r="E667">
        <v>0</v>
      </c>
      <c r="F667">
        <v>2400</v>
      </c>
      <c r="G667">
        <v>1367.0734863</v>
      </c>
      <c r="H667">
        <v>1357.3991699000001</v>
      </c>
      <c r="I667">
        <v>1311.8531493999999</v>
      </c>
      <c r="J667">
        <v>1302.6660156</v>
      </c>
      <c r="K667">
        <v>80</v>
      </c>
      <c r="L667">
        <v>79.907920837000006</v>
      </c>
      <c r="M667">
        <v>50</v>
      </c>
      <c r="N667">
        <v>46.853618621999999</v>
      </c>
    </row>
    <row r="668" spans="1:14" x14ac:dyDescent="0.25">
      <c r="A668">
        <v>395.61188800000002</v>
      </c>
      <c r="B668" s="1">
        <f>DATE(2011,5,31) + TIME(14,41,7)</f>
        <v>40694.611886574072</v>
      </c>
      <c r="C668">
        <v>2400</v>
      </c>
      <c r="D668">
        <v>0</v>
      </c>
      <c r="E668">
        <v>0</v>
      </c>
      <c r="F668">
        <v>2400</v>
      </c>
      <c r="G668">
        <v>1367.0340576000001</v>
      </c>
      <c r="H668">
        <v>1357.3685303</v>
      </c>
      <c r="I668">
        <v>1311.8371582</v>
      </c>
      <c r="J668">
        <v>1302.6455077999999</v>
      </c>
      <c r="K668">
        <v>80</v>
      </c>
      <c r="L668">
        <v>79.907905579000001</v>
      </c>
      <c r="M668">
        <v>50</v>
      </c>
      <c r="N668">
        <v>46.816463470000002</v>
      </c>
    </row>
    <row r="669" spans="1:14" x14ac:dyDescent="0.25">
      <c r="A669">
        <v>396</v>
      </c>
      <c r="B669" s="1">
        <f>DATE(2011,6,1) + TIME(0,0,0)</f>
        <v>40695</v>
      </c>
      <c r="C669">
        <v>2400</v>
      </c>
      <c r="D669">
        <v>0</v>
      </c>
      <c r="E669">
        <v>0</v>
      </c>
      <c r="F669">
        <v>2400</v>
      </c>
      <c r="G669">
        <v>1367.0137939000001</v>
      </c>
      <c r="H669">
        <v>1357.3527832</v>
      </c>
      <c r="I669">
        <v>1311.8289795000001</v>
      </c>
      <c r="J669">
        <v>1302.6330565999999</v>
      </c>
      <c r="K669">
        <v>80</v>
      </c>
      <c r="L669">
        <v>79.907890320000007</v>
      </c>
      <c r="M669">
        <v>50</v>
      </c>
      <c r="N669">
        <v>46.780239105</v>
      </c>
    </row>
    <row r="670" spans="1:14" x14ac:dyDescent="0.25">
      <c r="A670">
        <v>396.77622400000001</v>
      </c>
      <c r="B670" s="1">
        <f>DATE(2011,6,1) + TIME(18,37,45)</f>
        <v>40695.77621527778</v>
      </c>
      <c r="C670">
        <v>2400</v>
      </c>
      <c r="D670">
        <v>0</v>
      </c>
      <c r="E670">
        <v>0</v>
      </c>
      <c r="F670">
        <v>2400</v>
      </c>
      <c r="G670">
        <v>1366.9942627</v>
      </c>
      <c r="H670">
        <v>1357.3376464999999</v>
      </c>
      <c r="I670">
        <v>1311.8217772999999</v>
      </c>
      <c r="J670">
        <v>1302.6188964999999</v>
      </c>
      <c r="K670">
        <v>80</v>
      </c>
      <c r="L670">
        <v>79.907897949000002</v>
      </c>
      <c r="M670">
        <v>50</v>
      </c>
      <c r="N670">
        <v>46.719875336000001</v>
      </c>
    </row>
    <row r="671" spans="1:14" x14ac:dyDescent="0.25">
      <c r="A671">
        <v>397.56088599999998</v>
      </c>
      <c r="B671" s="1">
        <f>DATE(2011,6,2) + TIME(13,27,40)</f>
        <v>40696.560879629629</v>
      </c>
      <c r="C671">
        <v>2400</v>
      </c>
      <c r="D671">
        <v>0</v>
      </c>
      <c r="E671">
        <v>0</v>
      </c>
      <c r="F671">
        <v>2400</v>
      </c>
      <c r="G671">
        <v>1366.9550781</v>
      </c>
      <c r="H671">
        <v>1357.307251</v>
      </c>
      <c r="I671">
        <v>1311.8055420000001</v>
      </c>
      <c r="J671">
        <v>1302.5952147999999</v>
      </c>
      <c r="K671">
        <v>80</v>
      </c>
      <c r="L671">
        <v>79.907905579000001</v>
      </c>
      <c r="M671">
        <v>50</v>
      </c>
      <c r="N671">
        <v>46.658180237000003</v>
      </c>
    </row>
    <row r="672" spans="1:14" x14ac:dyDescent="0.25">
      <c r="A672">
        <v>398.36262900000003</v>
      </c>
      <c r="B672" s="1">
        <f>DATE(2011,6,3) + TIME(8,42,11)</f>
        <v>40697.362627314818</v>
      </c>
      <c r="C672">
        <v>2400</v>
      </c>
      <c r="D672">
        <v>0</v>
      </c>
      <c r="E672">
        <v>0</v>
      </c>
      <c r="F672">
        <v>2400</v>
      </c>
      <c r="G672">
        <v>1366.9160156</v>
      </c>
      <c r="H672">
        <v>1357.2769774999999</v>
      </c>
      <c r="I672">
        <v>1311.7888184000001</v>
      </c>
      <c r="J672">
        <v>1302.5705565999999</v>
      </c>
      <c r="K672">
        <v>80</v>
      </c>
      <c r="L672">
        <v>79.907905579000001</v>
      </c>
      <c r="M672">
        <v>50</v>
      </c>
      <c r="N672">
        <v>46.594959258999999</v>
      </c>
    </row>
    <row r="673" spans="1:14" x14ac:dyDescent="0.25">
      <c r="A673">
        <v>399.17650400000002</v>
      </c>
      <c r="B673" s="1">
        <f>DATE(2011,6,4) + TIME(4,14,9)</f>
        <v>40698.176493055558</v>
      </c>
      <c r="C673">
        <v>2400</v>
      </c>
      <c r="D673">
        <v>0</v>
      </c>
      <c r="E673">
        <v>0</v>
      </c>
      <c r="F673">
        <v>2400</v>
      </c>
      <c r="G673">
        <v>1366.8769531</v>
      </c>
      <c r="H673">
        <v>1357.2467041</v>
      </c>
      <c r="I673">
        <v>1311.7712402</v>
      </c>
      <c r="J673">
        <v>1302.5447998</v>
      </c>
      <c r="K673">
        <v>80</v>
      </c>
      <c r="L673">
        <v>79.907905579000001</v>
      </c>
      <c r="M673">
        <v>50</v>
      </c>
      <c r="N673">
        <v>46.530612945999998</v>
      </c>
    </row>
    <row r="674" spans="1:14" x14ac:dyDescent="0.25">
      <c r="A674">
        <v>400.00420100000002</v>
      </c>
      <c r="B674" s="1">
        <f>DATE(2011,6,5) + TIME(0,6,2)</f>
        <v>40699.004189814812</v>
      </c>
      <c r="C674">
        <v>2400</v>
      </c>
      <c r="D674">
        <v>0</v>
      </c>
      <c r="E674">
        <v>0</v>
      </c>
      <c r="F674">
        <v>2400</v>
      </c>
      <c r="G674">
        <v>1366.8380127</v>
      </c>
      <c r="H674">
        <v>1357.2165527</v>
      </c>
      <c r="I674">
        <v>1311.7530518000001</v>
      </c>
      <c r="J674">
        <v>1302.5179443</v>
      </c>
      <c r="K674">
        <v>80</v>
      </c>
      <c r="L674">
        <v>79.907905579000001</v>
      </c>
      <c r="M674">
        <v>50</v>
      </c>
      <c r="N674">
        <v>46.465194701999998</v>
      </c>
    </row>
    <row r="675" spans="1:14" x14ac:dyDescent="0.25">
      <c r="A675">
        <v>400.84801399999998</v>
      </c>
      <c r="B675" s="1">
        <f>DATE(2011,6,5) + TIME(20,21,8)</f>
        <v>40699.848009259258</v>
      </c>
      <c r="C675">
        <v>2400</v>
      </c>
      <c r="D675">
        <v>0</v>
      </c>
      <c r="E675">
        <v>0</v>
      </c>
      <c r="F675">
        <v>2400</v>
      </c>
      <c r="G675">
        <v>1366.7991943</v>
      </c>
      <c r="H675">
        <v>1357.1864014</v>
      </c>
      <c r="I675">
        <v>1311.7342529</v>
      </c>
      <c r="J675">
        <v>1302.4899902</v>
      </c>
      <c r="K675">
        <v>80</v>
      </c>
      <c r="L675">
        <v>79.907913207999997</v>
      </c>
      <c r="M675">
        <v>50</v>
      </c>
      <c r="N675">
        <v>46.398662567000002</v>
      </c>
    </row>
    <row r="676" spans="1:14" x14ac:dyDescent="0.25">
      <c r="A676">
        <v>401.71001000000001</v>
      </c>
      <c r="B676" s="1">
        <f>DATE(2011,6,6) + TIME(17,2,24)</f>
        <v>40700.71</v>
      </c>
      <c r="C676">
        <v>2400</v>
      </c>
      <c r="D676">
        <v>0</v>
      </c>
      <c r="E676">
        <v>0</v>
      </c>
      <c r="F676">
        <v>2400</v>
      </c>
      <c r="G676">
        <v>1366.7602539</v>
      </c>
      <c r="H676">
        <v>1357.15625</v>
      </c>
      <c r="I676">
        <v>1311.7145995999999</v>
      </c>
      <c r="J676">
        <v>1302.4608154</v>
      </c>
      <c r="K676">
        <v>80</v>
      </c>
      <c r="L676">
        <v>79.907913207999997</v>
      </c>
      <c r="M676">
        <v>50</v>
      </c>
      <c r="N676">
        <v>46.330951691000003</v>
      </c>
    </row>
    <row r="677" spans="1:14" x14ac:dyDescent="0.25">
      <c r="A677">
        <v>402.58908400000001</v>
      </c>
      <c r="B677" s="1">
        <f>DATE(2011,6,7) + TIME(14,8,16)</f>
        <v>40701.589074074072</v>
      </c>
      <c r="C677">
        <v>2400</v>
      </c>
      <c r="D677">
        <v>0</v>
      </c>
      <c r="E677">
        <v>0</v>
      </c>
      <c r="F677">
        <v>2400</v>
      </c>
      <c r="G677">
        <v>1366.7213135</v>
      </c>
      <c r="H677">
        <v>1357.1260986</v>
      </c>
      <c r="I677">
        <v>1311.6942139</v>
      </c>
      <c r="J677">
        <v>1302.4304199000001</v>
      </c>
      <c r="K677">
        <v>80</v>
      </c>
      <c r="L677">
        <v>79.907920837000006</v>
      </c>
      <c r="M677">
        <v>50</v>
      </c>
      <c r="N677">
        <v>46.262138366999999</v>
      </c>
    </row>
    <row r="678" spans="1:14" x14ac:dyDescent="0.25">
      <c r="A678">
        <v>403.47950700000001</v>
      </c>
      <c r="B678" s="1">
        <f>DATE(2011,6,8) + TIME(11,30,29)</f>
        <v>40702.479502314818</v>
      </c>
      <c r="C678">
        <v>2400</v>
      </c>
      <c r="D678">
        <v>0</v>
      </c>
      <c r="E678">
        <v>0</v>
      </c>
      <c r="F678">
        <v>2400</v>
      </c>
      <c r="G678">
        <v>1366.682251</v>
      </c>
      <c r="H678">
        <v>1357.0958252</v>
      </c>
      <c r="I678">
        <v>1311.6728516000001</v>
      </c>
      <c r="J678">
        <v>1302.3986815999999</v>
      </c>
      <c r="K678">
        <v>80</v>
      </c>
      <c r="L678">
        <v>79.907928467000005</v>
      </c>
      <c r="M678">
        <v>50</v>
      </c>
      <c r="N678">
        <v>46.192543030000003</v>
      </c>
    </row>
    <row r="679" spans="1:14" x14ac:dyDescent="0.25">
      <c r="A679">
        <v>404.38345900000002</v>
      </c>
      <c r="B679" s="1">
        <f>DATE(2011,6,9) + TIME(9,12,10)</f>
        <v>40703.383449074077</v>
      </c>
      <c r="C679">
        <v>2400</v>
      </c>
      <c r="D679">
        <v>0</v>
      </c>
      <c r="E679">
        <v>0</v>
      </c>
      <c r="F679">
        <v>2400</v>
      </c>
      <c r="G679">
        <v>1366.6433105000001</v>
      </c>
      <c r="H679">
        <v>1357.0656738</v>
      </c>
      <c r="I679">
        <v>1311.6508789</v>
      </c>
      <c r="J679">
        <v>1302.3658447</v>
      </c>
      <c r="K679">
        <v>80</v>
      </c>
      <c r="L679">
        <v>79.907936096</v>
      </c>
      <c r="M679">
        <v>50</v>
      </c>
      <c r="N679">
        <v>46.122116089000002</v>
      </c>
    </row>
    <row r="680" spans="1:14" x14ac:dyDescent="0.25">
      <c r="A680">
        <v>405.29938800000002</v>
      </c>
      <c r="B680" s="1">
        <f>DATE(2011,6,10) + TIME(7,11,7)</f>
        <v>40704.299386574072</v>
      </c>
      <c r="C680">
        <v>2400</v>
      </c>
      <c r="D680">
        <v>0</v>
      </c>
      <c r="E680">
        <v>0</v>
      </c>
      <c r="F680">
        <v>2400</v>
      </c>
      <c r="G680">
        <v>1366.6046143000001</v>
      </c>
      <c r="H680">
        <v>1357.0356445</v>
      </c>
      <c r="I680">
        <v>1311.6280518000001</v>
      </c>
      <c r="J680">
        <v>1302.3316649999999</v>
      </c>
      <c r="K680">
        <v>80</v>
      </c>
      <c r="L680">
        <v>79.907943725999999</v>
      </c>
      <c r="M680">
        <v>50</v>
      </c>
      <c r="N680">
        <v>46.050952911000003</v>
      </c>
    </row>
    <row r="681" spans="1:14" x14ac:dyDescent="0.25">
      <c r="A681">
        <v>406.22709200000003</v>
      </c>
      <c r="B681" s="1">
        <f>DATE(2011,6,11) + TIME(5,27,0)</f>
        <v>40705.227083333331</v>
      </c>
      <c r="C681">
        <v>2400</v>
      </c>
      <c r="D681">
        <v>0</v>
      </c>
      <c r="E681">
        <v>0</v>
      </c>
      <c r="F681">
        <v>2400</v>
      </c>
      <c r="G681">
        <v>1366.5660399999999</v>
      </c>
      <c r="H681">
        <v>1357.0058594</v>
      </c>
      <c r="I681">
        <v>1311.6043701000001</v>
      </c>
      <c r="J681">
        <v>1302.2963867000001</v>
      </c>
      <c r="K681">
        <v>80</v>
      </c>
      <c r="L681">
        <v>79.907958984000004</v>
      </c>
      <c r="M681">
        <v>50</v>
      </c>
      <c r="N681">
        <v>45.979091644</v>
      </c>
    </row>
    <row r="682" spans="1:14" x14ac:dyDescent="0.25">
      <c r="A682">
        <v>407.16866800000003</v>
      </c>
      <c r="B682" s="1">
        <f>DATE(2011,6,12) + TIME(4,2,52)</f>
        <v>40706.168657407405</v>
      </c>
      <c r="C682">
        <v>2400</v>
      </c>
      <c r="D682">
        <v>0</v>
      </c>
      <c r="E682">
        <v>0</v>
      </c>
      <c r="F682">
        <v>2400</v>
      </c>
      <c r="G682">
        <v>1366.5275879000001</v>
      </c>
      <c r="H682">
        <v>1356.9760742000001</v>
      </c>
      <c r="I682">
        <v>1311.5799560999999</v>
      </c>
      <c r="J682">
        <v>1302.2597656</v>
      </c>
      <c r="K682">
        <v>80</v>
      </c>
      <c r="L682">
        <v>79.907966614000003</v>
      </c>
      <c r="M682">
        <v>50</v>
      </c>
      <c r="N682">
        <v>45.906444550000003</v>
      </c>
    </row>
    <row r="683" spans="1:14" x14ac:dyDescent="0.25">
      <c r="A683">
        <v>408.126439</v>
      </c>
      <c r="B683" s="1">
        <f>DATE(2011,6,13) + TIME(3,2,4)</f>
        <v>40707.126435185186</v>
      </c>
      <c r="C683">
        <v>2400</v>
      </c>
      <c r="D683">
        <v>0</v>
      </c>
      <c r="E683">
        <v>0</v>
      </c>
      <c r="F683">
        <v>2400</v>
      </c>
      <c r="G683">
        <v>1366.4893798999999</v>
      </c>
      <c r="H683">
        <v>1356.9464111</v>
      </c>
      <c r="I683">
        <v>1311.5546875</v>
      </c>
      <c r="J683">
        <v>1302.2216797000001</v>
      </c>
      <c r="K683">
        <v>80</v>
      </c>
      <c r="L683">
        <v>79.907981872999997</v>
      </c>
      <c r="M683">
        <v>50</v>
      </c>
      <c r="N683">
        <v>45.832885742000002</v>
      </c>
    </row>
    <row r="684" spans="1:14" x14ac:dyDescent="0.25">
      <c r="A684">
        <v>409.09770400000002</v>
      </c>
      <c r="B684" s="1">
        <f>DATE(2011,6,14) + TIME(2,20,41)</f>
        <v>40708.097696759258</v>
      </c>
      <c r="C684">
        <v>2400</v>
      </c>
      <c r="D684">
        <v>0</v>
      </c>
      <c r="E684">
        <v>0</v>
      </c>
      <c r="F684">
        <v>2400</v>
      </c>
      <c r="G684">
        <v>1366.4510498</v>
      </c>
      <c r="H684">
        <v>1356.9167480000001</v>
      </c>
      <c r="I684">
        <v>1311.5284423999999</v>
      </c>
      <c r="J684">
        <v>1302.182251</v>
      </c>
      <c r="K684">
        <v>80</v>
      </c>
      <c r="L684">
        <v>79.907997131000002</v>
      </c>
      <c r="M684">
        <v>50</v>
      </c>
      <c r="N684">
        <v>45.758518219000003</v>
      </c>
    </row>
    <row r="685" spans="1:14" x14ac:dyDescent="0.25">
      <c r="A685">
        <v>410.08260899999999</v>
      </c>
      <c r="B685" s="1">
        <f>DATE(2011,6,15) + TIME(1,58,57)</f>
        <v>40709.082604166666</v>
      </c>
      <c r="C685">
        <v>2400</v>
      </c>
      <c r="D685">
        <v>0</v>
      </c>
      <c r="E685">
        <v>0</v>
      </c>
      <c r="F685">
        <v>2400</v>
      </c>
      <c r="G685">
        <v>1366.4129639</v>
      </c>
      <c r="H685">
        <v>1356.887207</v>
      </c>
      <c r="I685">
        <v>1311.5013428</v>
      </c>
      <c r="J685">
        <v>1302.1413574000001</v>
      </c>
      <c r="K685">
        <v>80</v>
      </c>
      <c r="L685">
        <v>79.908012389999996</v>
      </c>
      <c r="M685">
        <v>50</v>
      </c>
      <c r="N685">
        <v>45.683345795000001</v>
      </c>
    </row>
    <row r="686" spans="1:14" x14ac:dyDescent="0.25">
      <c r="A686">
        <v>411.08332300000001</v>
      </c>
      <c r="B686" s="1">
        <f>DATE(2011,6,16) + TIME(1,59,59)</f>
        <v>40710.083321759259</v>
      </c>
      <c r="C686">
        <v>2400</v>
      </c>
      <c r="D686">
        <v>0</v>
      </c>
      <c r="E686">
        <v>0</v>
      </c>
      <c r="F686">
        <v>2400</v>
      </c>
      <c r="G686">
        <v>1366.3748779</v>
      </c>
      <c r="H686">
        <v>1356.8577881000001</v>
      </c>
      <c r="I686">
        <v>1311.4732666</v>
      </c>
      <c r="J686">
        <v>1302.098999</v>
      </c>
      <c r="K686">
        <v>80</v>
      </c>
      <c r="L686">
        <v>79.908027649000005</v>
      </c>
      <c r="M686">
        <v>50</v>
      </c>
      <c r="N686">
        <v>45.607246398999997</v>
      </c>
    </row>
    <row r="687" spans="1:14" x14ac:dyDescent="0.25">
      <c r="A687">
        <v>412.101989</v>
      </c>
      <c r="B687" s="1">
        <f>DATE(2011,6,17) + TIME(2,26,51)</f>
        <v>40711.101979166669</v>
      </c>
      <c r="C687">
        <v>2400</v>
      </c>
      <c r="D687">
        <v>0</v>
      </c>
      <c r="E687">
        <v>0</v>
      </c>
      <c r="F687">
        <v>2400</v>
      </c>
      <c r="G687">
        <v>1366.3369141000001</v>
      </c>
      <c r="H687">
        <v>1356.8283690999999</v>
      </c>
      <c r="I687">
        <v>1311.4440918</v>
      </c>
      <c r="J687">
        <v>1302.0549315999999</v>
      </c>
      <c r="K687">
        <v>80</v>
      </c>
      <c r="L687">
        <v>79.908050536999994</v>
      </c>
      <c r="M687">
        <v>50</v>
      </c>
      <c r="N687">
        <v>45.530101776000002</v>
      </c>
    </row>
    <row r="688" spans="1:14" x14ac:dyDescent="0.25">
      <c r="A688">
        <v>413.13807600000001</v>
      </c>
      <c r="B688" s="1">
        <f>DATE(2011,6,18) + TIME(3,18,49)</f>
        <v>40712.138067129628</v>
      </c>
      <c r="C688">
        <v>2400</v>
      </c>
      <c r="D688">
        <v>0</v>
      </c>
      <c r="E688">
        <v>0</v>
      </c>
      <c r="F688">
        <v>2400</v>
      </c>
      <c r="G688">
        <v>1366.2988281</v>
      </c>
      <c r="H688">
        <v>1356.7988281</v>
      </c>
      <c r="I688">
        <v>1311.4139404</v>
      </c>
      <c r="J688">
        <v>1302.0091553</v>
      </c>
      <c r="K688">
        <v>80</v>
      </c>
      <c r="L688">
        <v>79.908073424999998</v>
      </c>
      <c r="M688">
        <v>50</v>
      </c>
      <c r="N688">
        <v>45.451892852999997</v>
      </c>
    </row>
    <row r="689" spans="1:14" x14ac:dyDescent="0.25">
      <c r="A689">
        <v>414.189301</v>
      </c>
      <c r="B689" s="1">
        <f>DATE(2011,6,19) + TIME(4,32,35)</f>
        <v>40713.189293981479</v>
      </c>
      <c r="C689">
        <v>2400</v>
      </c>
      <c r="D689">
        <v>0</v>
      </c>
      <c r="E689">
        <v>0</v>
      </c>
      <c r="F689">
        <v>2400</v>
      </c>
      <c r="G689">
        <v>1366.2608643000001</v>
      </c>
      <c r="H689">
        <v>1356.7692870999999</v>
      </c>
      <c r="I689">
        <v>1311.3825684000001</v>
      </c>
      <c r="J689">
        <v>1301.9616699000001</v>
      </c>
      <c r="K689">
        <v>80</v>
      </c>
      <c r="L689">
        <v>79.908096313000001</v>
      </c>
      <c r="M689">
        <v>50</v>
      </c>
      <c r="N689">
        <v>45.372703551999997</v>
      </c>
    </row>
    <row r="690" spans="1:14" x14ac:dyDescent="0.25">
      <c r="A690">
        <v>415.25760500000001</v>
      </c>
      <c r="B690" s="1">
        <f>DATE(2011,6,20) + TIME(6,10,57)</f>
        <v>40714.257604166669</v>
      </c>
      <c r="C690">
        <v>2400</v>
      </c>
      <c r="D690">
        <v>0</v>
      </c>
      <c r="E690">
        <v>0</v>
      </c>
      <c r="F690">
        <v>2400</v>
      </c>
      <c r="G690">
        <v>1366.2229004000001</v>
      </c>
      <c r="H690">
        <v>1356.7398682</v>
      </c>
      <c r="I690">
        <v>1311.3502197</v>
      </c>
      <c r="J690">
        <v>1301.9124756000001</v>
      </c>
      <c r="K690">
        <v>80</v>
      </c>
      <c r="L690">
        <v>79.908119201999995</v>
      </c>
      <c r="M690">
        <v>50</v>
      </c>
      <c r="N690">
        <v>45.292442321999999</v>
      </c>
    </row>
    <row r="691" spans="1:14" x14ac:dyDescent="0.25">
      <c r="A691">
        <v>416.33950199999998</v>
      </c>
      <c r="B691" s="1">
        <f>DATE(2011,6,21) + TIME(8,8,53)</f>
        <v>40715.339502314811</v>
      </c>
      <c r="C691">
        <v>2400</v>
      </c>
      <c r="D691">
        <v>0</v>
      </c>
      <c r="E691">
        <v>0</v>
      </c>
      <c r="F691">
        <v>2400</v>
      </c>
      <c r="G691">
        <v>1366.1849365</v>
      </c>
      <c r="H691">
        <v>1356.7104492000001</v>
      </c>
      <c r="I691">
        <v>1311.3166504000001</v>
      </c>
      <c r="J691">
        <v>1301.8613281</v>
      </c>
      <c r="K691">
        <v>80</v>
      </c>
      <c r="L691">
        <v>79.908149718999994</v>
      </c>
      <c r="M691">
        <v>50</v>
      </c>
      <c r="N691">
        <v>45.211250305</v>
      </c>
    </row>
    <row r="692" spans="1:14" x14ac:dyDescent="0.25">
      <c r="A692">
        <v>417.43226399999998</v>
      </c>
      <c r="B692" s="1">
        <f>DATE(2011,6,22) + TIME(10,22,27)</f>
        <v>40716.432256944441</v>
      </c>
      <c r="C692">
        <v>2400</v>
      </c>
      <c r="D692">
        <v>0</v>
      </c>
      <c r="E692">
        <v>0</v>
      </c>
      <c r="F692">
        <v>2400</v>
      </c>
      <c r="G692">
        <v>1366.1470947</v>
      </c>
      <c r="H692">
        <v>1356.6810303</v>
      </c>
      <c r="I692">
        <v>1311.2821045000001</v>
      </c>
      <c r="J692">
        <v>1301.8084716999999</v>
      </c>
      <c r="K692">
        <v>80</v>
      </c>
      <c r="L692">
        <v>79.908172606999997</v>
      </c>
      <c r="M692">
        <v>50</v>
      </c>
      <c r="N692">
        <v>45.129272460999999</v>
      </c>
    </row>
    <row r="693" spans="1:14" x14ac:dyDescent="0.25">
      <c r="A693">
        <v>418.53879599999999</v>
      </c>
      <c r="B693" s="1">
        <f>DATE(2011,6,23) + TIME(12,55,51)</f>
        <v>40717.538784722223</v>
      </c>
      <c r="C693">
        <v>2400</v>
      </c>
      <c r="D693">
        <v>0</v>
      </c>
      <c r="E693">
        <v>0</v>
      </c>
      <c r="F693">
        <v>2400</v>
      </c>
      <c r="G693">
        <v>1366.1094971</v>
      </c>
      <c r="H693">
        <v>1356.6518555</v>
      </c>
      <c r="I693">
        <v>1311.2464600000001</v>
      </c>
      <c r="J693">
        <v>1301.7540283000001</v>
      </c>
      <c r="K693">
        <v>80</v>
      </c>
      <c r="L693">
        <v>79.908203125</v>
      </c>
      <c r="M693">
        <v>50</v>
      </c>
      <c r="N693">
        <v>45.046401977999999</v>
      </c>
    </row>
    <row r="694" spans="1:14" x14ac:dyDescent="0.25">
      <c r="A694">
        <v>419.66237599999999</v>
      </c>
      <c r="B694" s="1">
        <f>DATE(2011,6,24) + TIME(15,53,49)</f>
        <v>40718.662372685183</v>
      </c>
      <c r="C694">
        <v>2400</v>
      </c>
      <c r="D694">
        <v>0</v>
      </c>
      <c r="E694">
        <v>0</v>
      </c>
      <c r="F694">
        <v>2400</v>
      </c>
      <c r="G694">
        <v>1366.0720214999999</v>
      </c>
      <c r="H694">
        <v>1356.6226807</v>
      </c>
      <c r="I694">
        <v>1311.2097168</v>
      </c>
      <c r="J694">
        <v>1301.6976318</v>
      </c>
      <c r="K694">
        <v>80</v>
      </c>
      <c r="L694">
        <v>79.908233643000003</v>
      </c>
      <c r="M694">
        <v>50</v>
      </c>
      <c r="N694">
        <v>44.962471008000001</v>
      </c>
    </row>
    <row r="695" spans="1:14" x14ac:dyDescent="0.25">
      <c r="A695">
        <v>420.79722400000003</v>
      </c>
      <c r="B695" s="1">
        <f>DATE(2011,6,25) + TIME(19,8,0)</f>
        <v>40719.797222222223</v>
      </c>
      <c r="C695">
        <v>2400</v>
      </c>
      <c r="D695">
        <v>0</v>
      </c>
      <c r="E695">
        <v>0</v>
      </c>
      <c r="F695">
        <v>2400</v>
      </c>
      <c r="G695">
        <v>1366.034668</v>
      </c>
      <c r="H695">
        <v>1356.5936279</v>
      </c>
      <c r="I695">
        <v>1311.1717529</v>
      </c>
      <c r="J695">
        <v>1301.6392822</v>
      </c>
      <c r="K695">
        <v>80</v>
      </c>
      <c r="L695">
        <v>79.908264160000002</v>
      </c>
      <c r="M695">
        <v>50</v>
      </c>
      <c r="N695">
        <v>44.877696991000001</v>
      </c>
    </row>
    <row r="696" spans="1:14" x14ac:dyDescent="0.25">
      <c r="A696">
        <v>421.94518099999999</v>
      </c>
      <c r="B696" s="1">
        <f>DATE(2011,6,26) + TIME(22,41,3)</f>
        <v>40720.945173611108</v>
      </c>
      <c r="C696">
        <v>2400</v>
      </c>
      <c r="D696">
        <v>0</v>
      </c>
      <c r="E696">
        <v>0</v>
      </c>
      <c r="F696">
        <v>2400</v>
      </c>
      <c r="G696">
        <v>1365.9974365</v>
      </c>
      <c r="H696">
        <v>1356.5645752</v>
      </c>
      <c r="I696">
        <v>1311.1326904</v>
      </c>
      <c r="J696">
        <v>1301.5792236</v>
      </c>
      <c r="K696">
        <v>80</v>
      </c>
      <c r="L696">
        <v>79.908302307</v>
      </c>
      <c r="M696">
        <v>50</v>
      </c>
      <c r="N696">
        <v>44.792018890000001</v>
      </c>
    </row>
    <row r="697" spans="1:14" x14ac:dyDescent="0.25">
      <c r="A697">
        <v>423.10978</v>
      </c>
      <c r="B697" s="1">
        <f>DATE(2011,6,28) + TIME(2,38,4)</f>
        <v>40722.109768518516</v>
      </c>
      <c r="C697">
        <v>2400</v>
      </c>
      <c r="D697">
        <v>0</v>
      </c>
      <c r="E697">
        <v>0</v>
      </c>
      <c r="F697">
        <v>2400</v>
      </c>
      <c r="G697">
        <v>1365.9603271000001</v>
      </c>
      <c r="H697">
        <v>1356.5357666</v>
      </c>
      <c r="I697">
        <v>1311.0925293</v>
      </c>
      <c r="J697">
        <v>1301.5172118999999</v>
      </c>
      <c r="K697">
        <v>80</v>
      </c>
      <c r="L697">
        <v>79.908332825000002</v>
      </c>
      <c r="M697">
        <v>50</v>
      </c>
      <c r="N697">
        <v>44.705261229999998</v>
      </c>
    </row>
    <row r="698" spans="1:14" x14ac:dyDescent="0.25">
      <c r="A698">
        <v>424.29393900000002</v>
      </c>
      <c r="B698" s="1">
        <f>DATE(2011,6,29) + TIME(7,3,16)</f>
        <v>40723.293935185182</v>
      </c>
      <c r="C698">
        <v>2400</v>
      </c>
      <c r="D698">
        <v>0</v>
      </c>
      <c r="E698">
        <v>0</v>
      </c>
      <c r="F698">
        <v>2400</v>
      </c>
      <c r="G698">
        <v>1365.9233397999999</v>
      </c>
      <c r="H698">
        <v>1356.5068358999999</v>
      </c>
      <c r="I698">
        <v>1311.0510254000001</v>
      </c>
      <c r="J698">
        <v>1301.4530029</v>
      </c>
      <c r="K698">
        <v>80</v>
      </c>
      <c r="L698">
        <v>79.908370972</v>
      </c>
      <c r="M698">
        <v>50</v>
      </c>
      <c r="N698">
        <v>44.617237091</v>
      </c>
    </row>
    <row r="699" spans="1:14" x14ac:dyDescent="0.25">
      <c r="A699">
        <v>425.49187899999998</v>
      </c>
      <c r="B699" s="1">
        <f>DATE(2011,6,30) + TIME(11,48,18)</f>
        <v>40724.491875</v>
      </c>
      <c r="C699">
        <v>2400</v>
      </c>
      <c r="D699">
        <v>0</v>
      </c>
      <c r="E699">
        <v>0</v>
      </c>
      <c r="F699">
        <v>2400</v>
      </c>
      <c r="G699">
        <v>1365.8862305</v>
      </c>
      <c r="H699">
        <v>1356.4779053</v>
      </c>
      <c r="I699">
        <v>1311.0081786999999</v>
      </c>
      <c r="J699">
        <v>1301.3865966999999</v>
      </c>
      <c r="K699">
        <v>80</v>
      </c>
      <c r="L699">
        <v>79.908409118999998</v>
      </c>
      <c r="M699">
        <v>50</v>
      </c>
      <c r="N699">
        <v>44.528137207</v>
      </c>
    </row>
    <row r="700" spans="1:14" x14ac:dyDescent="0.25">
      <c r="A700">
        <v>426</v>
      </c>
      <c r="B700" s="1">
        <f>DATE(2011,7,1) + TIME(0,0,0)</f>
        <v>40725</v>
      </c>
      <c r="C700">
        <v>2400</v>
      </c>
      <c r="D700">
        <v>0</v>
      </c>
      <c r="E700">
        <v>0</v>
      </c>
      <c r="F700">
        <v>2400</v>
      </c>
      <c r="G700">
        <v>1365.848999</v>
      </c>
      <c r="H700">
        <v>1356.4488524999999</v>
      </c>
      <c r="I700">
        <v>1310.9654541</v>
      </c>
      <c r="J700">
        <v>1301.3261719</v>
      </c>
      <c r="K700">
        <v>80</v>
      </c>
      <c r="L700">
        <v>79.908409118999998</v>
      </c>
      <c r="M700">
        <v>50</v>
      </c>
      <c r="N700">
        <v>44.478965758999998</v>
      </c>
    </row>
    <row r="701" spans="1:14" x14ac:dyDescent="0.25">
      <c r="A701">
        <v>427.21258</v>
      </c>
      <c r="B701" s="1">
        <f>DATE(2011,7,2) + TIME(5,6,6)</f>
        <v>40726.212569444448</v>
      </c>
      <c r="C701">
        <v>2400</v>
      </c>
      <c r="D701">
        <v>0</v>
      </c>
      <c r="E701">
        <v>0</v>
      </c>
      <c r="F701">
        <v>2400</v>
      </c>
      <c r="G701">
        <v>1365.8337402</v>
      </c>
      <c r="H701">
        <v>1356.4368896000001</v>
      </c>
      <c r="I701">
        <v>1310.9433594</v>
      </c>
      <c r="J701">
        <v>1301.2849120999999</v>
      </c>
      <c r="K701">
        <v>80</v>
      </c>
      <c r="L701">
        <v>79.908462524000001</v>
      </c>
      <c r="M701">
        <v>50</v>
      </c>
      <c r="N701">
        <v>44.393081664999997</v>
      </c>
    </row>
    <row r="702" spans="1:14" x14ac:dyDescent="0.25">
      <c r="A702">
        <v>428.45257900000001</v>
      </c>
      <c r="B702" s="1">
        <f>DATE(2011,7,3) + TIME(10,51,42)</f>
        <v>40727.452569444446</v>
      </c>
      <c r="C702">
        <v>2400</v>
      </c>
      <c r="D702">
        <v>0</v>
      </c>
      <c r="E702">
        <v>0</v>
      </c>
      <c r="F702">
        <v>2400</v>
      </c>
      <c r="G702">
        <v>1365.7972411999999</v>
      </c>
      <c r="H702">
        <v>1356.4083252</v>
      </c>
      <c r="I702">
        <v>1310.8984375</v>
      </c>
      <c r="J702">
        <v>1301.2152100000001</v>
      </c>
      <c r="K702">
        <v>80</v>
      </c>
      <c r="L702">
        <v>79.908508300999998</v>
      </c>
      <c r="M702">
        <v>50</v>
      </c>
      <c r="N702">
        <v>44.303817748999997</v>
      </c>
    </row>
    <row r="703" spans="1:14" x14ac:dyDescent="0.25">
      <c r="A703">
        <v>429.71501899999998</v>
      </c>
      <c r="B703" s="1">
        <f>DATE(2011,7,4) + TIME(17,9,37)</f>
        <v>40728.715011574073</v>
      </c>
      <c r="C703">
        <v>2400</v>
      </c>
      <c r="D703">
        <v>0</v>
      </c>
      <c r="E703">
        <v>0</v>
      </c>
      <c r="F703">
        <v>2400</v>
      </c>
      <c r="G703">
        <v>1365.760376</v>
      </c>
      <c r="H703">
        <v>1356.3795166</v>
      </c>
      <c r="I703">
        <v>1310.8515625</v>
      </c>
      <c r="J703">
        <v>1301.1422118999999</v>
      </c>
      <c r="K703">
        <v>80</v>
      </c>
      <c r="L703">
        <v>79.908554077000005</v>
      </c>
      <c r="M703">
        <v>50</v>
      </c>
      <c r="N703">
        <v>44.211883544999999</v>
      </c>
    </row>
    <row r="704" spans="1:14" x14ac:dyDescent="0.25">
      <c r="A704">
        <v>430.99457999999998</v>
      </c>
      <c r="B704" s="1">
        <f>DATE(2011,7,5) + TIME(23,52,11)</f>
        <v>40729.994571759256</v>
      </c>
      <c r="C704">
        <v>2400</v>
      </c>
      <c r="D704">
        <v>0</v>
      </c>
      <c r="E704">
        <v>0</v>
      </c>
      <c r="F704">
        <v>2400</v>
      </c>
      <c r="G704">
        <v>1365.7232666</v>
      </c>
      <c r="H704">
        <v>1356.3505858999999</v>
      </c>
      <c r="I704">
        <v>1310.8029785000001</v>
      </c>
      <c r="J704">
        <v>1301.0661620999999</v>
      </c>
      <c r="K704">
        <v>80</v>
      </c>
      <c r="L704">
        <v>79.908607482999997</v>
      </c>
      <c r="M704">
        <v>50</v>
      </c>
      <c r="N704">
        <v>44.117862701</v>
      </c>
    </row>
    <row r="705" spans="1:14" x14ac:dyDescent="0.25">
      <c r="A705">
        <v>432.29047500000001</v>
      </c>
      <c r="B705" s="1">
        <f>DATE(2011,7,7) + TIME(6,58,17)</f>
        <v>40731.29047453704</v>
      </c>
      <c r="C705">
        <v>2400</v>
      </c>
      <c r="D705">
        <v>0</v>
      </c>
      <c r="E705">
        <v>0</v>
      </c>
      <c r="F705">
        <v>2400</v>
      </c>
      <c r="G705">
        <v>1365.6862793</v>
      </c>
      <c r="H705">
        <v>1356.3215332</v>
      </c>
      <c r="I705">
        <v>1310.7528076000001</v>
      </c>
      <c r="J705">
        <v>1300.9874268000001</v>
      </c>
      <c r="K705">
        <v>80</v>
      </c>
      <c r="L705">
        <v>79.908653259000005</v>
      </c>
      <c r="M705">
        <v>50</v>
      </c>
      <c r="N705">
        <v>44.022079468000001</v>
      </c>
    </row>
    <row r="706" spans="1:14" x14ac:dyDescent="0.25">
      <c r="A706">
        <v>433.60315900000001</v>
      </c>
      <c r="B706" s="1">
        <f>DATE(2011,7,8) + TIME(14,28,32)</f>
        <v>40732.603148148148</v>
      </c>
      <c r="C706">
        <v>2400</v>
      </c>
      <c r="D706">
        <v>0</v>
      </c>
      <c r="E706">
        <v>0</v>
      </c>
      <c r="F706">
        <v>2400</v>
      </c>
      <c r="G706">
        <v>1365.6494141000001</v>
      </c>
      <c r="H706">
        <v>1356.2926024999999</v>
      </c>
      <c r="I706">
        <v>1310.7011719</v>
      </c>
      <c r="J706">
        <v>1300.9061279</v>
      </c>
      <c r="K706">
        <v>80</v>
      </c>
      <c r="L706">
        <v>79.908699036000002</v>
      </c>
      <c r="M706">
        <v>50</v>
      </c>
      <c r="N706">
        <v>43.924694060999997</v>
      </c>
    </row>
    <row r="707" spans="1:14" x14ac:dyDescent="0.25">
      <c r="A707">
        <v>434.93110000000001</v>
      </c>
      <c r="B707" s="1">
        <f>DATE(2011,7,9) + TIME(22,20,47)</f>
        <v>40733.93109953704</v>
      </c>
      <c r="C707">
        <v>2400</v>
      </c>
      <c r="D707">
        <v>0</v>
      </c>
      <c r="E707">
        <v>0</v>
      </c>
      <c r="F707">
        <v>2400</v>
      </c>
      <c r="G707">
        <v>1365.6125488</v>
      </c>
      <c r="H707">
        <v>1356.2636719</v>
      </c>
      <c r="I707">
        <v>1310.6481934000001</v>
      </c>
      <c r="J707">
        <v>1300.8223877</v>
      </c>
      <c r="K707">
        <v>80</v>
      </c>
      <c r="L707">
        <v>79.908752441000004</v>
      </c>
      <c r="M707">
        <v>50</v>
      </c>
      <c r="N707">
        <v>43.825866699000002</v>
      </c>
    </row>
    <row r="708" spans="1:14" x14ac:dyDescent="0.25">
      <c r="A708">
        <v>436.277468</v>
      </c>
      <c r="B708" s="1">
        <f>DATE(2011,7,11) + TIME(6,39,33)</f>
        <v>40735.277465277781</v>
      </c>
      <c r="C708">
        <v>2400</v>
      </c>
      <c r="D708">
        <v>0</v>
      </c>
      <c r="E708">
        <v>0</v>
      </c>
      <c r="F708">
        <v>2400</v>
      </c>
      <c r="G708">
        <v>1365.5758057</v>
      </c>
      <c r="H708">
        <v>1356.2348632999999</v>
      </c>
      <c r="I708">
        <v>1310.59375</v>
      </c>
      <c r="J708">
        <v>1300.7362060999999</v>
      </c>
      <c r="K708">
        <v>80</v>
      </c>
      <c r="L708">
        <v>79.908805846999996</v>
      </c>
      <c r="M708">
        <v>50</v>
      </c>
      <c r="N708">
        <v>43.725540160999998</v>
      </c>
    </row>
    <row r="709" spans="1:14" x14ac:dyDescent="0.25">
      <c r="A709">
        <v>437.63874499999997</v>
      </c>
      <c r="B709" s="1">
        <f>DATE(2011,7,12) + TIME(15,19,47)</f>
        <v>40736.638738425929</v>
      </c>
      <c r="C709">
        <v>2400</v>
      </c>
      <c r="D709">
        <v>0</v>
      </c>
      <c r="E709">
        <v>0</v>
      </c>
      <c r="F709">
        <v>2400</v>
      </c>
      <c r="G709">
        <v>1365.5390625</v>
      </c>
      <c r="H709">
        <v>1356.2059326000001</v>
      </c>
      <c r="I709">
        <v>1310.5378418</v>
      </c>
      <c r="J709">
        <v>1300.6474608999999</v>
      </c>
      <c r="K709">
        <v>80</v>
      </c>
      <c r="L709">
        <v>79.908859253000003</v>
      </c>
      <c r="M709">
        <v>50</v>
      </c>
      <c r="N709">
        <v>43.623855591000002</v>
      </c>
    </row>
    <row r="710" spans="1:14" x14ac:dyDescent="0.25">
      <c r="A710">
        <v>439.013712</v>
      </c>
      <c r="B710" s="1">
        <f>DATE(2011,7,14) + TIME(0,19,44)</f>
        <v>40738.013703703706</v>
      </c>
      <c r="C710">
        <v>2400</v>
      </c>
      <c r="D710">
        <v>0</v>
      </c>
      <c r="E710">
        <v>0</v>
      </c>
      <c r="F710">
        <v>2400</v>
      </c>
      <c r="G710">
        <v>1365.5024414</v>
      </c>
      <c r="H710">
        <v>1356.177124</v>
      </c>
      <c r="I710">
        <v>1310.4807129000001</v>
      </c>
      <c r="J710">
        <v>1300.5562743999999</v>
      </c>
      <c r="K710">
        <v>80</v>
      </c>
      <c r="L710">
        <v>79.908920288000004</v>
      </c>
      <c r="M710">
        <v>50</v>
      </c>
      <c r="N710">
        <v>43.520912170000003</v>
      </c>
    </row>
    <row r="711" spans="1:14" x14ac:dyDescent="0.25">
      <c r="A711">
        <v>440.40623299999999</v>
      </c>
      <c r="B711" s="1">
        <f>DATE(2011,7,15) + TIME(9,44,58)</f>
        <v>40739.406226851854</v>
      </c>
      <c r="C711">
        <v>2400</v>
      </c>
      <c r="D711">
        <v>0</v>
      </c>
      <c r="E711">
        <v>0</v>
      </c>
      <c r="F711">
        <v>2400</v>
      </c>
      <c r="G711">
        <v>1365.4659423999999</v>
      </c>
      <c r="H711">
        <v>1356.1483154</v>
      </c>
      <c r="I711">
        <v>1310.4222411999999</v>
      </c>
      <c r="J711">
        <v>1300.4627685999999</v>
      </c>
      <c r="K711">
        <v>80</v>
      </c>
      <c r="L711">
        <v>79.908973693999997</v>
      </c>
      <c r="M711">
        <v>50</v>
      </c>
      <c r="N711">
        <v>43.416595459</v>
      </c>
    </row>
    <row r="712" spans="1:14" x14ac:dyDescent="0.25">
      <c r="A712">
        <v>441.81950799999998</v>
      </c>
      <c r="B712" s="1">
        <f>DATE(2011,7,16) + TIME(19,40,5)</f>
        <v>40740.819502314815</v>
      </c>
      <c r="C712">
        <v>2400</v>
      </c>
      <c r="D712">
        <v>0</v>
      </c>
      <c r="E712">
        <v>0</v>
      </c>
      <c r="F712">
        <v>2400</v>
      </c>
      <c r="G712">
        <v>1365.4294434000001</v>
      </c>
      <c r="H712">
        <v>1356.1196289</v>
      </c>
      <c r="I712">
        <v>1310.3624268000001</v>
      </c>
      <c r="J712">
        <v>1300.3666992000001</v>
      </c>
      <c r="K712">
        <v>80</v>
      </c>
      <c r="L712">
        <v>79.909034728999998</v>
      </c>
      <c r="M712">
        <v>50</v>
      </c>
      <c r="N712">
        <v>43.310737609999997</v>
      </c>
    </row>
    <row r="713" spans="1:14" x14ac:dyDescent="0.25">
      <c r="A713">
        <v>443.25322799999998</v>
      </c>
      <c r="B713" s="1">
        <f>DATE(2011,7,18) + TIME(6,4,38)</f>
        <v>40742.253217592595</v>
      </c>
      <c r="C713">
        <v>2400</v>
      </c>
      <c r="D713">
        <v>0</v>
      </c>
      <c r="E713">
        <v>0</v>
      </c>
      <c r="F713">
        <v>2400</v>
      </c>
      <c r="G713">
        <v>1365.3929443</v>
      </c>
      <c r="H713">
        <v>1356.0908202999999</v>
      </c>
      <c r="I713">
        <v>1310.3010254000001</v>
      </c>
      <c r="J713">
        <v>1300.2679443</v>
      </c>
      <c r="K713">
        <v>80</v>
      </c>
      <c r="L713">
        <v>79.909095764</v>
      </c>
      <c r="M713">
        <v>50</v>
      </c>
      <c r="N713">
        <v>43.203300476000003</v>
      </c>
    </row>
    <row r="714" spans="1:14" x14ac:dyDescent="0.25">
      <c r="A714">
        <v>444.70186999999999</v>
      </c>
      <c r="B714" s="1">
        <f>DATE(2011,7,19) + TIME(16,50,41)</f>
        <v>40743.701863425929</v>
      </c>
      <c r="C714">
        <v>2400</v>
      </c>
      <c r="D714">
        <v>0</v>
      </c>
      <c r="E714">
        <v>0</v>
      </c>
      <c r="F714">
        <v>2400</v>
      </c>
      <c r="G714">
        <v>1365.3564452999999</v>
      </c>
      <c r="H714">
        <v>1356.0618896000001</v>
      </c>
      <c r="I714">
        <v>1310.2381591999999</v>
      </c>
      <c r="J714">
        <v>1300.1665039</v>
      </c>
      <c r="K714">
        <v>80</v>
      </c>
      <c r="L714">
        <v>79.909156799000002</v>
      </c>
      <c r="M714">
        <v>50</v>
      </c>
      <c r="N714">
        <v>43.094486236999998</v>
      </c>
    </row>
    <row r="715" spans="1:14" x14ac:dyDescent="0.25">
      <c r="A715">
        <v>446.16933299999999</v>
      </c>
      <c r="B715" s="1">
        <f>DATE(2011,7,21) + TIME(4,3,50)</f>
        <v>40745.169328703705</v>
      </c>
      <c r="C715">
        <v>2400</v>
      </c>
      <c r="D715">
        <v>0</v>
      </c>
      <c r="E715">
        <v>0</v>
      </c>
      <c r="F715">
        <v>2400</v>
      </c>
      <c r="G715">
        <v>1365.3199463000001</v>
      </c>
      <c r="H715">
        <v>1356.0330810999999</v>
      </c>
      <c r="I715">
        <v>1310.1740723</v>
      </c>
      <c r="J715">
        <v>1300.0625</v>
      </c>
      <c r="K715">
        <v>80</v>
      </c>
      <c r="L715">
        <v>79.909225464000002</v>
      </c>
      <c r="M715">
        <v>50</v>
      </c>
      <c r="N715">
        <v>42.984222412000001</v>
      </c>
    </row>
    <row r="716" spans="1:14" x14ac:dyDescent="0.25">
      <c r="A716">
        <v>447.65889600000003</v>
      </c>
      <c r="B716" s="1">
        <f>DATE(2011,7,22) + TIME(15,48,48)</f>
        <v>40746.658888888887</v>
      </c>
      <c r="C716">
        <v>2400</v>
      </c>
      <c r="D716">
        <v>0</v>
      </c>
      <c r="E716">
        <v>0</v>
      </c>
      <c r="F716">
        <v>2400</v>
      </c>
      <c r="G716">
        <v>1365.2834473</v>
      </c>
      <c r="H716">
        <v>1356.0041504000001</v>
      </c>
      <c r="I716">
        <v>1310.1085204999999</v>
      </c>
      <c r="J716">
        <v>1299.9558105000001</v>
      </c>
      <c r="K716">
        <v>80</v>
      </c>
      <c r="L716">
        <v>79.909294127999999</v>
      </c>
      <c r="M716">
        <v>50</v>
      </c>
      <c r="N716">
        <v>42.872367859000001</v>
      </c>
    </row>
    <row r="717" spans="1:14" x14ac:dyDescent="0.25">
      <c r="A717">
        <v>449.17401599999999</v>
      </c>
      <c r="B717" s="1">
        <f>DATE(2011,7,24) + TIME(4,10,34)</f>
        <v>40748.174004629633</v>
      </c>
      <c r="C717">
        <v>2400</v>
      </c>
      <c r="D717">
        <v>0</v>
      </c>
      <c r="E717">
        <v>0</v>
      </c>
      <c r="F717">
        <v>2400</v>
      </c>
      <c r="G717">
        <v>1365.2469481999999</v>
      </c>
      <c r="H717">
        <v>1355.9752197</v>
      </c>
      <c r="I717">
        <v>1310.0415039</v>
      </c>
      <c r="J717">
        <v>1299.8464355000001</v>
      </c>
      <c r="K717">
        <v>80</v>
      </c>
      <c r="L717">
        <v>79.909362793</v>
      </c>
      <c r="M717">
        <v>50</v>
      </c>
      <c r="N717">
        <v>42.758758544999999</v>
      </c>
    </row>
    <row r="718" spans="1:14" x14ac:dyDescent="0.25">
      <c r="A718">
        <v>450.71065700000003</v>
      </c>
      <c r="B718" s="1">
        <f>DATE(2011,7,25) + TIME(17,3,20)</f>
        <v>40749.710648148146</v>
      </c>
      <c r="C718">
        <v>2400</v>
      </c>
      <c r="D718">
        <v>0</v>
      </c>
      <c r="E718">
        <v>0</v>
      </c>
      <c r="F718">
        <v>2400</v>
      </c>
      <c r="G718">
        <v>1365.2103271000001</v>
      </c>
      <c r="H718">
        <v>1355.9460449000001</v>
      </c>
      <c r="I718">
        <v>1309.9729004000001</v>
      </c>
      <c r="J718">
        <v>1299.7338867000001</v>
      </c>
      <c r="K718">
        <v>80</v>
      </c>
      <c r="L718">
        <v>79.909431458</v>
      </c>
      <c r="M718">
        <v>50</v>
      </c>
      <c r="N718">
        <v>42.643508910999998</v>
      </c>
    </row>
    <row r="719" spans="1:14" x14ac:dyDescent="0.25">
      <c r="A719">
        <v>452.261437</v>
      </c>
      <c r="B719" s="1">
        <f>DATE(2011,7,27) + TIME(6,16,28)</f>
        <v>40751.261435185188</v>
      </c>
      <c r="C719">
        <v>2400</v>
      </c>
      <c r="D719">
        <v>0</v>
      </c>
      <c r="E719">
        <v>0</v>
      </c>
      <c r="F719">
        <v>2400</v>
      </c>
      <c r="G719">
        <v>1365.1735839999999</v>
      </c>
      <c r="H719">
        <v>1355.9168701000001</v>
      </c>
      <c r="I719">
        <v>1309.902832</v>
      </c>
      <c r="J719">
        <v>1299.6186522999999</v>
      </c>
      <c r="K719">
        <v>80</v>
      </c>
      <c r="L719">
        <v>79.909500121999997</v>
      </c>
      <c r="M719">
        <v>50</v>
      </c>
      <c r="N719">
        <v>42.526985168000003</v>
      </c>
    </row>
    <row r="720" spans="1:14" x14ac:dyDescent="0.25">
      <c r="A720">
        <v>453.82999000000001</v>
      </c>
      <c r="B720" s="1">
        <f>DATE(2011,7,28) + TIME(19,55,11)</f>
        <v>40752.829988425925</v>
      </c>
      <c r="C720">
        <v>2400</v>
      </c>
      <c r="D720">
        <v>0</v>
      </c>
      <c r="E720">
        <v>0</v>
      </c>
      <c r="F720">
        <v>2400</v>
      </c>
      <c r="G720">
        <v>1365.1369629000001</v>
      </c>
      <c r="H720">
        <v>1355.8878173999999</v>
      </c>
      <c r="I720">
        <v>1309.8317870999999</v>
      </c>
      <c r="J720">
        <v>1299.5010986</v>
      </c>
      <c r="K720">
        <v>80</v>
      </c>
      <c r="L720">
        <v>79.909576415999993</v>
      </c>
      <c r="M720">
        <v>50</v>
      </c>
      <c r="N720">
        <v>42.409236907999997</v>
      </c>
    </row>
    <row r="721" spans="1:14" x14ac:dyDescent="0.25">
      <c r="A721">
        <v>455.42001099999999</v>
      </c>
      <c r="B721" s="1">
        <f>DATE(2011,7,30) + TIME(10,4,48)</f>
        <v>40754.42</v>
      </c>
      <c r="C721">
        <v>2400</v>
      </c>
      <c r="D721">
        <v>0</v>
      </c>
      <c r="E721">
        <v>0</v>
      </c>
      <c r="F721">
        <v>2400</v>
      </c>
      <c r="G721">
        <v>1365.1003418</v>
      </c>
      <c r="H721">
        <v>1355.8586425999999</v>
      </c>
      <c r="I721">
        <v>1309.7593993999999</v>
      </c>
      <c r="J721">
        <v>1299.3809814000001</v>
      </c>
      <c r="K721">
        <v>80</v>
      </c>
      <c r="L721">
        <v>79.909652710000003</v>
      </c>
      <c r="M721">
        <v>50</v>
      </c>
      <c r="N721">
        <v>42.290214538999997</v>
      </c>
    </row>
    <row r="722" spans="1:14" x14ac:dyDescent="0.25">
      <c r="A722">
        <v>457</v>
      </c>
      <c r="B722" s="1">
        <f>DATE(2011,8,1) + TIME(0,0,0)</f>
        <v>40756</v>
      </c>
      <c r="C722">
        <v>2400</v>
      </c>
      <c r="D722">
        <v>0</v>
      </c>
      <c r="E722">
        <v>0</v>
      </c>
      <c r="F722">
        <v>2400</v>
      </c>
      <c r="G722">
        <v>1365.0637207</v>
      </c>
      <c r="H722">
        <v>1355.8293457</v>
      </c>
      <c r="I722">
        <v>1309.6859131000001</v>
      </c>
      <c r="J722">
        <v>1299.2586670000001</v>
      </c>
      <c r="K722">
        <v>80</v>
      </c>
      <c r="L722">
        <v>79.909721375000004</v>
      </c>
      <c r="M722">
        <v>50</v>
      </c>
      <c r="N722">
        <v>42.171211243000002</v>
      </c>
    </row>
    <row r="723" spans="1:14" x14ac:dyDescent="0.25">
      <c r="A723">
        <v>458.60655500000001</v>
      </c>
      <c r="B723" s="1">
        <f>DATE(2011,8,2) + TIME(14,33,26)</f>
        <v>40757.606550925928</v>
      </c>
      <c r="C723">
        <v>2400</v>
      </c>
      <c r="D723">
        <v>0</v>
      </c>
      <c r="E723">
        <v>0</v>
      </c>
      <c r="F723">
        <v>2400</v>
      </c>
      <c r="G723">
        <v>1365.0277100000001</v>
      </c>
      <c r="H723">
        <v>1355.8006591999999</v>
      </c>
      <c r="I723">
        <v>1309.6123047000001</v>
      </c>
      <c r="J723">
        <v>1299.1352539</v>
      </c>
      <c r="K723">
        <v>80</v>
      </c>
      <c r="L723">
        <v>79.909805297999995</v>
      </c>
      <c r="M723">
        <v>50</v>
      </c>
      <c r="N723">
        <v>42.051383971999996</v>
      </c>
    </row>
    <row r="724" spans="1:14" x14ac:dyDescent="0.25">
      <c r="A724">
        <v>460.24891400000001</v>
      </c>
      <c r="B724" s="1">
        <f>DATE(2011,8,4) + TIME(5,58,26)</f>
        <v>40759.248912037037</v>
      </c>
      <c r="C724">
        <v>2400</v>
      </c>
      <c r="D724">
        <v>0</v>
      </c>
      <c r="E724">
        <v>0</v>
      </c>
      <c r="F724">
        <v>2400</v>
      </c>
      <c r="G724">
        <v>1364.9915771000001</v>
      </c>
      <c r="H724">
        <v>1355.7717285000001</v>
      </c>
      <c r="I724">
        <v>1309.5373535000001</v>
      </c>
      <c r="J724">
        <v>1299.0090332</v>
      </c>
      <c r="K724">
        <v>80</v>
      </c>
      <c r="L724">
        <v>79.909881592000005</v>
      </c>
      <c r="M724">
        <v>50</v>
      </c>
      <c r="N724">
        <v>41.930183411000002</v>
      </c>
    </row>
    <row r="725" spans="1:14" x14ac:dyDescent="0.25">
      <c r="A725">
        <v>461.91457100000002</v>
      </c>
      <c r="B725" s="1">
        <f>DATE(2011,8,5) + TIME(21,56,58)</f>
        <v>40760.914560185185</v>
      </c>
      <c r="C725">
        <v>2400</v>
      </c>
      <c r="D725">
        <v>0</v>
      </c>
      <c r="E725">
        <v>0</v>
      </c>
      <c r="F725">
        <v>2400</v>
      </c>
      <c r="G725">
        <v>1364.9550781</v>
      </c>
      <c r="H725">
        <v>1355.7424315999999</v>
      </c>
      <c r="I725">
        <v>1309.4609375</v>
      </c>
      <c r="J725">
        <v>1298.8798827999999</v>
      </c>
      <c r="K725">
        <v>80</v>
      </c>
      <c r="L725">
        <v>79.909965514999996</v>
      </c>
      <c r="M725">
        <v>50</v>
      </c>
      <c r="N725">
        <v>41.807910919000001</v>
      </c>
    </row>
    <row r="726" spans="1:14" x14ac:dyDescent="0.25">
      <c r="A726">
        <v>463.60582499999998</v>
      </c>
      <c r="B726" s="1">
        <f>DATE(2011,8,7) + TIME(14,32,23)</f>
        <v>40762.605821759258</v>
      </c>
      <c r="C726">
        <v>2400</v>
      </c>
      <c r="D726">
        <v>0</v>
      </c>
      <c r="E726">
        <v>0</v>
      </c>
      <c r="F726">
        <v>2400</v>
      </c>
      <c r="G726">
        <v>1364.918457</v>
      </c>
      <c r="H726">
        <v>1355.7130127</v>
      </c>
      <c r="I726">
        <v>1309.3833007999999</v>
      </c>
      <c r="J726">
        <v>1298.7480469</v>
      </c>
      <c r="K726">
        <v>80</v>
      </c>
      <c r="L726">
        <v>79.910049438000001</v>
      </c>
      <c r="M726">
        <v>50</v>
      </c>
      <c r="N726">
        <v>41.684715271000002</v>
      </c>
    </row>
    <row r="727" spans="1:14" x14ac:dyDescent="0.25">
      <c r="A727">
        <v>465.31439699999999</v>
      </c>
      <c r="B727" s="1">
        <f>DATE(2011,8,9) + TIME(7,32,43)</f>
        <v>40764.314386574071</v>
      </c>
      <c r="C727">
        <v>2400</v>
      </c>
      <c r="D727">
        <v>0</v>
      </c>
      <c r="E727">
        <v>0</v>
      </c>
      <c r="F727">
        <v>2400</v>
      </c>
      <c r="G727">
        <v>1364.8815918</v>
      </c>
      <c r="H727">
        <v>1355.6834716999999</v>
      </c>
      <c r="I727">
        <v>1309.3045654</v>
      </c>
      <c r="J727">
        <v>1298.6137695</v>
      </c>
      <c r="K727">
        <v>80</v>
      </c>
      <c r="L727">
        <v>79.910133361999996</v>
      </c>
      <c r="M727">
        <v>50</v>
      </c>
      <c r="N727">
        <v>41.561103821000003</v>
      </c>
    </row>
    <row r="728" spans="1:14" x14ac:dyDescent="0.25">
      <c r="A728">
        <v>467.04358500000001</v>
      </c>
      <c r="B728" s="1">
        <f>DATE(2011,8,11) + TIME(1,2,45)</f>
        <v>40766.043576388889</v>
      </c>
      <c r="C728">
        <v>2400</v>
      </c>
      <c r="D728">
        <v>0</v>
      </c>
      <c r="E728">
        <v>0</v>
      </c>
      <c r="F728">
        <v>2400</v>
      </c>
      <c r="G728">
        <v>1364.8448486</v>
      </c>
      <c r="H728">
        <v>1355.6539307</v>
      </c>
      <c r="I728">
        <v>1309.2250977000001</v>
      </c>
      <c r="J728">
        <v>1298.4774170000001</v>
      </c>
      <c r="K728">
        <v>80</v>
      </c>
      <c r="L728">
        <v>79.910217285000002</v>
      </c>
      <c r="M728">
        <v>50</v>
      </c>
      <c r="N728">
        <v>41.437343597000002</v>
      </c>
    </row>
    <row r="729" spans="1:14" x14ac:dyDescent="0.25">
      <c r="A729">
        <v>468.79713800000002</v>
      </c>
      <c r="B729" s="1">
        <f>DATE(2011,8,12) + TIME(19,7,52)</f>
        <v>40767.797129629631</v>
      </c>
      <c r="C729">
        <v>2400</v>
      </c>
      <c r="D729">
        <v>0</v>
      </c>
      <c r="E729">
        <v>0</v>
      </c>
      <c r="F729">
        <v>2400</v>
      </c>
      <c r="G729">
        <v>1364.8081055</v>
      </c>
      <c r="H729">
        <v>1355.6242675999999</v>
      </c>
      <c r="I729">
        <v>1309.1448975000001</v>
      </c>
      <c r="J729">
        <v>1298.3391113</v>
      </c>
      <c r="K729">
        <v>80</v>
      </c>
      <c r="L729">
        <v>79.910308838000006</v>
      </c>
      <c r="M729">
        <v>50</v>
      </c>
      <c r="N729">
        <v>41.313587189000003</v>
      </c>
    </row>
    <row r="730" spans="1:14" x14ac:dyDescent="0.25">
      <c r="A730">
        <v>470.56621200000001</v>
      </c>
      <c r="B730" s="1">
        <f>DATE(2011,8,14) + TIME(13,35,20)</f>
        <v>40769.566203703704</v>
      </c>
      <c r="C730">
        <v>2400</v>
      </c>
      <c r="D730">
        <v>0</v>
      </c>
      <c r="E730">
        <v>0</v>
      </c>
      <c r="F730">
        <v>2400</v>
      </c>
      <c r="G730">
        <v>1364.7711182</v>
      </c>
      <c r="H730">
        <v>1355.5944824000001</v>
      </c>
      <c r="I730">
        <v>1309.0639647999999</v>
      </c>
      <c r="J730">
        <v>1298.1987305</v>
      </c>
      <c r="K730">
        <v>80</v>
      </c>
      <c r="L730">
        <v>79.910400390999996</v>
      </c>
      <c r="M730">
        <v>50</v>
      </c>
      <c r="N730">
        <v>41.190425873000002</v>
      </c>
    </row>
    <row r="731" spans="1:14" x14ac:dyDescent="0.25">
      <c r="A731">
        <v>472.35478599999999</v>
      </c>
      <c r="B731" s="1">
        <f>DATE(2011,8,16) + TIME(8,30,53)</f>
        <v>40771.354780092595</v>
      </c>
      <c r="C731">
        <v>2400</v>
      </c>
      <c r="D731">
        <v>0</v>
      </c>
      <c r="E731">
        <v>0</v>
      </c>
      <c r="F731">
        <v>2400</v>
      </c>
      <c r="G731">
        <v>1364.7342529</v>
      </c>
      <c r="H731">
        <v>1355.5646973</v>
      </c>
      <c r="I731">
        <v>1308.9826660000001</v>
      </c>
      <c r="J731">
        <v>1298.0570068</v>
      </c>
      <c r="K731">
        <v>80</v>
      </c>
      <c r="L731">
        <v>79.910491942999997</v>
      </c>
      <c r="M731">
        <v>50</v>
      </c>
      <c r="N731">
        <v>41.068206787000001</v>
      </c>
    </row>
    <row r="732" spans="1:14" x14ac:dyDescent="0.25">
      <c r="A732">
        <v>474.16698400000001</v>
      </c>
      <c r="B732" s="1">
        <f>DATE(2011,8,18) + TIME(4,0,27)</f>
        <v>40773.166979166665</v>
      </c>
      <c r="C732">
        <v>2400</v>
      </c>
      <c r="D732">
        <v>0</v>
      </c>
      <c r="E732">
        <v>0</v>
      </c>
      <c r="F732">
        <v>2400</v>
      </c>
      <c r="G732">
        <v>1364.6973877</v>
      </c>
      <c r="H732">
        <v>1355.5347899999999</v>
      </c>
      <c r="I732">
        <v>1308.901001</v>
      </c>
      <c r="J732">
        <v>1297.9139404</v>
      </c>
      <c r="K732">
        <v>80</v>
      </c>
      <c r="L732">
        <v>79.910583496000001</v>
      </c>
      <c r="M732">
        <v>50</v>
      </c>
      <c r="N732">
        <v>40.947189330999997</v>
      </c>
    </row>
    <row r="733" spans="1:14" x14ac:dyDescent="0.25">
      <c r="A733">
        <v>476.00064099999997</v>
      </c>
      <c r="B733" s="1">
        <f>DATE(2011,8,20) + TIME(0,0,55)</f>
        <v>40775.000636574077</v>
      </c>
      <c r="C733">
        <v>2400</v>
      </c>
      <c r="D733">
        <v>0</v>
      </c>
      <c r="E733">
        <v>0</v>
      </c>
      <c r="F733">
        <v>2400</v>
      </c>
      <c r="G733">
        <v>1364.6602783000001</v>
      </c>
      <c r="H733">
        <v>1355.5047606999999</v>
      </c>
      <c r="I733">
        <v>1308.8189697</v>
      </c>
      <c r="J733">
        <v>1297.7692870999999</v>
      </c>
      <c r="K733">
        <v>80</v>
      </c>
      <c r="L733">
        <v>79.910675049000005</v>
      </c>
      <c r="M733">
        <v>50</v>
      </c>
      <c r="N733">
        <v>40.827827454000001</v>
      </c>
    </row>
    <row r="734" spans="1:14" x14ac:dyDescent="0.25">
      <c r="A734">
        <v>477.85176799999999</v>
      </c>
      <c r="B734" s="1">
        <f>DATE(2011,8,21) + TIME(20,26,32)</f>
        <v>40776.851759259262</v>
      </c>
      <c r="C734">
        <v>2400</v>
      </c>
      <c r="D734">
        <v>0</v>
      </c>
      <c r="E734">
        <v>0</v>
      </c>
      <c r="F734">
        <v>2400</v>
      </c>
      <c r="G734">
        <v>1364.6231689000001</v>
      </c>
      <c r="H734">
        <v>1355.4746094</v>
      </c>
      <c r="I734">
        <v>1308.7366943</v>
      </c>
      <c r="J734">
        <v>1297.6236572</v>
      </c>
      <c r="K734">
        <v>80</v>
      </c>
      <c r="L734">
        <v>79.910774231000005</v>
      </c>
      <c r="M734">
        <v>50</v>
      </c>
      <c r="N734">
        <v>40.710731506000002</v>
      </c>
    </row>
    <row r="735" spans="1:14" x14ac:dyDescent="0.25">
      <c r="A735">
        <v>479.72405700000002</v>
      </c>
      <c r="B735" s="1">
        <f>DATE(2011,8,23) + TIME(17,22,38)</f>
        <v>40778.724050925928</v>
      </c>
      <c r="C735">
        <v>2400</v>
      </c>
      <c r="D735">
        <v>0</v>
      </c>
      <c r="E735">
        <v>0</v>
      </c>
      <c r="F735">
        <v>2400</v>
      </c>
      <c r="G735">
        <v>1364.5860596</v>
      </c>
      <c r="H735">
        <v>1355.4443358999999</v>
      </c>
      <c r="I735">
        <v>1308.6545410000001</v>
      </c>
      <c r="J735">
        <v>1297.4772949000001</v>
      </c>
      <c r="K735">
        <v>80</v>
      </c>
      <c r="L735">
        <v>79.910873413000004</v>
      </c>
      <c r="M735">
        <v>50</v>
      </c>
      <c r="N735">
        <v>40.596370696999998</v>
      </c>
    </row>
    <row r="736" spans="1:14" x14ac:dyDescent="0.25">
      <c r="A736">
        <v>481.62173300000001</v>
      </c>
      <c r="B736" s="1">
        <f>DATE(2011,8,25) + TIME(14,55,17)</f>
        <v>40780.621724537035</v>
      </c>
      <c r="C736">
        <v>2400</v>
      </c>
      <c r="D736">
        <v>0</v>
      </c>
      <c r="E736">
        <v>0</v>
      </c>
      <c r="F736">
        <v>2400</v>
      </c>
      <c r="G736">
        <v>1364.5488281</v>
      </c>
      <c r="H736">
        <v>1355.4140625</v>
      </c>
      <c r="I736">
        <v>1308.5723877</v>
      </c>
      <c r="J736">
        <v>1297.3302002</v>
      </c>
      <c r="K736">
        <v>80</v>
      </c>
      <c r="L736">
        <v>79.910972595000004</v>
      </c>
      <c r="M736">
        <v>50</v>
      </c>
      <c r="N736">
        <v>40.485183716000002</v>
      </c>
    </row>
    <row r="737" spans="1:14" x14ac:dyDescent="0.25">
      <c r="A737">
        <v>483.54547700000001</v>
      </c>
      <c r="B737" s="1">
        <f>DATE(2011,8,27) + TIME(13,5,29)</f>
        <v>40782.545474537037</v>
      </c>
      <c r="C737">
        <v>2400</v>
      </c>
      <c r="D737">
        <v>0</v>
      </c>
      <c r="E737">
        <v>0</v>
      </c>
      <c r="F737">
        <v>2400</v>
      </c>
      <c r="G737">
        <v>1364.5114745999999</v>
      </c>
      <c r="H737">
        <v>1355.3835449000001</v>
      </c>
      <c r="I737">
        <v>1308.4904785000001</v>
      </c>
      <c r="J737">
        <v>1297.1826172000001</v>
      </c>
      <c r="K737">
        <v>80</v>
      </c>
      <c r="L737">
        <v>79.911071777000004</v>
      </c>
      <c r="M737">
        <v>50</v>
      </c>
      <c r="N737">
        <v>40.377765656000001</v>
      </c>
    </row>
    <row r="738" spans="1:14" x14ac:dyDescent="0.25">
      <c r="A738">
        <v>485.48641600000002</v>
      </c>
      <c r="B738" s="1">
        <f>DATE(2011,8,29) + TIME(11,40,26)</f>
        <v>40784.48641203704</v>
      </c>
      <c r="C738">
        <v>2400</v>
      </c>
      <c r="D738">
        <v>0</v>
      </c>
      <c r="E738">
        <v>0</v>
      </c>
      <c r="F738">
        <v>2400</v>
      </c>
      <c r="G738">
        <v>1364.473999</v>
      </c>
      <c r="H738">
        <v>1355.3527832</v>
      </c>
      <c r="I738">
        <v>1308.4088135</v>
      </c>
      <c r="J738">
        <v>1297.034668</v>
      </c>
      <c r="K738">
        <v>80</v>
      </c>
      <c r="L738">
        <v>79.911170959000003</v>
      </c>
      <c r="M738">
        <v>50</v>
      </c>
      <c r="N738">
        <v>40.275043488000001</v>
      </c>
    </row>
    <row r="739" spans="1:14" x14ac:dyDescent="0.25">
      <c r="A739">
        <v>487.44912099999999</v>
      </c>
      <c r="B739" s="1">
        <f>DATE(2011,8,31) + TIME(10,46,44)</f>
        <v>40786.449120370373</v>
      </c>
      <c r="C739">
        <v>2400</v>
      </c>
      <c r="D739">
        <v>0</v>
      </c>
      <c r="E739">
        <v>0</v>
      </c>
      <c r="F739">
        <v>2400</v>
      </c>
      <c r="G739">
        <v>1364.4364014</v>
      </c>
      <c r="H739">
        <v>1355.3218993999999</v>
      </c>
      <c r="I739">
        <v>1308.3276367000001</v>
      </c>
      <c r="J739">
        <v>1296.8870850000001</v>
      </c>
      <c r="K739">
        <v>80</v>
      </c>
      <c r="L739">
        <v>79.911277771000002</v>
      </c>
      <c r="M739">
        <v>50</v>
      </c>
      <c r="N739">
        <v>40.177787780999999</v>
      </c>
    </row>
    <row r="740" spans="1:14" x14ac:dyDescent="0.25">
      <c r="A740">
        <v>488</v>
      </c>
      <c r="B740" s="1">
        <f>DATE(2011,9,1) + TIME(0,0,0)</f>
        <v>40787</v>
      </c>
      <c r="C740">
        <v>2400</v>
      </c>
      <c r="D740">
        <v>0</v>
      </c>
      <c r="E740">
        <v>0</v>
      </c>
      <c r="F740">
        <v>2400</v>
      </c>
      <c r="G740">
        <v>1364.3985596</v>
      </c>
      <c r="H740">
        <v>1355.2908935999999</v>
      </c>
      <c r="I740">
        <v>1308.2586670000001</v>
      </c>
      <c r="J740">
        <v>1296.7684326000001</v>
      </c>
      <c r="K740">
        <v>80</v>
      </c>
      <c r="L740">
        <v>79.911293029999996</v>
      </c>
      <c r="M740">
        <v>50</v>
      </c>
      <c r="N740">
        <v>40.136249542000002</v>
      </c>
    </row>
    <row r="741" spans="1:14" x14ac:dyDescent="0.25">
      <c r="A741">
        <v>489.98653400000001</v>
      </c>
      <c r="B741" s="1">
        <f>DATE(2011,9,2) + TIME(23,40,36)</f>
        <v>40788.986527777779</v>
      </c>
      <c r="C741">
        <v>2400</v>
      </c>
      <c r="D741">
        <v>0</v>
      </c>
      <c r="E741">
        <v>0</v>
      </c>
      <c r="F741">
        <v>2400</v>
      </c>
      <c r="G741">
        <v>1364.3880615</v>
      </c>
      <c r="H741">
        <v>1355.2819824000001</v>
      </c>
      <c r="I741">
        <v>1308.2191161999999</v>
      </c>
      <c r="J741">
        <v>1296.6885986</v>
      </c>
      <c r="K741">
        <v>80</v>
      </c>
      <c r="L741">
        <v>79.911407471000004</v>
      </c>
      <c r="M741">
        <v>50</v>
      </c>
      <c r="N741">
        <v>40.056144713999998</v>
      </c>
    </row>
    <row r="742" spans="1:14" x14ac:dyDescent="0.25">
      <c r="A742">
        <v>491.99406099999999</v>
      </c>
      <c r="B742" s="1">
        <f>DATE(2011,9,4) + TIME(23,51,26)</f>
        <v>40790.994050925925</v>
      </c>
      <c r="C742">
        <v>2400</v>
      </c>
      <c r="D742">
        <v>0</v>
      </c>
      <c r="E742">
        <v>0</v>
      </c>
      <c r="F742">
        <v>2400</v>
      </c>
      <c r="G742">
        <v>1364.3504639</v>
      </c>
      <c r="H742">
        <v>1355.2509766000001</v>
      </c>
      <c r="I742">
        <v>1308.1434326000001</v>
      </c>
      <c r="J742">
        <v>1296.5491943</v>
      </c>
      <c r="K742">
        <v>80</v>
      </c>
      <c r="L742">
        <v>79.911521911999998</v>
      </c>
      <c r="M742">
        <v>50</v>
      </c>
      <c r="N742">
        <v>39.978763579999999</v>
      </c>
    </row>
    <row r="743" spans="1:14" x14ac:dyDescent="0.25">
      <c r="A743">
        <v>494.02215799999999</v>
      </c>
      <c r="B743" s="1">
        <f>DATE(2011,9,7) + TIME(0,31,54)</f>
        <v>40793.022152777776</v>
      </c>
      <c r="C743">
        <v>2400</v>
      </c>
      <c r="D743">
        <v>0</v>
      </c>
      <c r="E743">
        <v>0</v>
      </c>
      <c r="F743">
        <v>2400</v>
      </c>
      <c r="G743">
        <v>1364.3126221</v>
      </c>
      <c r="H743">
        <v>1355.2197266000001</v>
      </c>
      <c r="I743">
        <v>1308.0670166</v>
      </c>
      <c r="J743">
        <v>1296.4079589999999</v>
      </c>
      <c r="K743">
        <v>80</v>
      </c>
      <c r="L743">
        <v>79.911628723000007</v>
      </c>
      <c r="M743">
        <v>50</v>
      </c>
      <c r="N743">
        <v>39.907649994000003</v>
      </c>
    </row>
    <row r="744" spans="1:14" x14ac:dyDescent="0.25">
      <c r="A744">
        <v>496.07548500000001</v>
      </c>
      <c r="B744" s="1">
        <f>DATE(2011,9,9) + TIME(1,48,41)</f>
        <v>40795.075474537036</v>
      </c>
      <c r="C744">
        <v>2400</v>
      </c>
      <c r="D744">
        <v>0</v>
      </c>
      <c r="E744">
        <v>0</v>
      </c>
      <c r="F744">
        <v>2400</v>
      </c>
      <c r="G744">
        <v>1364.2746582</v>
      </c>
      <c r="H744">
        <v>1355.1883545000001</v>
      </c>
      <c r="I744">
        <v>1307.9910889</v>
      </c>
      <c r="J744">
        <v>1296.2670897999999</v>
      </c>
      <c r="K744">
        <v>80</v>
      </c>
      <c r="L744">
        <v>79.911743164000001</v>
      </c>
      <c r="M744">
        <v>50</v>
      </c>
      <c r="N744">
        <v>39.844928740999997</v>
      </c>
    </row>
    <row r="745" spans="1:14" x14ac:dyDescent="0.25">
      <c r="A745">
        <v>498.15563400000002</v>
      </c>
      <c r="B745" s="1">
        <f>DATE(2011,9,11) + TIME(3,44,6)</f>
        <v>40797.155624999999</v>
      </c>
      <c r="C745">
        <v>2400</v>
      </c>
      <c r="D745">
        <v>0</v>
      </c>
      <c r="E745">
        <v>0</v>
      </c>
      <c r="F745">
        <v>2400</v>
      </c>
      <c r="G745">
        <v>1364.2365723</v>
      </c>
      <c r="H745">
        <v>1355.1566161999999</v>
      </c>
      <c r="I745">
        <v>1307.9160156</v>
      </c>
      <c r="J745">
        <v>1296.1275635</v>
      </c>
      <c r="K745">
        <v>80</v>
      </c>
      <c r="L745">
        <v>79.911857604999994</v>
      </c>
      <c r="M745">
        <v>50</v>
      </c>
      <c r="N745">
        <v>39.792194365999997</v>
      </c>
    </row>
    <row r="746" spans="1:14" x14ac:dyDescent="0.25">
      <c r="A746">
        <v>500.25851599999999</v>
      </c>
      <c r="B746" s="1">
        <f>DATE(2011,9,13) + TIME(6,12,15)</f>
        <v>40799.258506944447</v>
      </c>
      <c r="C746">
        <v>2400</v>
      </c>
      <c r="D746">
        <v>0</v>
      </c>
      <c r="E746">
        <v>0</v>
      </c>
      <c r="F746">
        <v>2400</v>
      </c>
      <c r="G746">
        <v>1364.1982422000001</v>
      </c>
      <c r="H746">
        <v>1355.1246338000001</v>
      </c>
      <c r="I746">
        <v>1307.8422852000001</v>
      </c>
      <c r="J746">
        <v>1295.9902344</v>
      </c>
      <c r="K746">
        <v>80</v>
      </c>
      <c r="L746">
        <v>79.911972046000002</v>
      </c>
      <c r="M746">
        <v>50</v>
      </c>
      <c r="N746">
        <v>39.750885009999998</v>
      </c>
    </row>
    <row r="747" spans="1:14" x14ac:dyDescent="0.25">
      <c r="A747">
        <v>502.380584</v>
      </c>
      <c r="B747" s="1">
        <f>DATE(2011,9,15) + TIME(9,8,2)</f>
        <v>40801.380578703705</v>
      </c>
      <c r="C747">
        <v>2400</v>
      </c>
      <c r="D747">
        <v>0</v>
      </c>
      <c r="E747">
        <v>0</v>
      </c>
      <c r="F747">
        <v>2400</v>
      </c>
      <c r="G747">
        <v>1364.159668</v>
      </c>
      <c r="H747">
        <v>1355.0925293</v>
      </c>
      <c r="I747">
        <v>1307.7702637</v>
      </c>
      <c r="J747">
        <v>1295.8557129000001</v>
      </c>
      <c r="K747">
        <v>80</v>
      </c>
      <c r="L747">
        <v>79.912086486999996</v>
      </c>
      <c r="M747">
        <v>50</v>
      </c>
      <c r="N747">
        <v>39.722335815000001</v>
      </c>
    </row>
    <row r="748" spans="1:14" x14ac:dyDescent="0.25">
      <c r="A748">
        <v>504.52156000000002</v>
      </c>
      <c r="B748" s="1">
        <f>DATE(2011,9,17) + TIME(12,31,2)</f>
        <v>40803.521550925929</v>
      </c>
      <c r="C748">
        <v>2400</v>
      </c>
      <c r="D748">
        <v>0</v>
      </c>
      <c r="E748">
        <v>0</v>
      </c>
      <c r="F748">
        <v>2400</v>
      </c>
      <c r="G748">
        <v>1364.1210937999999</v>
      </c>
      <c r="H748">
        <v>1355.0601807</v>
      </c>
      <c r="I748">
        <v>1307.7000731999999</v>
      </c>
      <c r="J748">
        <v>1295.7248535000001</v>
      </c>
      <c r="K748">
        <v>80</v>
      </c>
      <c r="L748">
        <v>79.912208557</v>
      </c>
      <c r="M748">
        <v>50</v>
      </c>
      <c r="N748">
        <v>39.707759856999999</v>
      </c>
    </row>
    <row r="749" spans="1:14" x14ac:dyDescent="0.25">
      <c r="A749">
        <v>506.678787</v>
      </c>
      <c r="B749" s="1">
        <f>DATE(2011,9,19) + TIME(16,17,27)</f>
        <v>40805.678784722222</v>
      </c>
      <c r="C749">
        <v>2400</v>
      </c>
      <c r="D749">
        <v>0</v>
      </c>
      <c r="E749">
        <v>0</v>
      </c>
      <c r="F749">
        <v>2400</v>
      </c>
      <c r="G749">
        <v>1364.0825195</v>
      </c>
      <c r="H749">
        <v>1355.027832</v>
      </c>
      <c r="I749">
        <v>1307.6322021000001</v>
      </c>
      <c r="J749">
        <v>1295.5981445</v>
      </c>
      <c r="K749">
        <v>80</v>
      </c>
      <c r="L749">
        <v>79.912322997999993</v>
      </c>
      <c r="M749">
        <v>50</v>
      </c>
      <c r="N749">
        <v>39.708278655999997</v>
      </c>
    </row>
    <row r="750" spans="1:14" x14ac:dyDescent="0.25">
      <c r="A750">
        <v>508.86219299999999</v>
      </c>
      <c r="B750" s="1">
        <f>DATE(2011,9,21) + TIME(20,41,33)</f>
        <v>40807.862187500003</v>
      </c>
      <c r="C750">
        <v>2400</v>
      </c>
      <c r="D750">
        <v>0</v>
      </c>
      <c r="E750">
        <v>0</v>
      </c>
      <c r="F750">
        <v>2400</v>
      </c>
      <c r="G750">
        <v>1364.0438231999999</v>
      </c>
      <c r="H750">
        <v>1354.9952393000001</v>
      </c>
      <c r="I750">
        <v>1307.5665283000001</v>
      </c>
      <c r="J750">
        <v>1295.4760742000001</v>
      </c>
      <c r="K750">
        <v>80</v>
      </c>
      <c r="L750">
        <v>79.912445067999997</v>
      </c>
      <c r="M750">
        <v>50</v>
      </c>
      <c r="N750">
        <v>39.724933624000002</v>
      </c>
    </row>
    <row r="751" spans="1:14" x14ac:dyDescent="0.25">
      <c r="A751">
        <v>511.06726700000002</v>
      </c>
      <c r="B751" s="1">
        <f>DATE(2011,9,24) + TIME(1,36,51)</f>
        <v>40810.067256944443</v>
      </c>
      <c r="C751">
        <v>2400</v>
      </c>
      <c r="D751">
        <v>0</v>
      </c>
      <c r="E751">
        <v>0</v>
      </c>
      <c r="F751">
        <v>2400</v>
      </c>
      <c r="G751">
        <v>1364.0050048999999</v>
      </c>
      <c r="H751">
        <v>1354.9625243999999</v>
      </c>
      <c r="I751">
        <v>1307.5032959</v>
      </c>
      <c r="J751">
        <v>1295.3587646000001</v>
      </c>
      <c r="K751">
        <v>80</v>
      </c>
      <c r="L751">
        <v>79.912567139000004</v>
      </c>
      <c r="M751">
        <v>50</v>
      </c>
      <c r="N751">
        <v>39.758766174000002</v>
      </c>
    </row>
    <row r="752" spans="1:14" x14ac:dyDescent="0.25">
      <c r="A752">
        <v>513.28974400000004</v>
      </c>
      <c r="B752" s="1">
        <f>DATE(2011,9,26) + TIME(6,57,13)</f>
        <v>40812.289733796293</v>
      </c>
      <c r="C752">
        <v>2400</v>
      </c>
      <c r="D752">
        <v>0</v>
      </c>
      <c r="E752">
        <v>0</v>
      </c>
      <c r="F752">
        <v>2400</v>
      </c>
      <c r="G752">
        <v>1363.9660644999999</v>
      </c>
      <c r="H752">
        <v>1354.9295654</v>
      </c>
      <c r="I752">
        <v>1307.4426269999999</v>
      </c>
      <c r="J752">
        <v>1295.2469481999999</v>
      </c>
      <c r="K752">
        <v>80</v>
      </c>
      <c r="L752">
        <v>79.912689209000007</v>
      </c>
      <c r="M752">
        <v>50</v>
      </c>
      <c r="N752">
        <v>39.810638427999997</v>
      </c>
    </row>
    <row r="753" spans="1:14" x14ac:dyDescent="0.25">
      <c r="A753">
        <v>515.52975500000002</v>
      </c>
      <c r="B753" s="1">
        <f>DATE(2011,9,28) + TIME(12,42,50)</f>
        <v>40814.529745370368</v>
      </c>
      <c r="C753">
        <v>2400</v>
      </c>
      <c r="D753">
        <v>0</v>
      </c>
      <c r="E753">
        <v>0</v>
      </c>
      <c r="F753">
        <v>2400</v>
      </c>
      <c r="G753">
        <v>1363.9270019999999</v>
      </c>
      <c r="H753">
        <v>1354.8964844</v>
      </c>
      <c r="I753">
        <v>1307.3846435999999</v>
      </c>
      <c r="J753">
        <v>1295.1409911999999</v>
      </c>
      <c r="K753">
        <v>80</v>
      </c>
      <c r="L753">
        <v>79.912818908999995</v>
      </c>
      <c r="M753">
        <v>50</v>
      </c>
      <c r="N753">
        <v>39.881225585999999</v>
      </c>
    </row>
    <row r="754" spans="1:14" x14ac:dyDescent="0.25">
      <c r="A754">
        <v>517.78402100000005</v>
      </c>
      <c r="B754" s="1">
        <f>DATE(2011,9,30) + TIME(18,48,59)</f>
        <v>40816.784016203703</v>
      </c>
      <c r="C754">
        <v>2400</v>
      </c>
      <c r="D754">
        <v>0</v>
      </c>
      <c r="E754">
        <v>0</v>
      </c>
      <c r="F754">
        <v>2400</v>
      </c>
      <c r="G754">
        <v>1363.8879394999999</v>
      </c>
      <c r="H754">
        <v>1354.8632812000001</v>
      </c>
      <c r="I754">
        <v>1307.3297118999999</v>
      </c>
      <c r="J754">
        <v>1295.0412598</v>
      </c>
      <c r="K754">
        <v>80</v>
      </c>
      <c r="L754">
        <v>79.912940978999998</v>
      </c>
      <c r="M754">
        <v>50</v>
      </c>
      <c r="N754">
        <v>39.970985413000001</v>
      </c>
    </row>
    <row r="755" spans="1:14" x14ac:dyDescent="0.25">
      <c r="A755">
        <v>518</v>
      </c>
      <c r="B755" s="1">
        <f>DATE(2011,10,1) + TIME(0,0,0)</f>
        <v>40817</v>
      </c>
      <c r="C755">
        <v>2400</v>
      </c>
      <c r="D755">
        <v>0</v>
      </c>
      <c r="E755">
        <v>0</v>
      </c>
      <c r="F755">
        <v>2400</v>
      </c>
      <c r="G755">
        <v>1363.8499756000001</v>
      </c>
      <c r="H755">
        <v>1354.831543</v>
      </c>
      <c r="I755">
        <v>1307.3109131000001</v>
      </c>
      <c r="J755">
        <v>1294.9810791</v>
      </c>
      <c r="K755">
        <v>80</v>
      </c>
      <c r="L755">
        <v>79.912940978999998</v>
      </c>
      <c r="M755">
        <v>50</v>
      </c>
      <c r="N755">
        <v>39.993446349999999</v>
      </c>
    </row>
    <row r="756" spans="1:14" x14ac:dyDescent="0.25">
      <c r="A756">
        <v>520.26377300000001</v>
      </c>
      <c r="B756" s="1">
        <f>DATE(2011,10,3) + TIME(6,19,49)</f>
        <v>40819.263761574075</v>
      </c>
      <c r="C756">
        <v>2400</v>
      </c>
      <c r="D756">
        <v>0</v>
      </c>
      <c r="E756">
        <v>0</v>
      </c>
      <c r="F756">
        <v>2400</v>
      </c>
      <c r="G756">
        <v>1363.8450928</v>
      </c>
      <c r="H756">
        <v>1354.8266602000001</v>
      </c>
      <c r="I756">
        <v>1307.2701416</v>
      </c>
      <c r="J756">
        <v>1294.9367675999999</v>
      </c>
      <c r="K756">
        <v>80</v>
      </c>
      <c r="L756">
        <v>79.913078307999996</v>
      </c>
      <c r="M756">
        <v>50</v>
      </c>
      <c r="N756">
        <v>40.097126007</v>
      </c>
    </row>
    <row r="757" spans="1:14" x14ac:dyDescent="0.25">
      <c r="A757">
        <v>522.55509600000005</v>
      </c>
      <c r="B757" s="1">
        <f>DATE(2011,10,5) + TIME(13,19,20)</f>
        <v>40821.555092592593</v>
      </c>
      <c r="C757">
        <v>2400</v>
      </c>
      <c r="D757">
        <v>0</v>
      </c>
      <c r="E757">
        <v>0</v>
      </c>
      <c r="F757">
        <v>2400</v>
      </c>
      <c r="G757">
        <v>1363.8063964999999</v>
      </c>
      <c r="H757">
        <v>1354.7937012</v>
      </c>
      <c r="I757">
        <v>1307.2233887</v>
      </c>
      <c r="J757">
        <v>1294.8536377</v>
      </c>
      <c r="K757">
        <v>80</v>
      </c>
      <c r="L757">
        <v>79.913208007999998</v>
      </c>
      <c r="M757">
        <v>50</v>
      </c>
      <c r="N757">
        <v>40.224590302000003</v>
      </c>
    </row>
    <row r="758" spans="1:14" x14ac:dyDescent="0.25">
      <c r="A758">
        <v>524.86641799999995</v>
      </c>
      <c r="B758" s="1">
        <f>DATE(2011,10,7) + TIME(20,47,38)</f>
        <v>40823.866412037038</v>
      </c>
      <c r="C758">
        <v>2400</v>
      </c>
      <c r="D758">
        <v>0</v>
      </c>
      <c r="E758">
        <v>0</v>
      </c>
      <c r="F758">
        <v>2400</v>
      </c>
      <c r="G758">
        <v>1363.7673339999999</v>
      </c>
      <c r="H758">
        <v>1354.7604980000001</v>
      </c>
      <c r="I758">
        <v>1307.1788329999999</v>
      </c>
      <c r="J758">
        <v>1294.7763672000001</v>
      </c>
      <c r="K758">
        <v>80</v>
      </c>
      <c r="L758">
        <v>79.913337708</v>
      </c>
      <c r="M758">
        <v>50</v>
      </c>
      <c r="N758">
        <v>40.373420715000002</v>
      </c>
    </row>
    <row r="759" spans="1:14" x14ac:dyDescent="0.25">
      <c r="A759">
        <v>527.19268299999999</v>
      </c>
      <c r="B759" s="1">
        <f>DATE(2011,10,10) + TIME(4,37,27)</f>
        <v>40826.192673611113</v>
      </c>
      <c r="C759">
        <v>2400</v>
      </c>
      <c r="D759">
        <v>0</v>
      </c>
      <c r="E759">
        <v>0</v>
      </c>
      <c r="F759">
        <v>2400</v>
      </c>
      <c r="G759">
        <v>1363.7282714999999</v>
      </c>
      <c r="H759">
        <v>1354.7270507999999</v>
      </c>
      <c r="I759">
        <v>1307.137207</v>
      </c>
      <c r="J759">
        <v>1294.7059326000001</v>
      </c>
      <c r="K759">
        <v>80</v>
      </c>
      <c r="L759">
        <v>79.913467406999999</v>
      </c>
      <c r="M759">
        <v>50</v>
      </c>
      <c r="N759">
        <v>40.542106627999999</v>
      </c>
    </row>
    <row r="760" spans="1:14" x14ac:dyDescent="0.25">
      <c r="A760">
        <v>529.54335300000002</v>
      </c>
      <c r="B760" s="1">
        <f>DATE(2011,10,12) + TIME(13,2,25)</f>
        <v>40828.543344907404</v>
      </c>
      <c r="C760">
        <v>2400</v>
      </c>
      <c r="D760">
        <v>0</v>
      </c>
      <c r="E760">
        <v>0</v>
      </c>
      <c r="F760">
        <v>2400</v>
      </c>
      <c r="G760">
        <v>1363.6893310999999</v>
      </c>
      <c r="H760">
        <v>1354.6937256000001</v>
      </c>
      <c r="I760">
        <v>1307.0986327999999</v>
      </c>
      <c r="J760">
        <v>1294.6428223</v>
      </c>
      <c r="K760">
        <v>80</v>
      </c>
      <c r="L760">
        <v>79.913597107000001</v>
      </c>
      <c r="M760">
        <v>50</v>
      </c>
      <c r="N760">
        <v>40.729759215999998</v>
      </c>
    </row>
    <row r="761" spans="1:14" x14ac:dyDescent="0.25">
      <c r="A761">
        <v>531.923</v>
      </c>
      <c r="B761" s="1">
        <f>DATE(2011,10,14) + TIME(22,9,7)</f>
        <v>40830.922997685186</v>
      </c>
      <c r="C761">
        <v>2400</v>
      </c>
      <c r="D761">
        <v>0</v>
      </c>
      <c r="E761">
        <v>0</v>
      </c>
      <c r="F761">
        <v>2400</v>
      </c>
      <c r="G761">
        <v>1363.6503906</v>
      </c>
      <c r="H761">
        <v>1354.6602783000001</v>
      </c>
      <c r="I761">
        <v>1307.0634766000001</v>
      </c>
      <c r="J761">
        <v>1294.5871582</v>
      </c>
      <c r="K761">
        <v>80</v>
      </c>
      <c r="L761">
        <v>79.913734435999999</v>
      </c>
      <c r="M761">
        <v>50</v>
      </c>
      <c r="N761">
        <v>40.935821533000002</v>
      </c>
    </row>
    <row r="762" spans="1:14" x14ac:dyDescent="0.25">
      <c r="A762">
        <v>534.33132699999999</v>
      </c>
      <c r="B762" s="1">
        <f>DATE(2011,10,17) + TIME(7,57,6)</f>
        <v>40833.331319444442</v>
      </c>
      <c r="C762">
        <v>2400</v>
      </c>
      <c r="D762">
        <v>0</v>
      </c>
      <c r="E762">
        <v>0</v>
      </c>
      <c r="F762">
        <v>2400</v>
      </c>
      <c r="G762">
        <v>1363.6112060999999</v>
      </c>
      <c r="H762">
        <v>1354.6268310999999</v>
      </c>
      <c r="I762">
        <v>1307.0318603999999</v>
      </c>
      <c r="J762">
        <v>1294.5389404</v>
      </c>
      <c r="K762">
        <v>80</v>
      </c>
      <c r="L762">
        <v>79.913864136000001</v>
      </c>
      <c r="M762">
        <v>50</v>
      </c>
      <c r="N762">
        <v>41.159557343000003</v>
      </c>
    </row>
    <row r="763" spans="1:14" x14ac:dyDescent="0.25">
      <c r="A763">
        <v>536.75756000000001</v>
      </c>
      <c r="B763" s="1">
        <f>DATE(2011,10,19) + TIME(18,10,53)</f>
        <v>40835.757557870369</v>
      </c>
      <c r="C763">
        <v>2400</v>
      </c>
      <c r="D763">
        <v>0</v>
      </c>
      <c r="E763">
        <v>0</v>
      </c>
      <c r="F763">
        <v>2400</v>
      </c>
      <c r="G763">
        <v>1363.5718993999999</v>
      </c>
      <c r="H763">
        <v>1354.5931396000001</v>
      </c>
      <c r="I763">
        <v>1307.0037841999999</v>
      </c>
      <c r="J763">
        <v>1294.4982910000001</v>
      </c>
      <c r="K763">
        <v>80</v>
      </c>
      <c r="L763">
        <v>79.914001464999998</v>
      </c>
      <c r="M763">
        <v>50</v>
      </c>
      <c r="N763">
        <v>41.399562836000001</v>
      </c>
    </row>
    <row r="764" spans="1:14" x14ac:dyDescent="0.25">
      <c r="A764">
        <v>539.20765900000004</v>
      </c>
      <c r="B764" s="1">
        <f>DATE(2011,10,22) + TIME(4,59,1)</f>
        <v>40838.207650462966</v>
      </c>
      <c r="C764">
        <v>2400</v>
      </c>
      <c r="D764">
        <v>0</v>
      </c>
      <c r="E764">
        <v>0</v>
      </c>
      <c r="F764">
        <v>2400</v>
      </c>
      <c r="G764">
        <v>1363.5328368999999</v>
      </c>
      <c r="H764">
        <v>1354.5595702999999</v>
      </c>
      <c r="I764">
        <v>1306.9793701000001</v>
      </c>
      <c r="J764">
        <v>1294.4654541</v>
      </c>
      <c r="K764">
        <v>80</v>
      </c>
      <c r="L764">
        <v>79.914138793999996</v>
      </c>
      <c r="M764">
        <v>50</v>
      </c>
      <c r="N764">
        <v>41.654350280999999</v>
      </c>
    </row>
    <row r="765" spans="1:14" x14ac:dyDescent="0.25">
      <c r="A765">
        <v>541.68836699999997</v>
      </c>
      <c r="B765" s="1">
        <f>DATE(2011,10,24) + TIME(16,31,14)</f>
        <v>40840.688356481478</v>
      </c>
      <c r="C765">
        <v>2400</v>
      </c>
      <c r="D765">
        <v>0</v>
      </c>
      <c r="E765">
        <v>0</v>
      </c>
      <c r="F765">
        <v>2400</v>
      </c>
      <c r="G765">
        <v>1363.4936522999999</v>
      </c>
      <c r="H765">
        <v>1354.5261230000001</v>
      </c>
      <c r="I765">
        <v>1306.9587402</v>
      </c>
      <c r="J765">
        <v>1294.4403076000001</v>
      </c>
      <c r="K765">
        <v>80</v>
      </c>
      <c r="L765">
        <v>79.914268493999998</v>
      </c>
      <c r="M765">
        <v>50</v>
      </c>
      <c r="N765">
        <v>41.922866821</v>
      </c>
    </row>
    <row r="766" spans="1:14" x14ac:dyDescent="0.25">
      <c r="A766">
        <v>544.19870700000001</v>
      </c>
      <c r="B766" s="1">
        <f>DATE(2011,10,27) + TIME(4,46,8)</f>
        <v>40843.198703703703</v>
      </c>
      <c r="C766">
        <v>2400</v>
      </c>
      <c r="D766">
        <v>0</v>
      </c>
      <c r="E766">
        <v>0</v>
      </c>
      <c r="F766">
        <v>2400</v>
      </c>
      <c r="G766">
        <v>1363.4544678</v>
      </c>
      <c r="H766">
        <v>1354.4925536999999</v>
      </c>
      <c r="I766">
        <v>1306.9418945</v>
      </c>
      <c r="J766">
        <v>1294.4227295000001</v>
      </c>
      <c r="K766">
        <v>80</v>
      </c>
      <c r="L766">
        <v>79.914405822999996</v>
      </c>
      <c r="M766">
        <v>50</v>
      </c>
      <c r="N766">
        <v>42.203853606999999</v>
      </c>
    </row>
    <row r="767" spans="1:14" x14ac:dyDescent="0.25">
      <c r="A767">
        <v>546.74022400000001</v>
      </c>
      <c r="B767" s="1">
        <f>DATE(2011,10,29) + TIME(17,45,55)</f>
        <v>40845.740219907406</v>
      </c>
      <c r="C767">
        <v>2400</v>
      </c>
      <c r="D767">
        <v>0</v>
      </c>
      <c r="E767">
        <v>0</v>
      </c>
      <c r="F767">
        <v>2400</v>
      </c>
      <c r="G767">
        <v>1363.4152832</v>
      </c>
      <c r="H767">
        <v>1354.4591064000001</v>
      </c>
      <c r="I767">
        <v>1306.9289550999999</v>
      </c>
      <c r="J767">
        <v>1294.4124756000001</v>
      </c>
      <c r="K767">
        <v>80</v>
      </c>
      <c r="L767">
        <v>79.914550781000003</v>
      </c>
      <c r="M767">
        <v>50</v>
      </c>
      <c r="N767">
        <v>42.495769500999998</v>
      </c>
    </row>
    <row r="768" spans="1:14" x14ac:dyDescent="0.25">
      <c r="A768">
        <v>549</v>
      </c>
      <c r="B768" s="1">
        <f>DATE(2011,11,1) + TIME(0,0,0)</f>
        <v>40848</v>
      </c>
      <c r="C768">
        <v>2400</v>
      </c>
      <c r="D768">
        <v>0</v>
      </c>
      <c r="E768">
        <v>0</v>
      </c>
      <c r="F768">
        <v>2400</v>
      </c>
      <c r="G768">
        <v>1363.3760986</v>
      </c>
      <c r="H768">
        <v>1354.4256591999999</v>
      </c>
      <c r="I768">
        <v>1306.9223632999999</v>
      </c>
      <c r="J768">
        <v>1294.4104004000001</v>
      </c>
      <c r="K768">
        <v>80</v>
      </c>
      <c r="L768">
        <v>79.914665221999996</v>
      </c>
      <c r="M768">
        <v>50</v>
      </c>
      <c r="N768">
        <v>42.782688141000001</v>
      </c>
    </row>
    <row r="769" spans="1:14" x14ac:dyDescent="0.25">
      <c r="A769">
        <v>549.000001</v>
      </c>
      <c r="B769" s="1">
        <f>DATE(2011,11,1) + TIME(0,0,0)</f>
        <v>40848</v>
      </c>
      <c r="C769">
        <v>0</v>
      </c>
      <c r="D769">
        <v>2400</v>
      </c>
      <c r="E769">
        <v>2400</v>
      </c>
      <c r="F769">
        <v>0</v>
      </c>
      <c r="G769">
        <v>1353.9898682</v>
      </c>
      <c r="H769">
        <v>1350.2810059000001</v>
      </c>
      <c r="I769">
        <v>1319.9444579999999</v>
      </c>
      <c r="J769">
        <v>1307.4298096</v>
      </c>
      <c r="K769">
        <v>80</v>
      </c>
      <c r="L769">
        <v>79.914604186999995</v>
      </c>
      <c r="M769">
        <v>50</v>
      </c>
      <c r="N769">
        <v>42.782752991000002</v>
      </c>
    </row>
    <row r="770" spans="1:14" x14ac:dyDescent="0.25">
      <c r="A770">
        <v>549.00000399999999</v>
      </c>
      <c r="B770" s="1">
        <f>DATE(2011,11,1) + TIME(0,0,0)</f>
        <v>40848</v>
      </c>
      <c r="C770">
        <v>0</v>
      </c>
      <c r="D770">
        <v>2400</v>
      </c>
      <c r="E770">
        <v>2400</v>
      </c>
      <c r="F770">
        <v>0</v>
      </c>
      <c r="G770">
        <v>1352.8887939000001</v>
      </c>
      <c r="H770">
        <v>1349.1795654</v>
      </c>
      <c r="I770">
        <v>1321.1634521000001</v>
      </c>
      <c r="J770">
        <v>1308.7958983999999</v>
      </c>
      <c r="K770">
        <v>80</v>
      </c>
      <c r="L770">
        <v>79.914443969999994</v>
      </c>
      <c r="M770">
        <v>50</v>
      </c>
      <c r="N770">
        <v>42.782936096</v>
      </c>
    </row>
    <row r="771" spans="1:14" x14ac:dyDescent="0.25">
      <c r="A771">
        <v>549.00001299999997</v>
      </c>
      <c r="B771" s="1">
        <f>DATE(2011,11,1) + TIME(0,0,1)</f>
        <v>40848.000011574077</v>
      </c>
      <c r="C771">
        <v>0</v>
      </c>
      <c r="D771">
        <v>2400</v>
      </c>
      <c r="E771">
        <v>2400</v>
      </c>
      <c r="F771">
        <v>0</v>
      </c>
      <c r="G771">
        <v>1350.6657714999999</v>
      </c>
      <c r="H771">
        <v>1346.9560547000001</v>
      </c>
      <c r="I771">
        <v>1324.0466309000001</v>
      </c>
      <c r="J771">
        <v>1311.9273682</v>
      </c>
      <c r="K771">
        <v>80</v>
      </c>
      <c r="L771">
        <v>79.914131165000001</v>
      </c>
      <c r="M771">
        <v>50</v>
      </c>
      <c r="N771">
        <v>42.783363342000001</v>
      </c>
    </row>
    <row r="772" spans="1:14" x14ac:dyDescent="0.25">
      <c r="A772">
        <v>549.00004000000001</v>
      </c>
      <c r="B772" s="1">
        <f>DATE(2011,11,1) + TIME(0,0,3)</f>
        <v>40848.000034722223</v>
      </c>
      <c r="C772">
        <v>0</v>
      </c>
      <c r="D772">
        <v>2400</v>
      </c>
      <c r="E772">
        <v>2400</v>
      </c>
      <c r="F772">
        <v>0</v>
      </c>
      <c r="G772">
        <v>1347.4171143000001</v>
      </c>
      <c r="H772">
        <v>1343.7071533000001</v>
      </c>
      <c r="I772">
        <v>1329.2535399999999</v>
      </c>
      <c r="J772">
        <v>1317.3031006000001</v>
      </c>
      <c r="K772">
        <v>80</v>
      </c>
      <c r="L772">
        <v>79.913665770999998</v>
      </c>
      <c r="M772">
        <v>50</v>
      </c>
      <c r="N772">
        <v>42.784145355</v>
      </c>
    </row>
    <row r="773" spans="1:14" x14ac:dyDescent="0.25">
      <c r="A773">
        <v>549.00012100000004</v>
      </c>
      <c r="B773" s="1">
        <f>DATE(2011,11,1) + TIME(0,0,10)</f>
        <v>40848.000115740739</v>
      </c>
      <c r="C773">
        <v>0</v>
      </c>
      <c r="D773">
        <v>2400</v>
      </c>
      <c r="E773">
        <v>2400</v>
      </c>
      <c r="F773">
        <v>0</v>
      </c>
      <c r="G773">
        <v>1343.7950439000001</v>
      </c>
      <c r="H773">
        <v>1340.0838623</v>
      </c>
      <c r="I773">
        <v>1336.1014404</v>
      </c>
      <c r="J773">
        <v>1324.1462402</v>
      </c>
      <c r="K773">
        <v>80</v>
      </c>
      <c r="L773">
        <v>79.913139342999997</v>
      </c>
      <c r="M773">
        <v>50</v>
      </c>
      <c r="N773">
        <v>42.785358428999999</v>
      </c>
    </row>
    <row r="774" spans="1:14" x14ac:dyDescent="0.25">
      <c r="A774">
        <v>549.00036399999999</v>
      </c>
      <c r="B774" s="1">
        <f>DATE(2011,11,1) + TIME(0,0,31)</f>
        <v>40848.000358796293</v>
      </c>
      <c r="C774">
        <v>0</v>
      </c>
      <c r="D774">
        <v>2400</v>
      </c>
      <c r="E774">
        <v>2400</v>
      </c>
      <c r="F774">
        <v>0</v>
      </c>
      <c r="G774">
        <v>1340.1188964999999</v>
      </c>
      <c r="H774">
        <v>1336.3793945</v>
      </c>
      <c r="I774">
        <v>1343.4442139</v>
      </c>
      <c r="J774">
        <v>1331.4438477000001</v>
      </c>
      <c r="K774">
        <v>80</v>
      </c>
      <c r="L774">
        <v>79.912582396999994</v>
      </c>
      <c r="M774">
        <v>50</v>
      </c>
      <c r="N774">
        <v>42.787391663000001</v>
      </c>
    </row>
    <row r="775" spans="1:14" x14ac:dyDescent="0.25">
      <c r="A775">
        <v>549.00109299999997</v>
      </c>
      <c r="B775" s="1">
        <f>DATE(2011,11,1) + TIME(0,1,34)</f>
        <v>40848.001087962963</v>
      </c>
      <c r="C775">
        <v>0</v>
      </c>
      <c r="D775">
        <v>2400</v>
      </c>
      <c r="E775">
        <v>2400</v>
      </c>
      <c r="F775">
        <v>0</v>
      </c>
      <c r="G775">
        <v>1336.2967529</v>
      </c>
      <c r="H775">
        <v>1332.4206543</v>
      </c>
      <c r="I775">
        <v>1350.965332</v>
      </c>
      <c r="J775">
        <v>1338.9262695</v>
      </c>
      <c r="K775">
        <v>80</v>
      </c>
      <c r="L775">
        <v>79.911918639999996</v>
      </c>
      <c r="M775">
        <v>50</v>
      </c>
      <c r="N775">
        <v>42.791748046999999</v>
      </c>
    </row>
    <row r="776" spans="1:14" x14ac:dyDescent="0.25">
      <c r="A776">
        <v>549.00328000000002</v>
      </c>
      <c r="B776" s="1">
        <f>DATE(2011,11,1) + TIME(0,4,43)</f>
        <v>40848.003275462965</v>
      </c>
      <c r="C776">
        <v>0</v>
      </c>
      <c r="D776">
        <v>2400</v>
      </c>
      <c r="E776">
        <v>2400</v>
      </c>
      <c r="F776">
        <v>0</v>
      </c>
      <c r="G776">
        <v>1332.2421875</v>
      </c>
      <c r="H776">
        <v>1328.0533447</v>
      </c>
      <c r="I776">
        <v>1358.4082031</v>
      </c>
      <c r="J776">
        <v>1346.2961425999999</v>
      </c>
      <c r="K776">
        <v>80</v>
      </c>
      <c r="L776">
        <v>79.910957335999996</v>
      </c>
      <c r="M776">
        <v>50</v>
      </c>
      <c r="N776">
        <v>42.803028107000003</v>
      </c>
    </row>
    <row r="777" spans="1:14" x14ac:dyDescent="0.25">
      <c r="A777">
        <v>549.00984100000005</v>
      </c>
      <c r="B777" s="1">
        <f>DATE(2011,11,1) + TIME(0,14,10)</f>
        <v>40848.009837962964</v>
      </c>
      <c r="C777">
        <v>0</v>
      </c>
      <c r="D777">
        <v>2400</v>
      </c>
      <c r="E777">
        <v>2400</v>
      </c>
      <c r="F777">
        <v>0</v>
      </c>
      <c r="G777">
        <v>1328.3551024999999</v>
      </c>
      <c r="H777">
        <v>1323.8328856999999</v>
      </c>
      <c r="I777">
        <v>1364.6739502</v>
      </c>
      <c r="J777">
        <v>1352.4605713000001</v>
      </c>
      <c r="K777">
        <v>80</v>
      </c>
      <c r="L777">
        <v>79.909202575999998</v>
      </c>
      <c r="M777">
        <v>50</v>
      </c>
      <c r="N777">
        <v>42.835060120000001</v>
      </c>
    </row>
    <row r="778" spans="1:14" x14ac:dyDescent="0.25">
      <c r="A778">
        <v>549.02952400000004</v>
      </c>
      <c r="B778" s="1">
        <f>DATE(2011,11,1) + TIME(0,42,30)</f>
        <v>40848.029513888891</v>
      </c>
      <c r="C778">
        <v>0</v>
      </c>
      <c r="D778">
        <v>2400</v>
      </c>
      <c r="E778">
        <v>2400</v>
      </c>
      <c r="F778">
        <v>0</v>
      </c>
      <c r="G778">
        <v>1325.4527588000001</v>
      </c>
      <c r="H778">
        <v>1320.7634277</v>
      </c>
      <c r="I778">
        <v>1368.5014647999999</v>
      </c>
      <c r="J778">
        <v>1356.2095947</v>
      </c>
      <c r="K778">
        <v>80</v>
      </c>
      <c r="L778">
        <v>79.905136107999994</v>
      </c>
      <c r="M778">
        <v>50</v>
      </c>
      <c r="N778">
        <v>42.928871155000003</v>
      </c>
    </row>
    <row r="779" spans="1:14" x14ac:dyDescent="0.25">
      <c r="A779">
        <v>549.088573</v>
      </c>
      <c r="B779" s="1">
        <f>DATE(2011,11,1) + TIME(2,7,32)</f>
        <v>40848.088564814818</v>
      </c>
      <c r="C779">
        <v>0</v>
      </c>
      <c r="D779">
        <v>2400</v>
      </c>
      <c r="E779">
        <v>2400</v>
      </c>
      <c r="F779">
        <v>0</v>
      </c>
      <c r="G779">
        <v>1324.0067139</v>
      </c>
      <c r="H779">
        <v>1319.2720947</v>
      </c>
      <c r="I779">
        <v>1369.8148193</v>
      </c>
      <c r="J779">
        <v>1357.5362548999999</v>
      </c>
      <c r="K779">
        <v>80</v>
      </c>
      <c r="L779">
        <v>79.894119262999993</v>
      </c>
      <c r="M779">
        <v>50</v>
      </c>
      <c r="N779">
        <v>43.199287415000001</v>
      </c>
    </row>
    <row r="780" spans="1:14" x14ac:dyDescent="0.25">
      <c r="A780">
        <v>549.17367400000001</v>
      </c>
      <c r="B780" s="1">
        <f>DATE(2011,11,1) + TIME(4,10,5)</f>
        <v>40848.173668981479</v>
      </c>
      <c r="C780">
        <v>0</v>
      </c>
      <c r="D780">
        <v>2400</v>
      </c>
      <c r="E780">
        <v>2400</v>
      </c>
      <c r="F780">
        <v>0</v>
      </c>
      <c r="G780">
        <v>1323.6550293</v>
      </c>
      <c r="H780">
        <v>1318.9140625</v>
      </c>
      <c r="I780">
        <v>1369.8608397999999</v>
      </c>
      <c r="J780">
        <v>1357.6568603999999</v>
      </c>
      <c r="K780">
        <v>80</v>
      </c>
      <c r="L780">
        <v>79.878768921000002</v>
      </c>
      <c r="M780">
        <v>50</v>
      </c>
      <c r="N780">
        <v>43.567657470999997</v>
      </c>
    </row>
    <row r="781" spans="1:14" x14ac:dyDescent="0.25">
      <c r="A781">
        <v>549.261888</v>
      </c>
      <c r="B781" s="1">
        <f>DATE(2011,11,1) + TIME(6,17,7)</f>
        <v>40848.261886574073</v>
      </c>
      <c r="C781">
        <v>0</v>
      </c>
      <c r="D781">
        <v>2400</v>
      </c>
      <c r="E781">
        <v>2400</v>
      </c>
      <c r="F781">
        <v>0</v>
      </c>
      <c r="G781">
        <v>1323.5798339999999</v>
      </c>
      <c r="H781">
        <v>1318.8381348</v>
      </c>
      <c r="I781">
        <v>1369.7276611</v>
      </c>
      <c r="J781">
        <v>1357.5987548999999</v>
      </c>
      <c r="K781">
        <v>80</v>
      </c>
      <c r="L781">
        <v>79.863082886000001</v>
      </c>
      <c r="M781">
        <v>50</v>
      </c>
      <c r="N781">
        <v>43.927959442000002</v>
      </c>
    </row>
    <row r="782" spans="1:14" x14ac:dyDescent="0.25">
      <c r="A782">
        <v>549.35338899999999</v>
      </c>
      <c r="B782" s="1">
        <f>DATE(2011,11,1) + TIME(8,28,52)</f>
        <v>40848.353379629632</v>
      </c>
      <c r="C782">
        <v>0</v>
      </c>
      <c r="D782">
        <v>2400</v>
      </c>
      <c r="E782">
        <v>2400</v>
      </c>
      <c r="F782">
        <v>0</v>
      </c>
      <c r="G782">
        <v>1323.5596923999999</v>
      </c>
      <c r="H782">
        <v>1318.8181152</v>
      </c>
      <c r="I782">
        <v>1369.5821533000001</v>
      </c>
      <c r="J782">
        <v>1357.5270995999999</v>
      </c>
      <c r="K782">
        <v>80</v>
      </c>
      <c r="L782">
        <v>79.847000121999997</v>
      </c>
      <c r="M782">
        <v>50</v>
      </c>
      <c r="N782">
        <v>44.279830933</v>
      </c>
    </row>
    <row r="783" spans="1:14" x14ac:dyDescent="0.25">
      <c r="A783">
        <v>549.44849599999998</v>
      </c>
      <c r="B783" s="1">
        <f>DATE(2011,11,1) + TIME(10,45,50)</f>
        <v>40848.448495370372</v>
      </c>
      <c r="C783">
        <v>0</v>
      </c>
      <c r="D783">
        <v>2400</v>
      </c>
      <c r="E783">
        <v>2400</v>
      </c>
      <c r="F783">
        <v>0</v>
      </c>
      <c r="G783">
        <v>1323.5520019999999</v>
      </c>
      <c r="H783">
        <v>1318.8105469</v>
      </c>
      <c r="I783">
        <v>1369.4439697</v>
      </c>
      <c r="J783">
        <v>1357.4597168</v>
      </c>
      <c r="K783">
        <v>80</v>
      </c>
      <c r="L783">
        <v>79.830490112000007</v>
      </c>
      <c r="M783">
        <v>50</v>
      </c>
      <c r="N783">
        <v>44.623382567999997</v>
      </c>
    </row>
    <row r="784" spans="1:14" x14ac:dyDescent="0.25">
      <c r="A784">
        <v>549.54754000000003</v>
      </c>
      <c r="B784" s="1">
        <f>DATE(2011,11,1) + TIME(13,8,27)</f>
        <v>40848.547534722224</v>
      </c>
      <c r="C784">
        <v>0</v>
      </c>
      <c r="D784">
        <v>2400</v>
      </c>
      <c r="E784">
        <v>2400</v>
      </c>
      <c r="F784">
        <v>0</v>
      </c>
      <c r="G784">
        <v>1323.5472411999999</v>
      </c>
      <c r="H784">
        <v>1318.8059082</v>
      </c>
      <c r="I784">
        <v>1369.3132324000001</v>
      </c>
      <c r="J784">
        <v>1357.3966064000001</v>
      </c>
      <c r="K784">
        <v>80</v>
      </c>
      <c r="L784">
        <v>79.813499450999998</v>
      </c>
      <c r="M784">
        <v>50</v>
      </c>
      <c r="N784">
        <v>44.958614349000001</v>
      </c>
    </row>
    <row r="785" spans="1:14" x14ac:dyDescent="0.25">
      <c r="A785">
        <v>549.65089999999998</v>
      </c>
      <c r="B785" s="1">
        <f>DATE(2011,11,1) + TIME(15,37,17)</f>
        <v>40848.650891203702</v>
      </c>
      <c r="C785">
        <v>0</v>
      </c>
      <c r="D785">
        <v>2400</v>
      </c>
      <c r="E785">
        <v>2400</v>
      </c>
      <c r="F785">
        <v>0</v>
      </c>
      <c r="G785">
        <v>1323.5433350000001</v>
      </c>
      <c r="H785">
        <v>1318.8020019999999</v>
      </c>
      <c r="I785">
        <v>1369.1887207</v>
      </c>
      <c r="J785">
        <v>1357.3370361</v>
      </c>
      <c r="K785">
        <v>80</v>
      </c>
      <c r="L785">
        <v>79.795989989999995</v>
      </c>
      <c r="M785">
        <v>50</v>
      </c>
      <c r="N785">
        <v>45.285507201999998</v>
      </c>
    </row>
    <row r="786" spans="1:14" x14ac:dyDescent="0.25">
      <c r="A786">
        <v>549.759005</v>
      </c>
      <c r="B786" s="1">
        <f>DATE(2011,11,1) + TIME(18,12,58)</f>
        <v>40848.759004629632</v>
      </c>
      <c r="C786">
        <v>0</v>
      </c>
      <c r="D786">
        <v>2400</v>
      </c>
      <c r="E786">
        <v>2400</v>
      </c>
      <c r="F786">
        <v>0</v>
      </c>
      <c r="G786">
        <v>1323.5394286999999</v>
      </c>
      <c r="H786">
        <v>1318.7980957</v>
      </c>
      <c r="I786">
        <v>1369.0698242000001</v>
      </c>
      <c r="J786">
        <v>1357.2801514</v>
      </c>
      <c r="K786">
        <v>80</v>
      </c>
      <c r="L786">
        <v>79.777900696000003</v>
      </c>
      <c r="M786">
        <v>50</v>
      </c>
      <c r="N786">
        <v>45.604026793999999</v>
      </c>
    </row>
    <row r="787" spans="1:14" x14ac:dyDescent="0.25">
      <c r="A787">
        <v>549.87232600000004</v>
      </c>
      <c r="B787" s="1">
        <f>DATE(2011,11,1) + TIME(20,56,8)</f>
        <v>40848.872314814813</v>
      </c>
      <c r="C787">
        <v>0</v>
      </c>
      <c r="D787">
        <v>2400</v>
      </c>
      <c r="E787">
        <v>2400</v>
      </c>
      <c r="F787">
        <v>0</v>
      </c>
      <c r="G787">
        <v>1323.5355225000001</v>
      </c>
      <c r="H787">
        <v>1318.7940673999999</v>
      </c>
      <c r="I787">
        <v>1368.9561768000001</v>
      </c>
      <c r="J787">
        <v>1357.2257079999999</v>
      </c>
      <c r="K787">
        <v>80</v>
      </c>
      <c r="L787">
        <v>79.759185790999993</v>
      </c>
      <c r="M787">
        <v>50</v>
      </c>
      <c r="N787">
        <v>45.914047240999999</v>
      </c>
    </row>
    <row r="788" spans="1:14" x14ac:dyDescent="0.25">
      <c r="A788">
        <v>549.99145099999998</v>
      </c>
      <c r="B788" s="1">
        <f>DATE(2011,11,1) + TIME(23,47,41)</f>
        <v>40848.991446759261</v>
      </c>
      <c r="C788">
        <v>0</v>
      </c>
      <c r="D788">
        <v>2400</v>
      </c>
      <c r="E788">
        <v>2400</v>
      </c>
      <c r="F788">
        <v>0</v>
      </c>
      <c r="G788">
        <v>1323.5314940999999</v>
      </c>
      <c r="H788">
        <v>1318.7897949000001</v>
      </c>
      <c r="I788">
        <v>1368.8474120999999</v>
      </c>
      <c r="J788">
        <v>1357.1735839999999</v>
      </c>
      <c r="K788">
        <v>80</v>
      </c>
      <c r="L788">
        <v>79.739768982000001</v>
      </c>
      <c r="M788">
        <v>50</v>
      </c>
      <c r="N788">
        <v>46.215534210000001</v>
      </c>
    </row>
    <row r="789" spans="1:14" x14ac:dyDescent="0.25">
      <c r="A789">
        <v>550.11703799999998</v>
      </c>
      <c r="B789" s="1">
        <f>DATE(2011,11,2) + TIME(2,48,32)</f>
        <v>40849.117037037038</v>
      </c>
      <c r="C789">
        <v>0</v>
      </c>
      <c r="D789">
        <v>2400</v>
      </c>
      <c r="E789">
        <v>2400</v>
      </c>
      <c r="F789">
        <v>0</v>
      </c>
      <c r="G789">
        <v>1323.5272216999999</v>
      </c>
      <c r="H789">
        <v>1318.7852783000001</v>
      </c>
      <c r="I789">
        <v>1368.7430420000001</v>
      </c>
      <c r="J789">
        <v>1357.1232910000001</v>
      </c>
      <c r="K789">
        <v>80</v>
      </c>
      <c r="L789">
        <v>79.719566345000004</v>
      </c>
      <c r="M789">
        <v>50</v>
      </c>
      <c r="N789">
        <v>46.508358002000001</v>
      </c>
    </row>
    <row r="790" spans="1:14" x14ac:dyDescent="0.25">
      <c r="A790">
        <v>550.24985600000002</v>
      </c>
      <c r="B790" s="1">
        <f>DATE(2011,11,2) + TIME(5,59,47)</f>
        <v>40849.249849537038</v>
      </c>
      <c r="C790">
        <v>0</v>
      </c>
      <c r="D790">
        <v>2400</v>
      </c>
      <c r="E790">
        <v>2400</v>
      </c>
      <c r="F790">
        <v>0</v>
      </c>
      <c r="G790">
        <v>1323.5228271000001</v>
      </c>
      <c r="H790">
        <v>1318.7803954999999</v>
      </c>
      <c r="I790">
        <v>1368.6429443</v>
      </c>
      <c r="J790">
        <v>1357.0749512</v>
      </c>
      <c r="K790">
        <v>80</v>
      </c>
      <c r="L790">
        <v>79.698501586999996</v>
      </c>
      <c r="M790">
        <v>50</v>
      </c>
      <c r="N790">
        <v>46.792366028000004</v>
      </c>
    </row>
    <row r="791" spans="1:14" x14ac:dyDescent="0.25">
      <c r="A791">
        <v>550.39080799999999</v>
      </c>
      <c r="B791" s="1">
        <f>DATE(2011,11,2) + TIME(9,22,45)</f>
        <v>40849.390798611108</v>
      </c>
      <c r="C791">
        <v>0</v>
      </c>
      <c r="D791">
        <v>2400</v>
      </c>
      <c r="E791">
        <v>2400</v>
      </c>
      <c r="F791">
        <v>0</v>
      </c>
      <c r="G791">
        <v>1323.5181885</v>
      </c>
      <c r="H791">
        <v>1318.7753906</v>
      </c>
      <c r="I791">
        <v>1368.5467529</v>
      </c>
      <c r="J791">
        <v>1357.0280762</v>
      </c>
      <c r="K791">
        <v>80</v>
      </c>
      <c r="L791">
        <v>79.676460266000007</v>
      </c>
      <c r="M791">
        <v>50</v>
      </c>
      <c r="N791">
        <v>47.067356109999999</v>
      </c>
    </row>
    <row r="792" spans="1:14" x14ac:dyDescent="0.25">
      <c r="A792">
        <v>550.54097200000001</v>
      </c>
      <c r="B792" s="1">
        <f>DATE(2011,11,2) + TIME(12,58,59)</f>
        <v>40849.540960648148</v>
      </c>
      <c r="C792">
        <v>0</v>
      </c>
      <c r="D792">
        <v>2400</v>
      </c>
      <c r="E792">
        <v>2400</v>
      </c>
      <c r="F792">
        <v>0</v>
      </c>
      <c r="G792">
        <v>1323.5133057</v>
      </c>
      <c r="H792">
        <v>1318.7698975000001</v>
      </c>
      <c r="I792">
        <v>1368.4541016000001</v>
      </c>
      <c r="J792">
        <v>1356.9825439000001</v>
      </c>
      <c r="K792">
        <v>80</v>
      </c>
      <c r="L792">
        <v>79.653320312000005</v>
      </c>
      <c r="M792">
        <v>50</v>
      </c>
      <c r="N792">
        <v>47.333106995000001</v>
      </c>
    </row>
    <row r="793" spans="1:14" x14ac:dyDescent="0.25">
      <c r="A793">
        <v>550.701638</v>
      </c>
      <c r="B793" s="1">
        <f>DATE(2011,11,2) + TIME(16,50,21)</f>
        <v>40849.701631944445</v>
      </c>
      <c r="C793">
        <v>0</v>
      </c>
      <c r="D793">
        <v>2400</v>
      </c>
      <c r="E793">
        <v>2400</v>
      </c>
      <c r="F793">
        <v>0</v>
      </c>
      <c r="G793">
        <v>1323.5080565999999</v>
      </c>
      <c r="H793">
        <v>1318.7640381000001</v>
      </c>
      <c r="I793">
        <v>1368.3647461</v>
      </c>
      <c r="J793">
        <v>1356.9381103999999</v>
      </c>
      <c r="K793">
        <v>80</v>
      </c>
      <c r="L793">
        <v>79.628936768000003</v>
      </c>
      <c r="M793">
        <v>50</v>
      </c>
      <c r="N793">
        <v>47.589340210000003</v>
      </c>
    </row>
    <row r="794" spans="1:14" x14ac:dyDescent="0.25">
      <c r="A794">
        <v>550.87437599999998</v>
      </c>
      <c r="B794" s="1">
        <f>DATE(2011,11,2) + TIME(20,59,6)</f>
        <v>40849.874374999999</v>
      </c>
      <c r="C794">
        <v>0</v>
      </c>
      <c r="D794">
        <v>2400</v>
      </c>
      <c r="E794">
        <v>2400</v>
      </c>
      <c r="F794">
        <v>0</v>
      </c>
      <c r="G794">
        <v>1323.5025635</v>
      </c>
      <c r="H794">
        <v>1318.7576904</v>
      </c>
      <c r="I794">
        <v>1368.2783202999999</v>
      </c>
      <c r="J794">
        <v>1356.8946533000001</v>
      </c>
      <c r="K794">
        <v>80</v>
      </c>
      <c r="L794">
        <v>79.603141785000005</v>
      </c>
      <c r="M794">
        <v>50</v>
      </c>
      <c r="N794">
        <v>47.835750580000003</v>
      </c>
    </row>
    <row r="795" spans="1:14" x14ac:dyDescent="0.25">
      <c r="A795">
        <v>551.06111699999997</v>
      </c>
      <c r="B795" s="1">
        <f>DATE(2011,11,3) + TIME(1,28,0)</f>
        <v>40850.061111111114</v>
      </c>
      <c r="C795">
        <v>0</v>
      </c>
      <c r="D795">
        <v>2400</v>
      </c>
      <c r="E795">
        <v>2400</v>
      </c>
      <c r="F795">
        <v>0</v>
      </c>
      <c r="G795">
        <v>1323.496582</v>
      </c>
      <c r="H795">
        <v>1318.7508545000001</v>
      </c>
      <c r="I795">
        <v>1368.1947021000001</v>
      </c>
      <c r="J795">
        <v>1356.8516846</v>
      </c>
      <c r="K795">
        <v>80</v>
      </c>
      <c r="L795">
        <v>79.575714110999996</v>
      </c>
      <c r="M795">
        <v>50</v>
      </c>
      <c r="N795">
        <v>48.071968079000001</v>
      </c>
    </row>
    <row r="796" spans="1:14" x14ac:dyDescent="0.25">
      <c r="A796">
        <v>551.26427100000001</v>
      </c>
      <c r="B796" s="1">
        <f>DATE(2011,11,3) + TIME(6,20,32)</f>
        <v>40850.26425925926</v>
      </c>
      <c r="C796">
        <v>0</v>
      </c>
      <c r="D796">
        <v>2400</v>
      </c>
      <c r="E796">
        <v>2400</v>
      </c>
      <c r="F796">
        <v>0</v>
      </c>
      <c r="G796">
        <v>1323.4901123</v>
      </c>
      <c r="H796">
        <v>1318.7435303</v>
      </c>
      <c r="I796">
        <v>1368.1132812000001</v>
      </c>
      <c r="J796">
        <v>1356.809082</v>
      </c>
      <c r="K796">
        <v>80</v>
      </c>
      <c r="L796">
        <v>79.546394348000007</v>
      </c>
      <c r="M796">
        <v>50</v>
      </c>
      <c r="N796">
        <v>48.297580719000003</v>
      </c>
    </row>
    <row r="797" spans="1:14" x14ac:dyDescent="0.25">
      <c r="A797">
        <v>551.48687299999995</v>
      </c>
      <c r="B797" s="1">
        <f>DATE(2011,11,3) + TIME(11,41,5)</f>
        <v>40850.486863425926</v>
      </c>
      <c r="C797">
        <v>0</v>
      </c>
      <c r="D797">
        <v>2400</v>
      </c>
      <c r="E797">
        <v>2400</v>
      </c>
      <c r="F797">
        <v>0</v>
      </c>
      <c r="G797">
        <v>1323.4830322</v>
      </c>
      <c r="H797">
        <v>1318.7353516000001</v>
      </c>
      <c r="I797">
        <v>1368.0338135</v>
      </c>
      <c r="J797">
        <v>1356.7664795000001</v>
      </c>
      <c r="K797">
        <v>80</v>
      </c>
      <c r="L797">
        <v>79.514854431000003</v>
      </c>
      <c r="M797">
        <v>50</v>
      </c>
      <c r="N797">
        <v>48.512092590000002</v>
      </c>
    </row>
    <row r="798" spans="1:14" x14ac:dyDescent="0.25">
      <c r="A798">
        <v>551.73285799999996</v>
      </c>
      <c r="B798" s="1">
        <f>DATE(2011,11,3) + TIME(17,35,18)</f>
        <v>40850.732847222222</v>
      </c>
      <c r="C798">
        <v>0</v>
      </c>
      <c r="D798">
        <v>2400</v>
      </c>
      <c r="E798">
        <v>2400</v>
      </c>
      <c r="F798">
        <v>0</v>
      </c>
      <c r="G798">
        <v>1323.4752197</v>
      </c>
      <c r="H798">
        <v>1318.7263184000001</v>
      </c>
      <c r="I798">
        <v>1367.9559326000001</v>
      </c>
      <c r="J798">
        <v>1356.7235106999999</v>
      </c>
      <c r="K798">
        <v>80</v>
      </c>
      <c r="L798">
        <v>79.480690002000003</v>
      </c>
      <c r="M798">
        <v>50</v>
      </c>
      <c r="N798">
        <v>48.714942932</v>
      </c>
    </row>
    <row r="799" spans="1:14" x14ac:dyDescent="0.25">
      <c r="A799">
        <v>552.00748199999998</v>
      </c>
      <c r="B799" s="1">
        <f>DATE(2011,11,4) + TIME(0,10,46)</f>
        <v>40851.007476851853</v>
      </c>
      <c r="C799">
        <v>0</v>
      </c>
      <c r="D799">
        <v>2400</v>
      </c>
      <c r="E799">
        <v>2400</v>
      </c>
      <c r="F799">
        <v>0</v>
      </c>
      <c r="G799">
        <v>1323.4666748</v>
      </c>
      <c r="H799">
        <v>1318.7164307</v>
      </c>
      <c r="I799">
        <v>1367.8791504000001</v>
      </c>
      <c r="J799">
        <v>1356.6798096</v>
      </c>
      <c r="K799">
        <v>80</v>
      </c>
      <c r="L799">
        <v>79.443351746000005</v>
      </c>
      <c r="M799">
        <v>50</v>
      </c>
      <c r="N799">
        <v>48.905536652000002</v>
      </c>
    </row>
    <row r="800" spans="1:14" x14ac:dyDescent="0.25">
      <c r="A800">
        <v>552.31784000000005</v>
      </c>
      <c r="B800" s="1">
        <f>DATE(2011,11,4) + TIME(7,37,41)</f>
        <v>40851.317835648151</v>
      </c>
      <c r="C800">
        <v>0</v>
      </c>
      <c r="D800">
        <v>2400</v>
      </c>
      <c r="E800">
        <v>2400</v>
      </c>
      <c r="F800">
        <v>0</v>
      </c>
      <c r="G800">
        <v>1323.4569091999999</v>
      </c>
      <c r="H800">
        <v>1318.7050781</v>
      </c>
      <c r="I800">
        <v>1367.8028564000001</v>
      </c>
      <c r="J800">
        <v>1356.6347656</v>
      </c>
      <c r="K800">
        <v>80</v>
      </c>
      <c r="L800">
        <v>79.402130127000007</v>
      </c>
      <c r="M800">
        <v>50</v>
      </c>
      <c r="N800">
        <v>49.083145141999999</v>
      </c>
    </row>
    <row r="801" spans="1:14" x14ac:dyDescent="0.25">
      <c r="A801">
        <v>552.67387499999995</v>
      </c>
      <c r="B801" s="1">
        <f>DATE(2011,11,4) + TIME(16,10,22)</f>
        <v>40851.67386574074</v>
      </c>
      <c r="C801">
        <v>0</v>
      </c>
      <c r="D801">
        <v>2400</v>
      </c>
      <c r="E801">
        <v>2400</v>
      </c>
      <c r="F801">
        <v>0</v>
      </c>
      <c r="G801">
        <v>1323.4459228999999</v>
      </c>
      <c r="H801">
        <v>1318.6922606999999</v>
      </c>
      <c r="I801">
        <v>1367.7264404</v>
      </c>
      <c r="J801">
        <v>1356.5880127</v>
      </c>
      <c r="K801">
        <v>80</v>
      </c>
      <c r="L801">
        <v>79.356063843000001</v>
      </c>
      <c r="M801">
        <v>50</v>
      </c>
      <c r="N801">
        <v>49.246936798</v>
      </c>
    </row>
    <row r="802" spans="1:14" x14ac:dyDescent="0.25">
      <c r="A802">
        <v>553.04825700000004</v>
      </c>
      <c r="B802" s="1">
        <f>DATE(2011,11,5) + TIME(1,9,29)</f>
        <v>40852.048252314817</v>
      </c>
      <c r="C802">
        <v>0</v>
      </c>
      <c r="D802">
        <v>2400</v>
      </c>
      <c r="E802">
        <v>2400</v>
      </c>
      <c r="F802">
        <v>0</v>
      </c>
      <c r="G802">
        <v>1323.4332274999999</v>
      </c>
      <c r="H802">
        <v>1318.6774902</v>
      </c>
      <c r="I802">
        <v>1367.6571045000001</v>
      </c>
      <c r="J802">
        <v>1356.5430908000001</v>
      </c>
      <c r="K802">
        <v>80</v>
      </c>
      <c r="L802">
        <v>79.308250427000004</v>
      </c>
      <c r="M802">
        <v>50</v>
      </c>
      <c r="N802">
        <v>49.384048462000003</v>
      </c>
    </row>
    <row r="803" spans="1:14" x14ac:dyDescent="0.25">
      <c r="A803">
        <v>553.42718300000001</v>
      </c>
      <c r="B803" s="1">
        <f>DATE(2011,11,5) + TIME(10,15,8)</f>
        <v>40852.427175925928</v>
      </c>
      <c r="C803">
        <v>0</v>
      </c>
      <c r="D803">
        <v>2400</v>
      </c>
      <c r="E803">
        <v>2400</v>
      </c>
      <c r="F803">
        <v>0</v>
      </c>
      <c r="G803">
        <v>1323.4196777</v>
      </c>
      <c r="H803">
        <v>1318.6617432</v>
      </c>
      <c r="I803">
        <v>1367.5939940999999</v>
      </c>
      <c r="J803">
        <v>1356.5003661999999</v>
      </c>
      <c r="K803">
        <v>80</v>
      </c>
      <c r="L803">
        <v>79.260208129999995</v>
      </c>
      <c r="M803">
        <v>50</v>
      </c>
      <c r="N803">
        <v>49.494277953999998</v>
      </c>
    </row>
    <row r="804" spans="1:14" x14ac:dyDescent="0.25">
      <c r="A804">
        <v>553.81455400000004</v>
      </c>
      <c r="B804" s="1">
        <f>DATE(2011,11,5) + TIME(19,32,57)</f>
        <v>40852.81454861111</v>
      </c>
      <c r="C804">
        <v>0</v>
      </c>
      <c r="D804">
        <v>2400</v>
      </c>
      <c r="E804">
        <v>2400</v>
      </c>
      <c r="F804">
        <v>0</v>
      </c>
      <c r="G804">
        <v>1323.4057617000001</v>
      </c>
      <c r="H804">
        <v>1318.6456298999999</v>
      </c>
      <c r="I804">
        <v>1367.5349120999999</v>
      </c>
      <c r="J804">
        <v>1356.4588623</v>
      </c>
      <c r="K804">
        <v>80</v>
      </c>
      <c r="L804">
        <v>79.211517334000007</v>
      </c>
      <c r="M804">
        <v>50</v>
      </c>
      <c r="N804">
        <v>49.583404541</v>
      </c>
    </row>
    <row r="805" spans="1:14" x14ac:dyDescent="0.25">
      <c r="A805">
        <v>554.21288400000003</v>
      </c>
      <c r="B805" s="1">
        <f>DATE(2011,11,6) + TIME(5,6,33)</f>
        <v>40853.212881944448</v>
      </c>
      <c r="C805">
        <v>0</v>
      </c>
      <c r="D805">
        <v>2400</v>
      </c>
      <c r="E805">
        <v>2400</v>
      </c>
      <c r="F805">
        <v>0</v>
      </c>
      <c r="G805">
        <v>1323.3914795000001</v>
      </c>
      <c r="H805">
        <v>1318.6289062000001</v>
      </c>
      <c r="I805">
        <v>1367.479126</v>
      </c>
      <c r="J805">
        <v>1356.418457</v>
      </c>
      <c r="K805">
        <v>80</v>
      </c>
      <c r="L805">
        <v>79.161918639999996</v>
      </c>
      <c r="M805">
        <v>50</v>
      </c>
      <c r="N805">
        <v>49.655498504999997</v>
      </c>
    </row>
    <row r="806" spans="1:14" x14ac:dyDescent="0.25">
      <c r="A806">
        <v>554.62485200000003</v>
      </c>
      <c r="B806" s="1">
        <f>DATE(2011,11,6) + TIME(14,59,47)</f>
        <v>40853.624849537038</v>
      </c>
      <c r="C806">
        <v>0</v>
      </c>
      <c r="D806">
        <v>2400</v>
      </c>
      <c r="E806">
        <v>2400</v>
      </c>
      <c r="F806">
        <v>0</v>
      </c>
      <c r="G806">
        <v>1323.3764647999999</v>
      </c>
      <c r="H806">
        <v>1318.6113281</v>
      </c>
      <c r="I806">
        <v>1367.4259033000001</v>
      </c>
      <c r="J806">
        <v>1356.3787841999999</v>
      </c>
      <c r="K806">
        <v>80</v>
      </c>
      <c r="L806">
        <v>79.111145019999995</v>
      </c>
      <c r="M806">
        <v>50</v>
      </c>
      <c r="N806">
        <v>49.713764191000003</v>
      </c>
    </row>
    <row r="807" spans="1:14" x14ac:dyDescent="0.25">
      <c r="A807">
        <v>555.05332399999998</v>
      </c>
      <c r="B807" s="1">
        <f>DATE(2011,11,7) + TIME(1,16,47)</f>
        <v>40854.05332175926</v>
      </c>
      <c r="C807">
        <v>0</v>
      </c>
      <c r="D807">
        <v>2400</v>
      </c>
      <c r="E807">
        <v>2400</v>
      </c>
      <c r="F807">
        <v>0</v>
      </c>
      <c r="G807">
        <v>1323.3608397999999</v>
      </c>
      <c r="H807">
        <v>1318.5930175999999</v>
      </c>
      <c r="I807">
        <v>1367.3745117000001</v>
      </c>
      <c r="J807">
        <v>1356.3395995999999</v>
      </c>
      <c r="K807">
        <v>80</v>
      </c>
      <c r="L807">
        <v>79.058906554999993</v>
      </c>
      <c r="M807">
        <v>50</v>
      </c>
      <c r="N807">
        <v>49.760746001999998</v>
      </c>
    </row>
    <row r="808" spans="1:14" x14ac:dyDescent="0.25">
      <c r="A808">
        <v>555.50147700000002</v>
      </c>
      <c r="B808" s="1">
        <f>DATE(2011,11,7) + TIME(12,2,7)</f>
        <v>40854.501469907409</v>
      </c>
      <c r="C808">
        <v>0</v>
      </c>
      <c r="D808">
        <v>2400</v>
      </c>
      <c r="E808">
        <v>2400</v>
      </c>
      <c r="F808">
        <v>0</v>
      </c>
      <c r="G808">
        <v>1323.3443603999999</v>
      </c>
      <c r="H808">
        <v>1318.5736084</v>
      </c>
      <c r="I808">
        <v>1367.324707</v>
      </c>
      <c r="J808">
        <v>1356.3007812000001</v>
      </c>
      <c r="K808">
        <v>80</v>
      </c>
      <c r="L808">
        <v>79.004913329999994</v>
      </c>
      <c r="M808">
        <v>50</v>
      </c>
      <c r="N808">
        <v>49.798500060999999</v>
      </c>
    </row>
    <row r="809" spans="1:14" x14ac:dyDescent="0.25">
      <c r="A809">
        <v>555.97294899999997</v>
      </c>
      <c r="B809" s="1">
        <f>DATE(2011,11,7) + TIME(23,21,2)</f>
        <v>40854.972939814812</v>
      </c>
      <c r="C809">
        <v>0</v>
      </c>
      <c r="D809">
        <v>2400</v>
      </c>
      <c r="E809">
        <v>2400</v>
      </c>
      <c r="F809">
        <v>0</v>
      </c>
      <c r="G809">
        <v>1323.3269043</v>
      </c>
      <c r="H809">
        <v>1318.5531006000001</v>
      </c>
      <c r="I809">
        <v>1367.276001</v>
      </c>
      <c r="J809">
        <v>1356.2620850000001</v>
      </c>
      <c r="K809">
        <v>80</v>
      </c>
      <c r="L809">
        <v>78.948806762999993</v>
      </c>
      <c r="M809">
        <v>50</v>
      </c>
      <c r="N809">
        <v>49.828685759999999</v>
      </c>
    </row>
    <row r="810" spans="1:14" x14ac:dyDescent="0.25">
      <c r="A810">
        <v>556.471992</v>
      </c>
      <c r="B810" s="1">
        <f>DATE(2011,11,8) + TIME(11,19,40)</f>
        <v>40855.471990740742</v>
      </c>
      <c r="C810">
        <v>0</v>
      </c>
      <c r="D810">
        <v>2400</v>
      </c>
      <c r="E810">
        <v>2400</v>
      </c>
      <c r="F810">
        <v>0</v>
      </c>
      <c r="G810">
        <v>1323.3083495999999</v>
      </c>
      <c r="H810">
        <v>1318.53125</v>
      </c>
      <c r="I810">
        <v>1367.2280272999999</v>
      </c>
      <c r="J810">
        <v>1356.2233887</v>
      </c>
      <c r="K810">
        <v>80</v>
      </c>
      <c r="L810">
        <v>78.890197753999999</v>
      </c>
      <c r="M810">
        <v>50</v>
      </c>
      <c r="N810">
        <v>49.852684021000002</v>
      </c>
    </row>
    <row r="811" spans="1:14" x14ac:dyDescent="0.25">
      <c r="A811">
        <v>557.00370599999997</v>
      </c>
      <c r="B811" s="1">
        <f>DATE(2011,11,9) + TIME(0,5,20)</f>
        <v>40856.003703703704</v>
      </c>
      <c r="C811">
        <v>0</v>
      </c>
      <c r="D811">
        <v>2400</v>
      </c>
      <c r="E811">
        <v>2400</v>
      </c>
      <c r="F811">
        <v>0</v>
      </c>
      <c r="G811">
        <v>1323.2884521000001</v>
      </c>
      <c r="H811">
        <v>1318.5076904</v>
      </c>
      <c r="I811">
        <v>1367.1802978999999</v>
      </c>
      <c r="J811">
        <v>1356.1844481999999</v>
      </c>
      <c r="K811">
        <v>80</v>
      </c>
      <c r="L811">
        <v>78.828628539999997</v>
      </c>
      <c r="M811">
        <v>50</v>
      </c>
      <c r="N811">
        <v>49.871623993</v>
      </c>
    </row>
    <row r="812" spans="1:14" x14ac:dyDescent="0.25">
      <c r="A812">
        <v>557.57433200000003</v>
      </c>
      <c r="B812" s="1">
        <f>DATE(2011,11,9) + TIME(13,47,2)</f>
        <v>40856.574328703704</v>
      </c>
      <c r="C812">
        <v>0</v>
      </c>
      <c r="D812">
        <v>2400</v>
      </c>
      <c r="E812">
        <v>2400</v>
      </c>
      <c r="F812">
        <v>0</v>
      </c>
      <c r="G812">
        <v>1323.2670897999999</v>
      </c>
      <c r="H812">
        <v>1318.4822998</v>
      </c>
      <c r="I812">
        <v>1367.1325684000001</v>
      </c>
      <c r="J812">
        <v>1356.1450195</v>
      </c>
      <c r="K812">
        <v>80</v>
      </c>
      <c r="L812">
        <v>78.763549804999997</v>
      </c>
      <c r="M812">
        <v>50</v>
      </c>
      <c r="N812">
        <v>49.886451721</v>
      </c>
    </row>
    <row r="813" spans="1:14" x14ac:dyDescent="0.25">
      <c r="A813">
        <v>558.18878299999994</v>
      </c>
      <c r="B813" s="1">
        <f>DATE(2011,11,10) + TIME(4,31,50)</f>
        <v>40857.188773148147</v>
      </c>
      <c r="C813">
        <v>0</v>
      </c>
      <c r="D813">
        <v>2400</v>
      </c>
      <c r="E813">
        <v>2400</v>
      </c>
      <c r="F813">
        <v>0</v>
      </c>
      <c r="G813">
        <v>1323.2438964999999</v>
      </c>
      <c r="H813">
        <v>1318.4547118999999</v>
      </c>
      <c r="I813">
        <v>1367.0844727000001</v>
      </c>
      <c r="J813">
        <v>1356.1048584</v>
      </c>
      <c r="K813">
        <v>80</v>
      </c>
      <c r="L813">
        <v>78.694549561000002</v>
      </c>
      <c r="M813">
        <v>50</v>
      </c>
      <c r="N813">
        <v>49.897907257</v>
      </c>
    </row>
    <row r="814" spans="1:14" x14ac:dyDescent="0.25">
      <c r="A814">
        <v>558.84331699999996</v>
      </c>
      <c r="B814" s="1">
        <f>DATE(2011,11,10) + TIME(20,14,22)</f>
        <v>40857.843310185184</v>
      </c>
      <c r="C814">
        <v>0</v>
      </c>
      <c r="D814">
        <v>2400</v>
      </c>
      <c r="E814">
        <v>2400</v>
      </c>
      <c r="F814">
        <v>0</v>
      </c>
      <c r="G814">
        <v>1323.2186279</v>
      </c>
      <c r="H814">
        <v>1318.4245605000001</v>
      </c>
      <c r="I814">
        <v>1367.0360106999999</v>
      </c>
      <c r="J814">
        <v>1356.0639647999999</v>
      </c>
      <c r="K814">
        <v>80</v>
      </c>
      <c r="L814">
        <v>78.621940613000007</v>
      </c>
      <c r="M814">
        <v>50</v>
      </c>
      <c r="N814">
        <v>49.906551360999998</v>
      </c>
    </row>
    <row r="815" spans="1:14" x14ac:dyDescent="0.25">
      <c r="A815">
        <v>559.53000599999996</v>
      </c>
      <c r="B815" s="1">
        <f>DATE(2011,11,11) + TIME(12,43,12)</f>
        <v>40858.53</v>
      </c>
      <c r="C815">
        <v>0</v>
      </c>
      <c r="D815">
        <v>2400</v>
      </c>
      <c r="E815">
        <v>2400</v>
      </c>
      <c r="F815">
        <v>0</v>
      </c>
      <c r="G815">
        <v>1323.1914062000001</v>
      </c>
      <c r="H815">
        <v>1318.3919678</v>
      </c>
      <c r="I815">
        <v>1366.9875488</v>
      </c>
      <c r="J815">
        <v>1356.0228271000001</v>
      </c>
      <c r="K815">
        <v>80</v>
      </c>
      <c r="L815">
        <v>78.546424865999995</v>
      </c>
      <c r="M815">
        <v>50</v>
      </c>
      <c r="N815">
        <v>49.912933350000003</v>
      </c>
    </row>
    <row r="816" spans="1:14" x14ac:dyDescent="0.25">
      <c r="A816">
        <v>560.23127099999999</v>
      </c>
      <c r="B816" s="1">
        <f>DATE(2011,11,12) + TIME(5,33,1)</f>
        <v>40859.231261574074</v>
      </c>
      <c r="C816">
        <v>0</v>
      </c>
      <c r="D816">
        <v>2400</v>
      </c>
      <c r="E816">
        <v>2400</v>
      </c>
      <c r="F816">
        <v>0</v>
      </c>
      <c r="G816">
        <v>1323.1624756000001</v>
      </c>
      <c r="H816">
        <v>1318.3572998</v>
      </c>
      <c r="I816">
        <v>1366.9398193</v>
      </c>
      <c r="J816">
        <v>1355.9820557</v>
      </c>
      <c r="K816">
        <v>80</v>
      </c>
      <c r="L816">
        <v>78.469505310000002</v>
      </c>
      <c r="M816">
        <v>50</v>
      </c>
      <c r="N816">
        <v>49.917530059999997</v>
      </c>
    </row>
    <row r="817" spans="1:14" x14ac:dyDescent="0.25">
      <c r="A817">
        <v>560.94576400000005</v>
      </c>
      <c r="B817" s="1">
        <f>DATE(2011,11,12) + TIME(22,41,53)</f>
        <v>40859.945752314816</v>
      </c>
      <c r="C817">
        <v>0</v>
      </c>
      <c r="D817">
        <v>2400</v>
      </c>
      <c r="E817">
        <v>2400</v>
      </c>
      <c r="F817">
        <v>0</v>
      </c>
      <c r="G817">
        <v>1323.1324463000001</v>
      </c>
      <c r="H817">
        <v>1318.3212891000001</v>
      </c>
      <c r="I817">
        <v>1366.8936768000001</v>
      </c>
      <c r="J817">
        <v>1355.9426269999999</v>
      </c>
      <c r="K817">
        <v>80</v>
      </c>
      <c r="L817">
        <v>78.391433715999995</v>
      </c>
      <c r="M817">
        <v>50</v>
      </c>
      <c r="N817">
        <v>49.920848845999998</v>
      </c>
    </row>
    <row r="818" spans="1:14" x14ac:dyDescent="0.25">
      <c r="A818">
        <v>561.67023800000004</v>
      </c>
      <c r="B818" s="1">
        <f>DATE(2011,11,13) + TIME(16,5,8)</f>
        <v>40860.670231481483</v>
      </c>
      <c r="C818">
        <v>0</v>
      </c>
      <c r="D818">
        <v>2400</v>
      </c>
      <c r="E818">
        <v>2400</v>
      </c>
      <c r="F818">
        <v>0</v>
      </c>
      <c r="G818">
        <v>1323.1015625</v>
      </c>
      <c r="H818">
        <v>1318.2838135</v>
      </c>
      <c r="I818">
        <v>1366.8493652</v>
      </c>
      <c r="J818">
        <v>1355.9044189000001</v>
      </c>
      <c r="K818">
        <v>80</v>
      </c>
      <c r="L818">
        <v>78.312606811999999</v>
      </c>
      <c r="M818">
        <v>50</v>
      </c>
      <c r="N818">
        <v>49.923248291</v>
      </c>
    </row>
    <row r="819" spans="1:14" x14ac:dyDescent="0.25">
      <c r="A819">
        <v>562.40628300000003</v>
      </c>
      <c r="B819" s="1">
        <f>DATE(2011,11,14) + TIME(9,45,2)</f>
        <v>40861.406273148146</v>
      </c>
      <c r="C819">
        <v>0</v>
      </c>
      <c r="D819">
        <v>2400</v>
      </c>
      <c r="E819">
        <v>2400</v>
      </c>
      <c r="F819">
        <v>0</v>
      </c>
      <c r="G819">
        <v>1323.0695800999999</v>
      </c>
      <c r="H819">
        <v>1318.2452393000001</v>
      </c>
      <c r="I819">
        <v>1366.8067627</v>
      </c>
      <c r="J819">
        <v>1355.8676757999999</v>
      </c>
      <c r="K819">
        <v>80</v>
      </c>
      <c r="L819">
        <v>78.233009338000002</v>
      </c>
      <c r="M819">
        <v>50</v>
      </c>
      <c r="N819">
        <v>49.925006865999997</v>
      </c>
    </row>
    <row r="820" spans="1:14" x14ac:dyDescent="0.25">
      <c r="A820">
        <v>563.15540199999998</v>
      </c>
      <c r="B820" s="1">
        <f>DATE(2011,11,15) + TIME(3,43,46)</f>
        <v>40862.155393518522</v>
      </c>
      <c r="C820">
        <v>0</v>
      </c>
      <c r="D820">
        <v>2400</v>
      </c>
      <c r="E820">
        <v>2400</v>
      </c>
      <c r="F820">
        <v>0</v>
      </c>
      <c r="G820">
        <v>1323.0367432</v>
      </c>
      <c r="H820">
        <v>1318.2053223</v>
      </c>
      <c r="I820">
        <v>1366.7657471</v>
      </c>
      <c r="J820">
        <v>1355.8321533000001</v>
      </c>
      <c r="K820">
        <v>80</v>
      </c>
      <c r="L820">
        <v>78.152610779</v>
      </c>
      <c r="M820">
        <v>50</v>
      </c>
      <c r="N820">
        <v>49.926311493</v>
      </c>
    </row>
    <row r="821" spans="1:14" x14ac:dyDescent="0.25">
      <c r="A821">
        <v>563.91879900000004</v>
      </c>
      <c r="B821" s="1">
        <f>DATE(2011,11,15) + TIME(22,3,4)</f>
        <v>40862.918796296297</v>
      </c>
      <c r="C821">
        <v>0</v>
      </c>
      <c r="D821">
        <v>2400</v>
      </c>
      <c r="E821">
        <v>2400</v>
      </c>
      <c r="F821">
        <v>0</v>
      </c>
      <c r="G821">
        <v>1323.0029297000001</v>
      </c>
      <c r="H821">
        <v>1318.1639404</v>
      </c>
      <c r="I821">
        <v>1366.7259521000001</v>
      </c>
      <c r="J821">
        <v>1355.7976074000001</v>
      </c>
      <c r="K821">
        <v>80</v>
      </c>
      <c r="L821">
        <v>78.071388244999994</v>
      </c>
      <c r="M821">
        <v>50</v>
      </c>
      <c r="N821">
        <v>49.927291869999998</v>
      </c>
    </row>
    <row r="822" spans="1:14" x14ac:dyDescent="0.25">
      <c r="A822">
        <v>564.69791699999996</v>
      </c>
      <c r="B822" s="1">
        <f>DATE(2011,11,16) + TIME(16,45,0)</f>
        <v>40863.697916666664</v>
      </c>
      <c r="C822">
        <v>0</v>
      </c>
      <c r="D822">
        <v>2400</v>
      </c>
      <c r="E822">
        <v>2400</v>
      </c>
      <c r="F822">
        <v>0</v>
      </c>
      <c r="G822">
        <v>1322.9678954999999</v>
      </c>
      <c r="H822">
        <v>1318.1212158000001</v>
      </c>
      <c r="I822">
        <v>1366.6873779</v>
      </c>
      <c r="J822">
        <v>1355.7640381000001</v>
      </c>
      <c r="K822">
        <v>80</v>
      </c>
      <c r="L822">
        <v>77.989265442000004</v>
      </c>
      <c r="M822">
        <v>50</v>
      </c>
      <c r="N822">
        <v>49.928043365000001</v>
      </c>
    </row>
    <row r="823" spans="1:14" x14ac:dyDescent="0.25">
      <c r="A823">
        <v>565.49446399999999</v>
      </c>
      <c r="B823" s="1">
        <f>DATE(2011,11,17) + TIME(11,52,1)</f>
        <v>40864.494456018518</v>
      </c>
      <c r="C823">
        <v>0</v>
      </c>
      <c r="D823">
        <v>2400</v>
      </c>
      <c r="E823">
        <v>2400</v>
      </c>
      <c r="F823">
        <v>0</v>
      </c>
      <c r="G823">
        <v>1322.9317627</v>
      </c>
      <c r="H823">
        <v>1318.0769043</v>
      </c>
      <c r="I823">
        <v>1366.6499022999999</v>
      </c>
      <c r="J823">
        <v>1355.7313231999999</v>
      </c>
      <c r="K823">
        <v>80</v>
      </c>
      <c r="L823">
        <v>77.906158446999996</v>
      </c>
      <c r="M823">
        <v>50</v>
      </c>
      <c r="N823">
        <v>49.928623199</v>
      </c>
    </row>
    <row r="824" spans="1:14" x14ac:dyDescent="0.25">
      <c r="A824">
        <v>566.30998</v>
      </c>
      <c r="B824" s="1">
        <f>DATE(2011,11,18) + TIME(7,26,22)</f>
        <v>40865.309976851851</v>
      </c>
      <c r="C824">
        <v>0</v>
      </c>
      <c r="D824">
        <v>2400</v>
      </c>
      <c r="E824">
        <v>2400</v>
      </c>
      <c r="F824">
        <v>0</v>
      </c>
      <c r="G824">
        <v>1322.8944091999999</v>
      </c>
      <c r="H824">
        <v>1318.0308838000001</v>
      </c>
      <c r="I824">
        <v>1366.6134033000001</v>
      </c>
      <c r="J824">
        <v>1355.6993408000001</v>
      </c>
      <c r="K824">
        <v>80</v>
      </c>
      <c r="L824">
        <v>77.821968079000001</v>
      </c>
      <c r="M824">
        <v>50</v>
      </c>
      <c r="N824">
        <v>49.929084778000004</v>
      </c>
    </row>
    <row r="825" spans="1:14" x14ac:dyDescent="0.25">
      <c r="A825">
        <v>567.14605700000004</v>
      </c>
      <c r="B825" s="1">
        <f>DATE(2011,11,19) + TIME(3,30,19)</f>
        <v>40866.146053240744</v>
      </c>
      <c r="C825">
        <v>0</v>
      </c>
      <c r="D825">
        <v>2400</v>
      </c>
      <c r="E825">
        <v>2400</v>
      </c>
      <c r="F825">
        <v>0</v>
      </c>
      <c r="G825">
        <v>1322.8555908000001</v>
      </c>
      <c r="H825">
        <v>1317.9830322</v>
      </c>
      <c r="I825">
        <v>1366.5776367000001</v>
      </c>
      <c r="J825">
        <v>1355.6679687999999</v>
      </c>
      <c r="K825">
        <v>80</v>
      </c>
      <c r="L825">
        <v>77.736595154</v>
      </c>
      <c r="M825">
        <v>50</v>
      </c>
      <c r="N825">
        <v>49.929458617999998</v>
      </c>
    </row>
    <row r="826" spans="1:14" x14ac:dyDescent="0.25">
      <c r="A826">
        <v>568.00433499999997</v>
      </c>
      <c r="B826" s="1">
        <f>DATE(2011,11,20) + TIME(0,6,14)</f>
        <v>40867.004328703704</v>
      </c>
      <c r="C826">
        <v>0</v>
      </c>
      <c r="D826">
        <v>2400</v>
      </c>
      <c r="E826">
        <v>2400</v>
      </c>
      <c r="F826">
        <v>0</v>
      </c>
      <c r="G826">
        <v>1322.8154297000001</v>
      </c>
      <c r="H826">
        <v>1317.9333495999999</v>
      </c>
      <c r="I826">
        <v>1366.5426024999999</v>
      </c>
      <c r="J826">
        <v>1355.6370850000001</v>
      </c>
      <c r="K826">
        <v>80</v>
      </c>
      <c r="L826">
        <v>77.649940490999995</v>
      </c>
      <c r="M826">
        <v>50</v>
      </c>
      <c r="N826">
        <v>49.929759979000004</v>
      </c>
    </row>
    <row r="827" spans="1:14" x14ac:dyDescent="0.25">
      <c r="A827">
        <v>568.88655000000006</v>
      </c>
      <c r="B827" s="1">
        <f>DATE(2011,11,20) + TIME(21,16,37)</f>
        <v>40867.88653935185</v>
      </c>
      <c r="C827">
        <v>0</v>
      </c>
      <c r="D827">
        <v>2400</v>
      </c>
      <c r="E827">
        <v>2400</v>
      </c>
      <c r="F827">
        <v>0</v>
      </c>
      <c r="G827">
        <v>1322.7735596</v>
      </c>
      <c r="H827">
        <v>1317.8814697</v>
      </c>
      <c r="I827">
        <v>1366.5081786999999</v>
      </c>
      <c r="J827">
        <v>1355.6066894999999</v>
      </c>
      <c r="K827">
        <v>80</v>
      </c>
      <c r="L827">
        <v>77.561882018999995</v>
      </c>
      <c r="M827">
        <v>50</v>
      </c>
      <c r="N827">
        <v>49.930015564000001</v>
      </c>
    </row>
    <row r="828" spans="1:14" x14ac:dyDescent="0.25">
      <c r="A828">
        <v>569.794535</v>
      </c>
      <c r="B828" s="1">
        <f>DATE(2011,11,21) + TIME(19,4,7)</f>
        <v>40868.794525462959</v>
      </c>
      <c r="C828">
        <v>0</v>
      </c>
      <c r="D828">
        <v>2400</v>
      </c>
      <c r="E828">
        <v>2400</v>
      </c>
      <c r="F828">
        <v>0</v>
      </c>
      <c r="G828">
        <v>1322.7299805</v>
      </c>
      <c r="H828">
        <v>1317.8275146000001</v>
      </c>
      <c r="I828">
        <v>1366.4742432</v>
      </c>
      <c r="J828">
        <v>1355.5766602000001</v>
      </c>
      <c r="K828">
        <v>80</v>
      </c>
      <c r="L828">
        <v>77.472312927000004</v>
      </c>
      <c r="M828">
        <v>50</v>
      </c>
      <c r="N828">
        <v>49.930233002000001</v>
      </c>
    </row>
    <row r="829" spans="1:14" x14ac:dyDescent="0.25">
      <c r="A829">
        <v>570.73021100000005</v>
      </c>
      <c r="B829" s="1">
        <f>DATE(2011,11,22) + TIME(17,31,30)</f>
        <v>40869.730208333334</v>
      </c>
      <c r="C829">
        <v>0</v>
      </c>
      <c r="D829">
        <v>2400</v>
      </c>
      <c r="E829">
        <v>2400</v>
      </c>
      <c r="F829">
        <v>0</v>
      </c>
      <c r="G829">
        <v>1322.6846923999999</v>
      </c>
      <c r="H829">
        <v>1317.7711182</v>
      </c>
      <c r="I829">
        <v>1366.440918</v>
      </c>
      <c r="J829">
        <v>1355.5469971</v>
      </c>
      <c r="K829">
        <v>80</v>
      </c>
      <c r="L829">
        <v>77.381103515999996</v>
      </c>
      <c r="M829">
        <v>50</v>
      </c>
      <c r="N829">
        <v>49.930419921999999</v>
      </c>
    </row>
    <row r="830" spans="1:14" x14ac:dyDescent="0.25">
      <c r="A830">
        <v>571.69563900000003</v>
      </c>
      <c r="B830" s="1">
        <f>DATE(2011,11,23) + TIME(16,41,43)</f>
        <v>40870.695636574077</v>
      </c>
      <c r="C830">
        <v>0</v>
      </c>
      <c r="D830">
        <v>2400</v>
      </c>
      <c r="E830">
        <v>2400</v>
      </c>
      <c r="F830">
        <v>0</v>
      </c>
      <c r="G830">
        <v>1322.6374512</v>
      </c>
      <c r="H830">
        <v>1317.7121582</v>
      </c>
      <c r="I830">
        <v>1366.4079589999999</v>
      </c>
      <c r="J830">
        <v>1355.5175781</v>
      </c>
      <c r="K830">
        <v>80</v>
      </c>
      <c r="L830">
        <v>77.288131714000002</v>
      </c>
      <c r="M830">
        <v>50</v>
      </c>
      <c r="N830">
        <v>49.930583953999999</v>
      </c>
    </row>
    <row r="831" spans="1:14" x14ac:dyDescent="0.25">
      <c r="A831">
        <v>572.69292600000006</v>
      </c>
      <c r="B831" s="1">
        <f>DATE(2011,11,24) + TIME(16,37,48)</f>
        <v>40871.692916666667</v>
      </c>
      <c r="C831">
        <v>0</v>
      </c>
      <c r="D831">
        <v>2400</v>
      </c>
      <c r="E831">
        <v>2400</v>
      </c>
      <c r="F831">
        <v>0</v>
      </c>
      <c r="G831">
        <v>1322.5880127</v>
      </c>
      <c r="H831">
        <v>1317.6505127</v>
      </c>
      <c r="I831">
        <v>1366.3752440999999</v>
      </c>
      <c r="J831">
        <v>1355.4884033000001</v>
      </c>
      <c r="K831">
        <v>80</v>
      </c>
      <c r="L831">
        <v>77.193260193</v>
      </c>
      <c r="M831">
        <v>50</v>
      </c>
      <c r="N831">
        <v>49.930732726999999</v>
      </c>
    </row>
    <row r="832" spans="1:14" x14ac:dyDescent="0.25">
      <c r="A832">
        <v>573.72421199999997</v>
      </c>
      <c r="B832" s="1">
        <f>DATE(2011,11,25) + TIME(17,22,51)</f>
        <v>40872.72420138889</v>
      </c>
      <c r="C832">
        <v>0</v>
      </c>
      <c r="D832">
        <v>2400</v>
      </c>
      <c r="E832">
        <v>2400</v>
      </c>
      <c r="F832">
        <v>0</v>
      </c>
      <c r="G832">
        <v>1322.5363769999999</v>
      </c>
      <c r="H832">
        <v>1317.5858154</v>
      </c>
      <c r="I832">
        <v>1366.3430175999999</v>
      </c>
      <c r="J832">
        <v>1355.4593506000001</v>
      </c>
      <c r="K832">
        <v>80</v>
      </c>
      <c r="L832">
        <v>77.096366881999998</v>
      </c>
      <c r="M832">
        <v>50</v>
      </c>
      <c r="N832">
        <v>49.930870056000003</v>
      </c>
    </row>
    <row r="833" spans="1:14" x14ac:dyDescent="0.25">
      <c r="A833">
        <v>574.785752</v>
      </c>
      <c r="B833" s="1">
        <f>DATE(2011,11,26) + TIME(18,51,28)</f>
        <v>40873.785740740743</v>
      </c>
      <c r="C833">
        <v>0</v>
      </c>
      <c r="D833">
        <v>2400</v>
      </c>
      <c r="E833">
        <v>2400</v>
      </c>
      <c r="F833">
        <v>0</v>
      </c>
      <c r="G833">
        <v>1322.4824219</v>
      </c>
      <c r="H833">
        <v>1317.5181885</v>
      </c>
      <c r="I833">
        <v>1366.3109131000001</v>
      </c>
      <c r="J833">
        <v>1355.4304199000001</v>
      </c>
      <c r="K833">
        <v>80</v>
      </c>
      <c r="L833">
        <v>76.997688292999996</v>
      </c>
      <c r="M833">
        <v>50</v>
      </c>
      <c r="N833">
        <v>49.930992126</v>
      </c>
    </row>
    <row r="834" spans="1:14" x14ac:dyDescent="0.25">
      <c r="A834">
        <v>575.86575700000003</v>
      </c>
      <c r="B834" s="1">
        <f>DATE(2011,11,27) + TIME(20,46,41)</f>
        <v>40874.865752314814</v>
      </c>
      <c r="C834">
        <v>0</v>
      </c>
      <c r="D834">
        <v>2400</v>
      </c>
      <c r="E834">
        <v>2400</v>
      </c>
      <c r="F834">
        <v>0</v>
      </c>
      <c r="G834">
        <v>1322.4261475000001</v>
      </c>
      <c r="H834">
        <v>1317.4475098</v>
      </c>
      <c r="I834">
        <v>1366.2792969</v>
      </c>
      <c r="J834">
        <v>1355.4017334</v>
      </c>
      <c r="K834">
        <v>80</v>
      </c>
      <c r="L834">
        <v>76.898017882999994</v>
      </c>
      <c r="M834">
        <v>50</v>
      </c>
      <c r="N834">
        <v>49.931106567</v>
      </c>
    </row>
    <row r="835" spans="1:14" x14ac:dyDescent="0.25">
      <c r="A835">
        <v>576.96637099999998</v>
      </c>
      <c r="B835" s="1">
        <f>DATE(2011,11,28) + TIME(23,11,34)</f>
        <v>40875.966365740744</v>
      </c>
      <c r="C835">
        <v>0</v>
      </c>
      <c r="D835">
        <v>2400</v>
      </c>
      <c r="E835">
        <v>2400</v>
      </c>
      <c r="F835">
        <v>0</v>
      </c>
      <c r="G835">
        <v>1322.3680420000001</v>
      </c>
      <c r="H835">
        <v>1317.3745117000001</v>
      </c>
      <c r="I835">
        <v>1366.2484131000001</v>
      </c>
      <c r="J835">
        <v>1355.3735352000001</v>
      </c>
      <c r="K835">
        <v>80</v>
      </c>
      <c r="L835">
        <v>76.797370911000002</v>
      </c>
      <c r="M835">
        <v>50</v>
      </c>
      <c r="N835">
        <v>49.931217193999998</v>
      </c>
    </row>
    <row r="836" spans="1:14" x14ac:dyDescent="0.25">
      <c r="A836">
        <v>578.08958600000005</v>
      </c>
      <c r="B836" s="1">
        <f>DATE(2011,11,30) + TIME(2,9,0)</f>
        <v>40877.089583333334</v>
      </c>
      <c r="C836">
        <v>0</v>
      </c>
      <c r="D836">
        <v>2400</v>
      </c>
      <c r="E836">
        <v>2400</v>
      </c>
      <c r="F836">
        <v>0</v>
      </c>
      <c r="G836">
        <v>1322.3082274999999</v>
      </c>
      <c r="H836">
        <v>1317.2989502</v>
      </c>
      <c r="I836">
        <v>1366.2181396000001</v>
      </c>
      <c r="J836">
        <v>1355.3458252</v>
      </c>
      <c r="K836">
        <v>80</v>
      </c>
      <c r="L836">
        <v>76.695724487000007</v>
      </c>
      <c r="M836">
        <v>50</v>
      </c>
      <c r="N836">
        <v>49.931320190000001</v>
      </c>
    </row>
    <row r="837" spans="1:14" x14ac:dyDescent="0.25">
      <c r="A837">
        <v>579</v>
      </c>
      <c r="B837" s="1">
        <f>DATE(2011,12,1) + TIME(0,0,0)</f>
        <v>40878</v>
      </c>
      <c r="C837">
        <v>0</v>
      </c>
      <c r="D837">
        <v>2400</v>
      </c>
      <c r="E837">
        <v>2400</v>
      </c>
      <c r="F837">
        <v>0</v>
      </c>
      <c r="G837">
        <v>1322.2473144999999</v>
      </c>
      <c r="H837">
        <v>1317.2229004000001</v>
      </c>
      <c r="I837">
        <v>1366.1882324000001</v>
      </c>
      <c r="J837">
        <v>1355.3183594</v>
      </c>
      <c r="K837">
        <v>80</v>
      </c>
      <c r="L837">
        <v>76.607917786000002</v>
      </c>
      <c r="M837">
        <v>50</v>
      </c>
      <c r="N837">
        <v>49.931396483999997</v>
      </c>
    </row>
    <row r="838" spans="1:14" x14ac:dyDescent="0.25">
      <c r="A838">
        <v>580.14784799999995</v>
      </c>
      <c r="B838" s="1">
        <f>DATE(2011,12,2) + TIME(3,32,54)</f>
        <v>40879.147847222222</v>
      </c>
      <c r="C838">
        <v>0</v>
      </c>
      <c r="D838">
        <v>2400</v>
      </c>
      <c r="E838">
        <v>2400</v>
      </c>
      <c r="F838">
        <v>0</v>
      </c>
      <c r="G838">
        <v>1322.1943358999999</v>
      </c>
      <c r="H838">
        <v>1317.1547852000001</v>
      </c>
      <c r="I838">
        <v>1366.1651611</v>
      </c>
      <c r="J838">
        <v>1355.2969971</v>
      </c>
      <c r="K838">
        <v>80</v>
      </c>
      <c r="L838">
        <v>76.507759093999994</v>
      </c>
      <c r="M838">
        <v>50</v>
      </c>
      <c r="N838">
        <v>49.931495667</v>
      </c>
    </row>
    <row r="839" spans="1:14" x14ac:dyDescent="0.25">
      <c r="A839">
        <v>581.34557700000005</v>
      </c>
      <c r="B839" s="1">
        <f>DATE(2011,12,3) + TIME(8,17,37)</f>
        <v>40880.345567129632</v>
      </c>
      <c r="C839">
        <v>0</v>
      </c>
      <c r="D839">
        <v>2400</v>
      </c>
      <c r="E839">
        <v>2400</v>
      </c>
      <c r="F839">
        <v>0</v>
      </c>
      <c r="G839">
        <v>1322.1301269999999</v>
      </c>
      <c r="H839">
        <v>1317.0734863</v>
      </c>
      <c r="I839">
        <v>1366.1368408000001</v>
      </c>
      <c r="J839">
        <v>1355.2707519999999</v>
      </c>
      <c r="K839">
        <v>80</v>
      </c>
      <c r="L839">
        <v>76.404640197999996</v>
      </c>
      <c r="M839">
        <v>50</v>
      </c>
      <c r="N839">
        <v>49.931594849</v>
      </c>
    </row>
    <row r="840" spans="1:14" x14ac:dyDescent="0.25">
      <c r="A840">
        <v>582.573533</v>
      </c>
      <c r="B840" s="1">
        <f>DATE(2011,12,4) + TIME(13,45,53)</f>
        <v>40881.573530092595</v>
      </c>
      <c r="C840">
        <v>0</v>
      </c>
      <c r="D840">
        <v>2400</v>
      </c>
      <c r="E840">
        <v>2400</v>
      </c>
      <c r="F840">
        <v>0</v>
      </c>
      <c r="G840">
        <v>1322.0623779</v>
      </c>
      <c r="H840">
        <v>1316.9876709</v>
      </c>
      <c r="I840">
        <v>1366.1083983999999</v>
      </c>
      <c r="J840">
        <v>1355.2442627</v>
      </c>
      <c r="K840">
        <v>80</v>
      </c>
      <c r="L840">
        <v>76.299629210999996</v>
      </c>
      <c r="M840">
        <v>50</v>
      </c>
      <c r="N840">
        <v>49.931690216</v>
      </c>
    </row>
    <row r="841" spans="1:14" x14ac:dyDescent="0.25">
      <c r="A841">
        <v>583.83460200000002</v>
      </c>
      <c r="B841" s="1">
        <f>DATE(2011,12,5) + TIME(20,1,49)</f>
        <v>40882.834594907406</v>
      </c>
      <c r="C841">
        <v>0</v>
      </c>
      <c r="D841">
        <v>2400</v>
      </c>
      <c r="E841">
        <v>2400</v>
      </c>
      <c r="F841">
        <v>0</v>
      </c>
      <c r="G841">
        <v>1321.9919434000001</v>
      </c>
      <c r="H841">
        <v>1316.8981934000001</v>
      </c>
      <c r="I841">
        <v>1366.0803223</v>
      </c>
      <c r="J841">
        <v>1355.2178954999999</v>
      </c>
      <c r="K841">
        <v>80</v>
      </c>
      <c r="L841">
        <v>76.192787170000003</v>
      </c>
      <c r="M841">
        <v>50</v>
      </c>
      <c r="N841">
        <v>49.931789397999999</v>
      </c>
    </row>
    <row r="842" spans="1:14" x14ac:dyDescent="0.25">
      <c r="A842">
        <v>585.13133300000004</v>
      </c>
      <c r="B842" s="1">
        <f>DATE(2011,12,7) + TIME(3,9,7)</f>
        <v>40884.131331018521</v>
      </c>
      <c r="C842">
        <v>0</v>
      </c>
      <c r="D842">
        <v>2400</v>
      </c>
      <c r="E842">
        <v>2400</v>
      </c>
      <c r="F842">
        <v>0</v>
      </c>
      <c r="G842">
        <v>1321.9188231999999</v>
      </c>
      <c r="H842">
        <v>1316.8050536999999</v>
      </c>
      <c r="I842">
        <v>1366.0524902</v>
      </c>
      <c r="J842">
        <v>1355.1916504000001</v>
      </c>
      <c r="K842">
        <v>80</v>
      </c>
      <c r="L842">
        <v>76.084121703999998</v>
      </c>
      <c r="M842">
        <v>50</v>
      </c>
      <c r="N842">
        <v>49.931888579999999</v>
      </c>
    </row>
    <row r="843" spans="1:14" x14ac:dyDescent="0.25">
      <c r="A843">
        <v>586.46592799999996</v>
      </c>
      <c r="B843" s="1">
        <f>DATE(2011,12,8) + TIME(11,10,56)</f>
        <v>40885.465925925928</v>
      </c>
      <c r="C843">
        <v>0</v>
      </c>
      <c r="D843">
        <v>2400</v>
      </c>
      <c r="E843">
        <v>2400</v>
      </c>
      <c r="F843">
        <v>0</v>
      </c>
      <c r="G843">
        <v>1321.8425293</v>
      </c>
      <c r="H843">
        <v>1316.7078856999999</v>
      </c>
      <c r="I843">
        <v>1366.0249022999999</v>
      </c>
      <c r="J843">
        <v>1355.1655272999999</v>
      </c>
      <c r="K843">
        <v>80</v>
      </c>
      <c r="L843">
        <v>75.973602295000006</v>
      </c>
      <c r="M843">
        <v>50</v>
      </c>
      <c r="N843">
        <v>49.931991576999998</v>
      </c>
    </row>
    <row r="844" spans="1:14" x14ac:dyDescent="0.25">
      <c r="A844">
        <v>587.84160999999995</v>
      </c>
      <c r="B844" s="1">
        <f>DATE(2011,12,9) + TIME(20,11,55)</f>
        <v>40886.841608796298</v>
      </c>
      <c r="C844">
        <v>0</v>
      </c>
      <c r="D844">
        <v>2400</v>
      </c>
      <c r="E844">
        <v>2400</v>
      </c>
      <c r="F844">
        <v>0</v>
      </c>
      <c r="G844">
        <v>1321.7633057</v>
      </c>
      <c r="H844">
        <v>1316.6065673999999</v>
      </c>
      <c r="I844">
        <v>1365.9975586</v>
      </c>
      <c r="J844">
        <v>1355.1395264</v>
      </c>
      <c r="K844">
        <v>80</v>
      </c>
      <c r="L844">
        <v>75.861145019999995</v>
      </c>
      <c r="M844">
        <v>50</v>
      </c>
      <c r="N844">
        <v>49.932094573999997</v>
      </c>
    </row>
    <row r="845" spans="1:14" x14ac:dyDescent="0.25">
      <c r="A845">
        <v>589.24928599999998</v>
      </c>
      <c r="B845" s="1">
        <f>DATE(2011,12,11) + TIME(5,58,58)</f>
        <v>40888.249282407407</v>
      </c>
      <c r="C845">
        <v>0</v>
      </c>
      <c r="D845">
        <v>2400</v>
      </c>
      <c r="E845">
        <v>2400</v>
      </c>
      <c r="F845">
        <v>0</v>
      </c>
      <c r="G845">
        <v>1321.6806641000001</v>
      </c>
      <c r="H845">
        <v>1316.5009766000001</v>
      </c>
      <c r="I845">
        <v>1365.9703368999999</v>
      </c>
      <c r="J845">
        <v>1355.1135254000001</v>
      </c>
      <c r="K845">
        <v>80</v>
      </c>
      <c r="L845">
        <v>75.747230529999996</v>
      </c>
      <c r="M845">
        <v>50</v>
      </c>
      <c r="N845">
        <v>49.932201384999999</v>
      </c>
    </row>
    <row r="846" spans="1:14" x14ac:dyDescent="0.25">
      <c r="A846">
        <v>590.68666099999996</v>
      </c>
      <c r="B846" s="1">
        <f>DATE(2011,12,12) + TIME(16,28,47)</f>
        <v>40889.686655092592</v>
      </c>
      <c r="C846">
        <v>0</v>
      </c>
      <c r="D846">
        <v>2400</v>
      </c>
      <c r="E846">
        <v>2400</v>
      </c>
      <c r="F846">
        <v>0</v>
      </c>
      <c r="G846">
        <v>1321.5952147999999</v>
      </c>
      <c r="H846">
        <v>1316.3914795000001</v>
      </c>
      <c r="I846">
        <v>1365.9436035000001</v>
      </c>
      <c r="J846">
        <v>1355.0876464999999</v>
      </c>
      <c r="K846">
        <v>80</v>
      </c>
      <c r="L846">
        <v>75.632110596000004</v>
      </c>
      <c r="M846">
        <v>50</v>
      </c>
      <c r="N846">
        <v>49.932308196999998</v>
      </c>
    </row>
    <row r="847" spans="1:14" x14ac:dyDescent="0.25">
      <c r="A847">
        <v>592.15651000000003</v>
      </c>
      <c r="B847" s="1">
        <f>DATE(2011,12,14) + TIME(3,45,22)</f>
        <v>40891.156504629631</v>
      </c>
      <c r="C847">
        <v>0</v>
      </c>
      <c r="D847">
        <v>2400</v>
      </c>
      <c r="E847">
        <v>2400</v>
      </c>
      <c r="F847">
        <v>0</v>
      </c>
      <c r="G847">
        <v>1321.5068358999999</v>
      </c>
      <c r="H847">
        <v>1316.2781981999999</v>
      </c>
      <c r="I847">
        <v>1365.9171143000001</v>
      </c>
      <c r="J847">
        <v>1355.0620117000001</v>
      </c>
      <c r="K847">
        <v>80</v>
      </c>
      <c r="L847">
        <v>75.515800475999995</v>
      </c>
      <c r="M847">
        <v>50</v>
      </c>
      <c r="N847">
        <v>49.932418822999999</v>
      </c>
    </row>
    <row r="848" spans="1:14" x14ac:dyDescent="0.25">
      <c r="A848">
        <v>593.66162399999996</v>
      </c>
      <c r="B848" s="1">
        <f>DATE(2011,12,15) + TIME(15,52,44)</f>
        <v>40892.661620370367</v>
      </c>
      <c r="C848">
        <v>0</v>
      </c>
      <c r="D848">
        <v>2400</v>
      </c>
      <c r="E848">
        <v>2400</v>
      </c>
      <c r="F848">
        <v>0</v>
      </c>
      <c r="G848">
        <v>1321.4155272999999</v>
      </c>
      <c r="H848">
        <v>1316.1608887</v>
      </c>
      <c r="I848">
        <v>1365.8911132999999</v>
      </c>
      <c r="J848">
        <v>1355.0366211</v>
      </c>
      <c r="K848">
        <v>80</v>
      </c>
      <c r="L848">
        <v>75.398262024000005</v>
      </c>
      <c r="M848">
        <v>50</v>
      </c>
      <c r="N848">
        <v>49.932529449</v>
      </c>
    </row>
    <row r="849" spans="1:14" x14ac:dyDescent="0.25">
      <c r="A849">
        <v>595.20494499999995</v>
      </c>
      <c r="B849" s="1">
        <f>DATE(2011,12,17) + TIME(4,55,7)</f>
        <v>40894.204942129632</v>
      </c>
      <c r="C849">
        <v>0</v>
      </c>
      <c r="D849">
        <v>2400</v>
      </c>
      <c r="E849">
        <v>2400</v>
      </c>
      <c r="F849">
        <v>0</v>
      </c>
      <c r="G849">
        <v>1321.3210449000001</v>
      </c>
      <c r="H849">
        <v>1316.0393065999999</v>
      </c>
      <c r="I849">
        <v>1365.8652344</v>
      </c>
      <c r="J849">
        <v>1355.0113524999999</v>
      </c>
      <c r="K849">
        <v>80</v>
      </c>
      <c r="L849">
        <v>75.279403686999999</v>
      </c>
      <c r="M849">
        <v>50</v>
      </c>
      <c r="N849">
        <v>49.932647705000001</v>
      </c>
    </row>
    <row r="850" spans="1:14" x14ac:dyDescent="0.25">
      <c r="A850">
        <v>596.789489</v>
      </c>
      <c r="B850" s="1">
        <f>DATE(2011,12,18) + TIME(18,56,51)</f>
        <v>40895.789479166669</v>
      </c>
      <c r="C850">
        <v>0</v>
      </c>
      <c r="D850">
        <v>2400</v>
      </c>
      <c r="E850">
        <v>2400</v>
      </c>
      <c r="F850">
        <v>0</v>
      </c>
      <c r="G850">
        <v>1321.2231445</v>
      </c>
      <c r="H850">
        <v>1315.9130858999999</v>
      </c>
      <c r="I850">
        <v>1365.8397216999999</v>
      </c>
      <c r="J850">
        <v>1354.9862060999999</v>
      </c>
      <c r="K850">
        <v>80</v>
      </c>
      <c r="L850">
        <v>75.159126282000003</v>
      </c>
      <c r="M850">
        <v>50</v>
      </c>
      <c r="N850">
        <v>49.932765961000001</v>
      </c>
    </row>
    <row r="851" spans="1:14" x14ac:dyDescent="0.25">
      <c r="A851">
        <v>598.41786500000001</v>
      </c>
      <c r="B851" s="1">
        <f>DATE(2011,12,20) + TIME(10,1,43)</f>
        <v>40897.417858796296</v>
      </c>
      <c r="C851">
        <v>0</v>
      </c>
      <c r="D851">
        <v>2400</v>
      </c>
      <c r="E851">
        <v>2400</v>
      </c>
      <c r="F851">
        <v>0</v>
      </c>
      <c r="G851">
        <v>1321.121582</v>
      </c>
      <c r="H851">
        <v>1315.7821045000001</v>
      </c>
      <c r="I851">
        <v>1365.8144531</v>
      </c>
      <c r="J851">
        <v>1354.9611815999999</v>
      </c>
      <c r="K851">
        <v>80</v>
      </c>
      <c r="L851">
        <v>75.037322997999993</v>
      </c>
      <c r="M851">
        <v>50</v>
      </c>
      <c r="N851">
        <v>49.932888030999997</v>
      </c>
    </row>
    <row r="852" spans="1:14" x14ac:dyDescent="0.25">
      <c r="A852">
        <v>600.09380299999998</v>
      </c>
      <c r="B852" s="1">
        <f>DATE(2011,12,22) + TIME(2,15,4)</f>
        <v>40899.0937962963</v>
      </c>
      <c r="C852">
        <v>0</v>
      </c>
      <c r="D852">
        <v>2400</v>
      </c>
      <c r="E852">
        <v>2400</v>
      </c>
      <c r="F852">
        <v>0</v>
      </c>
      <c r="G852">
        <v>1321.0162353999999</v>
      </c>
      <c r="H852">
        <v>1315.6459961</v>
      </c>
      <c r="I852">
        <v>1365.7893065999999</v>
      </c>
      <c r="J852">
        <v>1354.9360352000001</v>
      </c>
      <c r="K852">
        <v>80</v>
      </c>
      <c r="L852">
        <v>74.913749695000007</v>
      </c>
      <c r="M852">
        <v>50</v>
      </c>
      <c r="N852">
        <v>49.933013916</v>
      </c>
    </row>
    <row r="853" spans="1:14" x14ac:dyDescent="0.25">
      <c r="A853">
        <v>601.80550400000004</v>
      </c>
      <c r="B853" s="1">
        <f>DATE(2011,12,23) + TIME(19,19,55)</f>
        <v>40900.805497685185</v>
      </c>
      <c r="C853">
        <v>0</v>
      </c>
      <c r="D853">
        <v>2400</v>
      </c>
      <c r="E853">
        <v>2400</v>
      </c>
      <c r="F853">
        <v>0</v>
      </c>
      <c r="G853">
        <v>1320.9068603999999</v>
      </c>
      <c r="H853">
        <v>1315.5043945</v>
      </c>
      <c r="I853">
        <v>1365.7642822</v>
      </c>
      <c r="J853">
        <v>1354.9110106999999</v>
      </c>
      <c r="K853">
        <v>80</v>
      </c>
      <c r="L853">
        <v>74.788887024000005</v>
      </c>
      <c r="M853">
        <v>50</v>
      </c>
      <c r="N853">
        <v>49.933143616000002</v>
      </c>
    </row>
    <row r="854" spans="1:14" x14ac:dyDescent="0.25">
      <c r="A854">
        <v>603.55540800000006</v>
      </c>
      <c r="B854" s="1">
        <f>DATE(2011,12,25) + TIME(13,19,47)</f>
        <v>40902.555405092593</v>
      </c>
      <c r="C854">
        <v>0</v>
      </c>
      <c r="D854">
        <v>2400</v>
      </c>
      <c r="E854">
        <v>2400</v>
      </c>
      <c r="F854">
        <v>0</v>
      </c>
      <c r="G854">
        <v>1320.7938231999999</v>
      </c>
      <c r="H854">
        <v>1315.3579102000001</v>
      </c>
      <c r="I854">
        <v>1365.739624</v>
      </c>
      <c r="J854">
        <v>1354.8861084</v>
      </c>
      <c r="K854">
        <v>80</v>
      </c>
      <c r="L854">
        <v>74.662857056000007</v>
      </c>
      <c r="M854">
        <v>50</v>
      </c>
      <c r="N854">
        <v>49.93327713</v>
      </c>
    </row>
    <row r="855" spans="1:14" x14ac:dyDescent="0.25">
      <c r="A855">
        <v>605.34692800000005</v>
      </c>
      <c r="B855" s="1">
        <f>DATE(2011,12,27) + TIME(8,19,34)</f>
        <v>40904.346921296295</v>
      </c>
      <c r="C855">
        <v>0</v>
      </c>
      <c r="D855">
        <v>2400</v>
      </c>
      <c r="E855">
        <v>2400</v>
      </c>
      <c r="F855">
        <v>0</v>
      </c>
      <c r="G855">
        <v>1320.677124</v>
      </c>
      <c r="H855">
        <v>1315.2064209</v>
      </c>
      <c r="I855">
        <v>1365.7152100000001</v>
      </c>
      <c r="J855">
        <v>1354.8613281</v>
      </c>
      <c r="K855">
        <v>80</v>
      </c>
      <c r="L855">
        <v>74.535636901999993</v>
      </c>
      <c r="M855">
        <v>50</v>
      </c>
      <c r="N855">
        <v>49.933414458999998</v>
      </c>
    </row>
    <row r="856" spans="1:14" x14ac:dyDescent="0.25">
      <c r="A856">
        <v>607.18360700000005</v>
      </c>
      <c r="B856" s="1">
        <f>DATE(2011,12,29) + TIME(4,24,23)</f>
        <v>40906.183599537035</v>
      </c>
      <c r="C856">
        <v>0</v>
      </c>
      <c r="D856">
        <v>2400</v>
      </c>
      <c r="E856">
        <v>2400</v>
      </c>
      <c r="F856">
        <v>0</v>
      </c>
      <c r="G856">
        <v>1320.5565185999999</v>
      </c>
      <c r="H856">
        <v>1315.0496826000001</v>
      </c>
      <c r="I856">
        <v>1365.6911620999999</v>
      </c>
      <c r="J856">
        <v>1354.8366699000001</v>
      </c>
      <c r="K856">
        <v>80</v>
      </c>
      <c r="L856">
        <v>74.407112122000001</v>
      </c>
      <c r="M856">
        <v>50</v>
      </c>
      <c r="N856">
        <v>49.933551788000003</v>
      </c>
    </row>
    <row r="857" spans="1:14" x14ac:dyDescent="0.25">
      <c r="A857">
        <v>609.06874200000004</v>
      </c>
      <c r="B857" s="1">
        <f>DATE(2011,12,31) + TIME(1,38,59)</f>
        <v>40908.068738425929</v>
      </c>
      <c r="C857">
        <v>0</v>
      </c>
      <c r="D857">
        <v>2400</v>
      </c>
      <c r="E857">
        <v>2400</v>
      </c>
      <c r="F857">
        <v>0</v>
      </c>
      <c r="G857">
        <v>1320.4317627</v>
      </c>
      <c r="H857">
        <v>1314.8873291</v>
      </c>
      <c r="I857">
        <v>1365.6671143000001</v>
      </c>
      <c r="J857">
        <v>1354.8121338000001</v>
      </c>
      <c r="K857">
        <v>80</v>
      </c>
      <c r="L857">
        <v>74.277153014999996</v>
      </c>
      <c r="M857">
        <v>50</v>
      </c>
      <c r="N857">
        <v>49.933692932</v>
      </c>
    </row>
    <row r="858" spans="1:14" x14ac:dyDescent="0.25">
      <c r="A858">
        <v>610</v>
      </c>
      <c r="B858" s="1">
        <f>DATE(2012,1,1) + TIME(0,0,0)</f>
        <v>40909</v>
      </c>
      <c r="C858">
        <v>0</v>
      </c>
      <c r="D858">
        <v>2400</v>
      </c>
      <c r="E858">
        <v>2400</v>
      </c>
      <c r="F858">
        <v>0</v>
      </c>
      <c r="G858">
        <v>1320.3095702999999</v>
      </c>
      <c r="H858">
        <v>1314.7313231999999</v>
      </c>
      <c r="I858">
        <v>1365.6427002</v>
      </c>
      <c r="J858">
        <v>1354.7874756000001</v>
      </c>
      <c r="K858">
        <v>80</v>
      </c>
      <c r="L858">
        <v>74.192146300999994</v>
      </c>
      <c r="M858">
        <v>50</v>
      </c>
      <c r="N858">
        <v>49.933761597</v>
      </c>
    </row>
    <row r="859" spans="1:14" x14ac:dyDescent="0.25">
      <c r="A859">
        <v>611.93706499999996</v>
      </c>
      <c r="B859" s="1">
        <f>DATE(2012,1,2) + TIME(22,29,22)</f>
        <v>40910.937060185184</v>
      </c>
      <c r="C859">
        <v>0</v>
      </c>
      <c r="D859">
        <v>2400</v>
      </c>
      <c r="E859">
        <v>2400</v>
      </c>
      <c r="F859">
        <v>0</v>
      </c>
      <c r="G859">
        <v>1320.2297363</v>
      </c>
      <c r="H859">
        <v>1314.6220702999999</v>
      </c>
      <c r="I859">
        <v>1365.6319579999999</v>
      </c>
      <c r="J859">
        <v>1354.7753906</v>
      </c>
      <c r="K859">
        <v>80</v>
      </c>
      <c r="L859">
        <v>74.071372986</v>
      </c>
      <c r="M859">
        <v>50</v>
      </c>
      <c r="N859">
        <v>49.933914184999999</v>
      </c>
    </row>
    <row r="860" spans="1:14" x14ac:dyDescent="0.25">
      <c r="A860">
        <v>613.93890499999998</v>
      </c>
      <c r="B860" s="1">
        <f>DATE(2012,1,4) + TIME(22,32,1)</f>
        <v>40912.938900462963</v>
      </c>
      <c r="C860">
        <v>0</v>
      </c>
      <c r="D860">
        <v>2400</v>
      </c>
      <c r="E860">
        <v>2400</v>
      </c>
      <c r="F860">
        <v>0</v>
      </c>
      <c r="G860">
        <v>1320.0997314000001</v>
      </c>
      <c r="H860">
        <v>1314.4530029</v>
      </c>
      <c r="I860">
        <v>1365.6086425999999</v>
      </c>
      <c r="J860">
        <v>1354.7513428</v>
      </c>
      <c r="K860">
        <v>80</v>
      </c>
      <c r="L860">
        <v>73.943740844999994</v>
      </c>
      <c r="M860">
        <v>50</v>
      </c>
      <c r="N860">
        <v>49.934062957999998</v>
      </c>
    </row>
    <row r="861" spans="1:14" x14ac:dyDescent="0.25">
      <c r="A861">
        <v>615.98557800000003</v>
      </c>
      <c r="B861" s="1">
        <f>DATE(2012,1,6) + TIME(23,39,13)</f>
        <v>40914.985567129632</v>
      </c>
      <c r="C861">
        <v>0</v>
      </c>
      <c r="D861">
        <v>2400</v>
      </c>
      <c r="E861">
        <v>2400</v>
      </c>
      <c r="F861">
        <v>0</v>
      </c>
      <c r="G861">
        <v>1319.9617920000001</v>
      </c>
      <c r="H861">
        <v>1314.2729492000001</v>
      </c>
      <c r="I861">
        <v>1365.5853271000001</v>
      </c>
      <c r="J861">
        <v>1354.7270507999999</v>
      </c>
      <c r="K861">
        <v>80</v>
      </c>
      <c r="L861">
        <v>73.812011718999997</v>
      </c>
      <c r="M861">
        <v>50</v>
      </c>
      <c r="N861">
        <v>49.934215545999997</v>
      </c>
    </row>
    <row r="862" spans="1:14" x14ac:dyDescent="0.25">
      <c r="A862">
        <v>618.08170199999995</v>
      </c>
      <c r="B862" s="1">
        <f>DATE(2012,1,9) + TIME(1,57,39)</f>
        <v>40917.081701388888</v>
      </c>
      <c r="C862">
        <v>0</v>
      </c>
      <c r="D862">
        <v>2400</v>
      </c>
      <c r="E862">
        <v>2400</v>
      </c>
      <c r="F862">
        <v>0</v>
      </c>
      <c r="G862">
        <v>1319.8181152</v>
      </c>
      <c r="H862">
        <v>1314.0848389</v>
      </c>
      <c r="I862">
        <v>1365.5621338000001</v>
      </c>
      <c r="J862">
        <v>1354.7028809000001</v>
      </c>
      <c r="K862">
        <v>80</v>
      </c>
      <c r="L862">
        <v>73.677528381000002</v>
      </c>
      <c r="M862">
        <v>50</v>
      </c>
      <c r="N862">
        <v>49.934371947999999</v>
      </c>
    </row>
    <row r="863" spans="1:14" x14ac:dyDescent="0.25">
      <c r="A863">
        <v>620.23134300000004</v>
      </c>
      <c r="B863" s="1">
        <f>DATE(2012,1,11) + TIME(5,33,8)</f>
        <v>40919.231342592589</v>
      </c>
      <c r="C863">
        <v>0</v>
      </c>
      <c r="D863">
        <v>2400</v>
      </c>
      <c r="E863">
        <v>2400</v>
      </c>
      <c r="F863">
        <v>0</v>
      </c>
      <c r="G863">
        <v>1319.6690673999999</v>
      </c>
      <c r="H863">
        <v>1313.8894043</v>
      </c>
      <c r="I863">
        <v>1365.5391846</v>
      </c>
      <c r="J863">
        <v>1354.6787108999999</v>
      </c>
      <c r="K863">
        <v>80</v>
      </c>
      <c r="L863">
        <v>73.540878296000002</v>
      </c>
      <c r="M863">
        <v>50</v>
      </c>
      <c r="N863">
        <v>49.934532165999997</v>
      </c>
    </row>
    <row r="864" spans="1:14" x14ac:dyDescent="0.25">
      <c r="A864">
        <v>622.43147799999997</v>
      </c>
      <c r="B864" s="1">
        <f>DATE(2012,1,13) + TIME(10,21,19)</f>
        <v>40921.431469907409</v>
      </c>
      <c r="C864">
        <v>0</v>
      </c>
      <c r="D864">
        <v>2400</v>
      </c>
      <c r="E864">
        <v>2400</v>
      </c>
      <c r="F864">
        <v>0</v>
      </c>
      <c r="G864">
        <v>1319.5148925999999</v>
      </c>
      <c r="H864">
        <v>1313.6867675999999</v>
      </c>
      <c r="I864">
        <v>1365.5163574000001</v>
      </c>
      <c r="J864">
        <v>1354.6545410000001</v>
      </c>
      <c r="K864">
        <v>80</v>
      </c>
      <c r="L864">
        <v>73.402450561999999</v>
      </c>
      <c r="M864">
        <v>50</v>
      </c>
      <c r="N864">
        <v>49.934696197999997</v>
      </c>
    </row>
    <row r="865" spans="1:14" x14ac:dyDescent="0.25">
      <c r="A865">
        <v>624.67976899999996</v>
      </c>
      <c r="B865" s="1">
        <f>DATE(2012,1,15) + TIME(16,18,52)</f>
        <v>40923.679768518516</v>
      </c>
      <c r="C865">
        <v>0</v>
      </c>
      <c r="D865">
        <v>2400</v>
      </c>
      <c r="E865">
        <v>2400</v>
      </c>
      <c r="F865">
        <v>0</v>
      </c>
      <c r="G865">
        <v>1319.3557129000001</v>
      </c>
      <c r="H865">
        <v>1313.4772949000001</v>
      </c>
      <c r="I865">
        <v>1365.4937743999999</v>
      </c>
      <c r="J865">
        <v>1354.6304932</v>
      </c>
      <c r="K865">
        <v>80</v>
      </c>
      <c r="L865">
        <v>73.262535095000004</v>
      </c>
      <c r="M865">
        <v>50</v>
      </c>
      <c r="N865">
        <v>49.934864044000001</v>
      </c>
    </row>
    <row r="866" spans="1:14" x14ac:dyDescent="0.25">
      <c r="A866">
        <v>626.96930399999997</v>
      </c>
      <c r="B866" s="1">
        <f>DATE(2012,1,17) + TIME(23,15,47)</f>
        <v>40925.969293981485</v>
      </c>
      <c r="C866">
        <v>0</v>
      </c>
      <c r="D866">
        <v>2400</v>
      </c>
      <c r="E866">
        <v>2400</v>
      </c>
      <c r="F866">
        <v>0</v>
      </c>
      <c r="G866">
        <v>1319.1916504000001</v>
      </c>
      <c r="H866">
        <v>1313.2609863</v>
      </c>
      <c r="I866">
        <v>1365.4711914</v>
      </c>
      <c r="J866">
        <v>1354.6065673999999</v>
      </c>
      <c r="K866">
        <v>80</v>
      </c>
      <c r="L866">
        <v>73.121467589999995</v>
      </c>
      <c r="M866">
        <v>50</v>
      </c>
      <c r="N866">
        <v>49.935031891000001</v>
      </c>
    </row>
    <row r="867" spans="1:14" x14ac:dyDescent="0.25">
      <c r="A867">
        <v>629.29816600000004</v>
      </c>
      <c r="B867" s="1">
        <f>DATE(2012,1,20) + TIME(7,9,21)</f>
        <v>40928.298159722224</v>
      </c>
      <c r="C867">
        <v>0</v>
      </c>
      <c r="D867">
        <v>2400</v>
      </c>
      <c r="E867">
        <v>2400</v>
      </c>
      <c r="F867">
        <v>0</v>
      </c>
      <c r="G867">
        <v>1319.0231934000001</v>
      </c>
      <c r="H867">
        <v>1313.0385742000001</v>
      </c>
      <c r="I867">
        <v>1365.4489745999999</v>
      </c>
      <c r="J867">
        <v>1354.5827637</v>
      </c>
      <c r="K867">
        <v>80</v>
      </c>
      <c r="L867">
        <v>72.979484557999996</v>
      </c>
      <c r="M867">
        <v>50</v>
      </c>
      <c r="N867">
        <v>49.935203551999997</v>
      </c>
    </row>
    <row r="868" spans="1:14" x14ac:dyDescent="0.25">
      <c r="A868">
        <v>631.67113700000004</v>
      </c>
      <c r="B868" s="1">
        <f>DATE(2012,1,22) + TIME(16,6,26)</f>
        <v>40930.671134259261</v>
      </c>
      <c r="C868">
        <v>0</v>
      </c>
      <c r="D868">
        <v>2400</v>
      </c>
      <c r="E868">
        <v>2400</v>
      </c>
      <c r="F868">
        <v>0</v>
      </c>
      <c r="G868">
        <v>1318.8505858999999</v>
      </c>
      <c r="H868">
        <v>1312.8100586</v>
      </c>
      <c r="I868">
        <v>1365.4270019999999</v>
      </c>
      <c r="J868">
        <v>1354.5592041</v>
      </c>
      <c r="K868">
        <v>80</v>
      </c>
      <c r="L868">
        <v>72.836540221999996</v>
      </c>
      <c r="M868">
        <v>50</v>
      </c>
      <c r="N868">
        <v>49.935375213999997</v>
      </c>
    </row>
    <row r="869" spans="1:14" x14ac:dyDescent="0.25">
      <c r="A869">
        <v>634.09303699999998</v>
      </c>
      <c r="B869" s="1">
        <f>DATE(2012,1,25) + TIME(2,13,58)</f>
        <v>40933.093032407407</v>
      </c>
      <c r="C869">
        <v>0</v>
      </c>
      <c r="D869">
        <v>2400</v>
      </c>
      <c r="E869">
        <v>2400</v>
      </c>
      <c r="F869">
        <v>0</v>
      </c>
      <c r="G869">
        <v>1318.6734618999999</v>
      </c>
      <c r="H869">
        <v>1312.5753173999999</v>
      </c>
      <c r="I869">
        <v>1365.4052733999999</v>
      </c>
      <c r="J869">
        <v>1354.5358887</v>
      </c>
      <c r="K869">
        <v>80</v>
      </c>
      <c r="L869">
        <v>72.692428589000002</v>
      </c>
      <c r="M869">
        <v>50</v>
      </c>
      <c r="N869">
        <v>49.935550689999999</v>
      </c>
    </row>
    <row r="870" spans="1:14" x14ac:dyDescent="0.25">
      <c r="A870">
        <v>636.56085399999995</v>
      </c>
      <c r="B870" s="1">
        <f>DATE(2012,1,27) + TIME(13,27,37)</f>
        <v>40935.560844907406</v>
      </c>
      <c r="C870">
        <v>0</v>
      </c>
      <c r="D870">
        <v>2400</v>
      </c>
      <c r="E870">
        <v>2400</v>
      </c>
      <c r="F870">
        <v>0</v>
      </c>
      <c r="G870">
        <v>1318.4915771000001</v>
      </c>
      <c r="H870">
        <v>1312.3338623</v>
      </c>
      <c r="I870">
        <v>1365.3836670000001</v>
      </c>
      <c r="J870">
        <v>1354.5126952999999</v>
      </c>
      <c r="K870">
        <v>80</v>
      </c>
      <c r="L870">
        <v>72.547065735000004</v>
      </c>
      <c r="M870">
        <v>50</v>
      </c>
      <c r="N870">
        <v>49.935729979999998</v>
      </c>
    </row>
    <row r="871" spans="1:14" x14ac:dyDescent="0.25">
      <c r="A871">
        <v>639.069389</v>
      </c>
      <c r="B871" s="1">
        <f>DATE(2012,1,30) + TIME(1,39,55)</f>
        <v>40938.069386574076</v>
      </c>
      <c r="C871">
        <v>0</v>
      </c>
      <c r="D871">
        <v>2400</v>
      </c>
      <c r="E871">
        <v>2400</v>
      </c>
      <c r="F871">
        <v>0</v>
      </c>
      <c r="G871">
        <v>1318.3050536999999</v>
      </c>
      <c r="H871">
        <v>1312.0858154</v>
      </c>
      <c r="I871">
        <v>1365.3621826000001</v>
      </c>
      <c r="J871">
        <v>1354.489624</v>
      </c>
      <c r="K871">
        <v>80</v>
      </c>
      <c r="L871">
        <v>72.400505065999994</v>
      </c>
      <c r="M871">
        <v>50</v>
      </c>
      <c r="N871">
        <v>49.935909271</v>
      </c>
    </row>
    <row r="872" spans="1:14" x14ac:dyDescent="0.25">
      <c r="A872">
        <v>641</v>
      </c>
      <c r="B872" s="1">
        <f>DATE(2012,2,1) + TIME(0,0,0)</f>
        <v>40940</v>
      </c>
      <c r="C872">
        <v>0</v>
      </c>
      <c r="D872">
        <v>2400</v>
      </c>
      <c r="E872">
        <v>2400</v>
      </c>
      <c r="F872">
        <v>0</v>
      </c>
      <c r="G872">
        <v>1318.1180420000001</v>
      </c>
      <c r="H872">
        <v>1311.8383789</v>
      </c>
      <c r="I872">
        <v>1365.3406981999999</v>
      </c>
      <c r="J872">
        <v>1354.4666748</v>
      </c>
      <c r="K872">
        <v>80</v>
      </c>
      <c r="L872">
        <v>72.270149231000005</v>
      </c>
      <c r="M872">
        <v>50</v>
      </c>
      <c r="N872">
        <v>49.936046599999997</v>
      </c>
    </row>
    <row r="873" spans="1:14" x14ac:dyDescent="0.25">
      <c r="A873">
        <v>643.55440499999997</v>
      </c>
      <c r="B873" s="1">
        <f>DATE(2012,2,3) + TIME(13,18,20)</f>
        <v>40942.554398148146</v>
      </c>
      <c r="C873">
        <v>0</v>
      </c>
      <c r="D873">
        <v>2400</v>
      </c>
      <c r="E873">
        <v>2400</v>
      </c>
      <c r="F873">
        <v>0</v>
      </c>
      <c r="G873">
        <v>1317.9572754000001</v>
      </c>
      <c r="H873">
        <v>1311.6204834</v>
      </c>
      <c r="I873">
        <v>1365.3250731999999</v>
      </c>
      <c r="J873">
        <v>1354.4493408000001</v>
      </c>
      <c r="K873">
        <v>80</v>
      </c>
      <c r="L873">
        <v>72.132720946999996</v>
      </c>
      <c r="M873">
        <v>50</v>
      </c>
      <c r="N873">
        <v>49.936225890999999</v>
      </c>
    </row>
    <row r="874" spans="1:14" x14ac:dyDescent="0.25">
      <c r="A874">
        <v>646.19532500000003</v>
      </c>
      <c r="B874" s="1">
        <f>DATE(2012,2,6) + TIME(4,41,16)</f>
        <v>40945.195324074077</v>
      </c>
      <c r="C874">
        <v>0</v>
      </c>
      <c r="D874">
        <v>2400</v>
      </c>
      <c r="E874">
        <v>2400</v>
      </c>
      <c r="F874">
        <v>0</v>
      </c>
      <c r="G874">
        <v>1317.7664795000001</v>
      </c>
      <c r="H874">
        <v>1311.3662108999999</v>
      </c>
      <c r="I874">
        <v>1365.3044434000001</v>
      </c>
      <c r="J874">
        <v>1354.4272461</v>
      </c>
      <c r="K874">
        <v>80</v>
      </c>
      <c r="L874">
        <v>71.987098693999997</v>
      </c>
      <c r="M874">
        <v>50</v>
      </c>
      <c r="N874">
        <v>49.936408997000001</v>
      </c>
    </row>
    <row r="875" spans="1:14" x14ac:dyDescent="0.25">
      <c r="A875">
        <v>648.87759100000005</v>
      </c>
      <c r="B875" s="1">
        <f>DATE(2012,2,8) + TIME(21,3,43)</f>
        <v>40947.877581018518</v>
      </c>
      <c r="C875">
        <v>0</v>
      </c>
      <c r="D875">
        <v>2400</v>
      </c>
      <c r="E875">
        <v>2400</v>
      </c>
      <c r="F875">
        <v>0</v>
      </c>
      <c r="G875">
        <v>1317.5656738</v>
      </c>
      <c r="H875">
        <v>1311.0976562000001</v>
      </c>
      <c r="I875">
        <v>1365.2834473</v>
      </c>
      <c r="J875">
        <v>1354.4050293</v>
      </c>
      <c r="K875">
        <v>80</v>
      </c>
      <c r="L875">
        <v>71.836517334000007</v>
      </c>
      <c r="M875">
        <v>50</v>
      </c>
      <c r="N875">
        <v>49.936592101999999</v>
      </c>
    </row>
    <row r="876" spans="1:14" x14ac:dyDescent="0.25">
      <c r="A876">
        <v>651.60749999999996</v>
      </c>
      <c r="B876" s="1">
        <f>DATE(2012,2,11) + TIME(14,34,47)</f>
        <v>40950.607488425929</v>
      </c>
      <c r="C876">
        <v>0</v>
      </c>
      <c r="D876">
        <v>2400</v>
      </c>
      <c r="E876">
        <v>2400</v>
      </c>
      <c r="F876">
        <v>0</v>
      </c>
      <c r="G876">
        <v>1317.3588867000001</v>
      </c>
      <c r="H876">
        <v>1310.8204346</v>
      </c>
      <c r="I876">
        <v>1365.2628173999999</v>
      </c>
      <c r="J876">
        <v>1354.3828125</v>
      </c>
      <c r="K876">
        <v>80</v>
      </c>
      <c r="L876">
        <v>71.682624817000004</v>
      </c>
      <c r="M876">
        <v>50</v>
      </c>
      <c r="N876">
        <v>49.936779022000003</v>
      </c>
    </row>
    <row r="877" spans="1:14" x14ac:dyDescent="0.25">
      <c r="A877">
        <v>654.39088600000002</v>
      </c>
      <c r="B877" s="1">
        <f>DATE(2012,2,14) + TIME(9,22,52)</f>
        <v>40953.390879629631</v>
      </c>
      <c r="C877">
        <v>0</v>
      </c>
      <c r="D877">
        <v>2400</v>
      </c>
      <c r="E877">
        <v>2400</v>
      </c>
      <c r="F877">
        <v>0</v>
      </c>
      <c r="G877">
        <v>1317.1469727000001</v>
      </c>
      <c r="H877">
        <v>1310.5355225000001</v>
      </c>
      <c r="I877">
        <v>1365.2421875</v>
      </c>
      <c r="J877">
        <v>1354.3609618999999</v>
      </c>
      <c r="K877">
        <v>80</v>
      </c>
      <c r="L877">
        <v>71.525749207000004</v>
      </c>
      <c r="M877">
        <v>50</v>
      </c>
      <c r="N877">
        <v>49.936965942</v>
      </c>
    </row>
    <row r="878" spans="1:14" x14ac:dyDescent="0.25">
      <c r="A878">
        <v>657.21640300000001</v>
      </c>
      <c r="B878" s="1">
        <f>DATE(2012,2,17) + TIME(5,11,37)</f>
        <v>40956.216400462959</v>
      </c>
      <c r="C878">
        <v>0</v>
      </c>
      <c r="D878">
        <v>2400</v>
      </c>
      <c r="E878">
        <v>2400</v>
      </c>
      <c r="F878">
        <v>0</v>
      </c>
      <c r="G878">
        <v>1316.9300536999999</v>
      </c>
      <c r="H878">
        <v>1310.2434082</v>
      </c>
      <c r="I878">
        <v>1365.2215576000001</v>
      </c>
      <c r="J878">
        <v>1354.3391113</v>
      </c>
      <c r="K878">
        <v>80</v>
      </c>
      <c r="L878">
        <v>71.366004943999997</v>
      </c>
      <c r="M878">
        <v>50</v>
      </c>
      <c r="N878">
        <v>49.937156676999997</v>
      </c>
    </row>
    <row r="879" spans="1:14" x14ac:dyDescent="0.25">
      <c r="A879">
        <v>660.088706</v>
      </c>
      <c r="B879" s="1">
        <f>DATE(2012,2,20) + TIME(2,7,44)</f>
        <v>40959.088703703703</v>
      </c>
      <c r="C879">
        <v>0</v>
      </c>
      <c r="D879">
        <v>2400</v>
      </c>
      <c r="E879">
        <v>2400</v>
      </c>
      <c r="F879">
        <v>0</v>
      </c>
      <c r="G879">
        <v>1316.7089844</v>
      </c>
      <c r="H879">
        <v>1309.9448242000001</v>
      </c>
      <c r="I879">
        <v>1365.2010498</v>
      </c>
      <c r="J879">
        <v>1354.3173827999999</v>
      </c>
      <c r="K879">
        <v>80</v>
      </c>
      <c r="L879">
        <v>71.203300475999995</v>
      </c>
      <c r="M879">
        <v>50</v>
      </c>
      <c r="N879">
        <v>49.937347412000001</v>
      </c>
    </row>
    <row r="880" spans="1:14" x14ac:dyDescent="0.25">
      <c r="A880">
        <v>663.01383799999996</v>
      </c>
      <c r="B880" s="1">
        <f>DATE(2012,2,23) + TIME(0,19,55)</f>
        <v>40962.013831018521</v>
      </c>
      <c r="C880">
        <v>0</v>
      </c>
      <c r="D880">
        <v>2400</v>
      </c>
      <c r="E880">
        <v>2400</v>
      </c>
      <c r="F880">
        <v>0</v>
      </c>
      <c r="G880">
        <v>1316.4836425999999</v>
      </c>
      <c r="H880">
        <v>1309.6398925999999</v>
      </c>
      <c r="I880">
        <v>1365.1806641000001</v>
      </c>
      <c r="J880">
        <v>1354.2960204999999</v>
      </c>
      <c r="K880">
        <v>80</v>
      </c>
      <c r="L880">
        <v>71.037178040000001</v>
      </c>
      <c r="M880">
        <v>50</v>
      </c>
      <c r="N880">
        <v>49.937538146999998</v>
      </c>
    </row>
    <row r="881" spans="1:14" x14ac:dyDescent="0.25">
      <c r="A881">
        <v>665.98665000000005</v>
      </c>
      <c r="B881" s="1">
        <f>DATE(2012,2,25) + TIME(23,40,46)</f>
        <v>40964.986643518518</v>
      </c>
      <c r="C881">
        <v>0</v>
      </c>
      <c r="D881">
        <v>2400</v>
      </c>
      <c r="E881">
        <v>2400</v>
      </c>
      <c r="F881">
        <v>0</v>
      </c>
      <c r="G881">
        <v>1316.2539062000001</v>
      </c>
      <c r="H881">
        <v>1309.3282471</v>
      </c>
      <c r="I881">
        <v>1365.1604004000001</v>
      </c>
      <c r="J881">
        <v>1354.2746582</v>
      </c>
      <c r="K881">
        <v>80</v>
      </c>
      <c r="L881">
        <v>70.867233275999993</v>
      </c>
      <c r="M881">
        <v>50</v>
      </c>
      <c r="N881">
        <v>49.937728882000002</v>
      </c>
    </row>
    <row r="882" spans="1:14" x14ac:dyDescent="0.25">
      <c r="A882">
        <v>669.00602700000002</v>
      </c>
      <c r="B882" s="1">
        <f>DATE(2012,2,29) + TIME(0,8,40)</f>
        <v>40968.006018518521</v>
      </c>
      <c r="C882">
        <v>0</v>
      </c>
      <c r="D882">
        <v>2400</v>
      </c>
      <c r="E882">
        <v>2400</v>
      </c>
      <c r="F882">
        <v>0</v>
      </c>
      <c r="G882">
        <v>1316.0198975000001</v>
      </c>
      <c r="H882">
        <v>1309.0102539</v>
      </c>
      <c r="I882">
        <v>1365.1400146000001</v>
      </c>
      <c r="J882">
        <v>1354.2536620999999</v>
      </c>
      <c r="K882">
        <v>80</v>
      </c>
      <c r="L882">
        <v>70.693138122999997</v>
      </c>
      <c r="M882">
        <v>50</v>
      </c>
      <c r="N882">
        <v>49.937919616999999</v>
      </c>
    </row>
    <row r="883" spans="1:14" x14ac:dyDescent="0.25">
      <c r="A883">
        <v>670</v>
      </c>
      <c r="B883" s="1">
        <f>DATE(2012,3,1) + TIME(0,0,0)</f>
        <v>40969</v>
      </c>
      <c r="C883">
        <v>0</v>
      </c>
      <c r="D883">
        <v>2400</v>
      </c>
      <c r="E883">
        <v>2400</v>
      </c>
      <c r="F883">
        <v>0</v>
      </c>
      <c r="G883">
        <v>1315.7998047000001</v>
      </c>
      <c r="H883">
        <v>1308.7196045000001</v>
      </c>
      <c r="I883">
        <v>1365.1187743999999</v>
      </c>
      <c r="J883">
        <v>1354.2324219</v>
      </c>
      <c r="K883">
        <v>80</v>
      </c>
      <c r="L883">
        <v>70.589889525999993</v>
      </c>
      <c r="M883">
        <v>50</v>
      </c>
      <c r="N883">
        <v>49.937980652</v>
      </c>
    </row>
    <row r="884" spans="1:14" x14ac:dyDescent="0.25">
      <c r="A884">
        <v>673.07262000000003</v>
      </c>
      <c r="B884" s="1">
        <f>DATE(2012,3,4) + TIME(1,44,34)</f>
        <v>40972.072615740741</v>
      </c>
      <c r="C884">
        <v>0</v>
      </c>
      <c r="D884">
        <v>2400</v>
      </c>
      <c r="E884">
        <v>2400</v>
      </c>
      <c r="F884">
        <v>0</v>
      </c>
      <c r="G884">
        <v>1315.6796875</v>
      </c>
      <c r="H884">
        <v>1308.5419922000001</v>
      </c>
      <c r="I884">
        <v>1365.1132812000001</v>
      </c>
      <c r="J884">
        <v>1354.2252197</v>
      </c>
      <c r="K884">
        <v>80</v>
      </c>
      <c r="L884">
        <v>70.439277649000005</v>
      </c>
      <c r="M884">
        <v>50</v>
      </c>
      <c r="N884">
        <v>49.938179015999999</v>
      </c>
    </row>
    <row r="885" spans="1:14" x14ac:dyDescent="0.25">
      <c r="A885">
        <v>676.21336199999996</v>
      </c>
      <c r="B885" s="1">
        <f>DATE(2012,3,7) + TIME(5,7,14)</f>
        <v>40975.213356481479</v>
      </c>
      <c r="C885">
        <v>0</v>
      </c>
      <c r="D885">
        <v>2400</v>
      </c>
      <c r="E885">
        <v>2400</v>
      </c>
      <c r="F885">
        <v>0</v>
      </c>
      <c r="G885">
        <v>1315.4537353999999</v>
      </c>
      <c r="H885">
        <v>1308.2358397999999</v>
      </c>
      <c r="I885">
        <v>1365.0928954999999</v>
      </c>
      <c r="J885">
        <v>1354.2050781</v>
      </c>
      <c r="K885">
        <v>80</v>
      </c>
      <c r="L885">
        <v>70.264083862000007</v>
      </c>
      <c r="M885">
        <v>50</v>
      </c>
      <c r="N885">
        <v>49.938369751000003</v>
      </c>
    </row>
    <row r="886" spans="1:14" x14ac:dyDescent="0.25">
      <c r="A886">
        <v>679.40329199999996</v>
      </c>
      <c r="B886" s="1">
        <f>DATE(2012,3,10) + TIME(9,40,44)</f>
        <v>40978.403287037036</v>
      </c>
      <c r="C886">
        <v>0</v>
      </c>
      <c r="D886">
        <v>2400</v>
      </c>
      <c r="E886">
        <v>2400</v>
      </c>
      <c r="F886">
        <v>0</v>
      </c>
      <c r="G886">
        <v>1315.2124022999999</v>
      </c>
      <c r="H886">
        <v>1307.9061279</v>
      </c>
      <c r="I886">
        <v>1365.0725098</v>
      </c>
      <c r="J886">
        <v>1354.1846923999999</v>
      </c>
      <c r="K886">
        <v>80</v>
      </c>
      <c r="L886">
        <v>70.075805664000001</v>
      </c>
      <c r="M886">
        <v>50</v>
      </c>
      <c r="N886">
        <v>49.938564301</v>
      </c>
    </row>
    <row r="887" spans="1:14" x14ac:dyDescent="0.25">
      <c r="A887">
        <v>682.65043400000002</v>
      </c>
      <c r="B887" s="1">
        <f>DATE(2012,3,13) + TIME(15,36,37)</f>
        <v>40981.65042824074</v>
      </c>
      <c r="C887">
        <v>0</v>
      </c>
      <c r="D887">
        <v>2400</v>
      </c>
      <c r="E887">
        <v>2400</v>
      </c>
      <c r="F887">
        <v>0</v>
      </c>
      <c r="G887">
        <v>1314.9637451000001</v>
      </c>
      <c r="H887">
        <v>1307.5648193</v>
      </c>
      <c r="I887">
        <v>1365.052124</v>
      </c>
      <c r="J887">
        <v>1354.1643065999999</v>
      </c>
      <c r="K887">
        <v>80</v>
      </c>
      <c r="L887">
        <v>69.878234863000003</v>
      </c>
      <c r="M887">
        <v>50</v>
      </c>
      <c r="N887">
        <v>49.938755035</v>
      </c>
    </row>
    <row r="888" spans="1:14" x14ac:dyDescent="0.25">
      <c r="A888">
        <v>685.95115399999997</v>
      </c>
      <c r="B888" s="1">
        <f>DATE(2012,3,16) + TIME(22,49,39)</f>
        <v>40984.951145833336</v>
      </c>
      <c r="C888">
        <v>0</v>
      </c>
      <c r="D888">
        <v>2400</v>
      </c>
      <c r="E888">
        <v>2400</v>
      </c>
      <c r="F888">
        <v>0</v>
      </c>
      <c r="G888">
        <v>1314.7102050999999</v>
      </c>
      <c r="H888">
        <v>1307.2155762</v>
      </c>
      <c r="I888">
        <v>1365.0314940999999</v>
      </c>
      <c r="J888">
        <v>1354.144043</v>
      </c>
      <c r="K888">
        <v>80</v>
      </c>
      <c r="L888">
        <v>69.672203064000001</v>
      </c>
      <c r="M888">
        <v>50</v>
      </c>
      <c r="N888">
        <v>49.938949585000003</v>
      </c>
    </row>
    <row r="889" spans="1:14" x14ac:dyDescent="0.25">
      <c r="A889">
        <v>689.30424200000004</v>
      </c>
      <c r="B889" s="1">
        <f>DATE(2012,3,20) + TIME(7,18,6)</f>
        <v>40988.304236111115</v>
      </c>
      <c r="C889">
        <v>0</v>
      </c>
      <c r="D889">
        <v>2400</v>
      </c>
      <c r="E889">
        <v>2400</v>
      </c>
      <c r="F889">
        <v>0</v>
      </c>
      <c r="G889">
        <v>1314.4530029</v>
      </c>
      <c r="H889">
        <v>1306.8601074000001</v>
      </c>
      <c r="I889">
        <v>1365.0108643000001</v>
      </c>
      <c r="J889">
        <v>1354.1239014</v>
      </c>
      <c r="K889">
        <v>80</v>
      </c>
      <c r="L889">
        <v>69.457725525000001</v>
      </c>
      <c r="M889">
        <v>50</v>
      </c>
      <c r="N889">
        <v>49.939144134999999</v>
      </c>
    </row>
    <row r="890" spans="1:14" x14ac:dyDescent="0.25">
      <c r="A890">
        <v>692.71823199999994</v>
      </c>
      <c r="B890" s="1">
        <f>DATE(2012,3,23) + TIME(17,14,15)</f>
        <v>40991.718229166669</v>
      </c>
      <c r="C890">
        <v>0</v>
      </c>
      <c r="D890">
        <v>2400</v>
      </c>
      <c r="E890">
        <v>2400</v>
      </c>
      <c r="F890">
        <v>0</v>
      </c>
      <c r="G890">
        <v>1314.1926269999999</v>
      </c>
      <c r="H890">
        <v>1306.4992675999999</v>
      </c>
      <c r="I890">
        <v>1364.9901123</v>
      </c>
      <c r="J890">
        <v>1354.1038818</v>
      </c>
      <c r="K890">
        <v>80</v>
      </c>
      <c r="L890">
        <v>69.234184264999996</v>
      </c>
      <c r="M890">
        <v>50</v>
      </c>
      <c r="N890">
        <v>49.939342498999999</v>
      </c>
    </row>
    <row r="891" spans="1:14" x14ac:dyDescent="0.25">
      <c r="A891">
        <v>696.19202399999995</v>
      </c>
      <c r="B891" s="1">
        <f>DATE(2012,3,27) + TIME(4,36,30)</f>
        <v>40995.192013888889</v>
      </c>
      <c r="C891">
        <v>0</v>
      </c>
      <c r="D891">
        <v>2400</v>
      </c>
      <c r="E891">
        <v>2400</v>
      </c>
      <c r="F891">
        <v>0</v>
      </c>
      <c r="G891">
        <v>1313.9289550999999</v>
      </c>
      <c r="H891">
        <v>1306.1328125</v>
      </c>
      <c r="I891">
        <v>1364.9692382999999</v>
      </c>
      <c r="J891">
        <v>1354.0838623</v>
      </c>
      <c r="K891">
        <v>80</v>
      </c>
      <c r="L891">
        <v>69.000701903999996</v>
      </c>
      <c r="M891">
        <v>50</v>
      </c>
      <c r="N891">
        <v>49.939537047999998</v>
      </c>
    </row>
    <row r="892" spans="1:14" x14ac:dyDescent="0.25">
      <c r="A892">
        <v>699.72262000000001</v>
      </c>
      <c r="B892" s="1">
        <f>DATE(2012,3,30) + TIME(17,20,34)</f>
        <v>40998.722615740742</v>
      </c>
      <c r="C892">
        <v>0</v>
      </c>
      <c r="D892">
        <v>2400</v>
      </c>
      <c r="E892">
        <v>2400</v>
      </c>
      <c r="F892">
        <v>0</v>
      </c>
      <c r="G892">
        <v>1313.6624756000001</v>
      </c>
      <c r="H892">
        <v>1305.7612305</v>
      </c>
      <c r="I892">
        <v>1364.9481201000001</v>
      </c>
      <c r="J892">
        <v>1354.0639647999999</v>
      </c>
      <c r="K892">
        <v>80</v>
      </c>
      <c r="L892">
        <v>68.756607056000007</v>
      </c>
      <c r="M892">
        <v>50</v>
      </c>
      <c r="N892">
        <v>49.939731598000002</v>
      </c>
    </row>
    <row r="893" spans="1:14" x14ac:dyDescent="0.25">
      <c r="A893">
        <v>701</v>
      </c>
      <c r="B893" s="1">
        <f>DATE(2012,4,1) + TIME(0,0,0)</f>
        <v>41000</v>
      </c>
      <c r="C893">
        <v>0</v>
      </c>
      <c r="D893">
        <v>2400</v>
      </c>
      <c r="E893">
        <v>2400</v>
      </c>
      <c r="F893">
        <v>0</v>
      </c>
      <c r="G893">
        <v>1313.4095459</v>
      </c>
      <c r="H893">
        <v>1305.4197998</v>
      </c>
      <c r="I893">
        <v>1364.9260254000001</v>
      </c>
      <c r="J893">
        <v>1354.0437012</v>
      </c>
      <c r="K893">
        <v>80</v>
      </c>
      <c r="L893">
        <v>68.590278624999996</v>
      </c>
      <c r="M893">
        <v>50</v>
      </c>
      <c r="N893">
        <v>49.939796448000003</v>
      </c>
    </row>
    <row r="894" spans="1:14" x14ac:dyDescent="0.25">
      <c r="A894">
        <v>704.59732599999995</v>
      </c>
      <c r="B894" s="1">
        <f>DATE(2012,4,4) + TIME(14,20,8)</f>
        <v>41003.597314814811</v>
      </c>
      <c r="C894">
        <v>0</v>
      </c>
      <c r="D894">
        <v>2400</v>
      </c>
      <c r="E894">
        <v>2400</v>
      </c>
      <c r="F894">
        <v>0</v>
      </c>
      <c r="G894">
        <v>1313.2672118999999</v>
      </c>
      <c r="H894">
        <v>1305.2019043</v>
      </c>
      <c r="I894">
        <v>1364.9193115</v>
      </c>
      <c r="J894">
        <v>1354.0362548999999</v>
      </c>
      <c r="K894">
        <v>80</v>
      </c>
      <c r="L894">
        <v>68.384048461999996</v>
      </c>
      <c r="M894">
        <v>50</v>
      </c>
      <c r="N894">
        <v>49.939998627000001</v>
      </c>
    </row>
    <row r="895" spans="1:14" x14ac:dyDescent="0.25">
      <c r="A895">
        <v>708.28463999999997</v>
      </c>
      <c r="B895" s="1">
        <f>DATE(2012,4,8) + TIME(6,49,52)</f>
        <v>41007.284629629627</v>
      </c>
      <c r="C895">
        <v>0</v>
      </c>
      <c r="D895">
        <v>2400</v>
      </c>
      <c r="E895">
        <v>2400</v>
      </c>
      <c r="F895">
        <v>0</v>
      </c>
      <c r="G895">
        <v>1313.0173339999999</v>
      </c>
      <c r="H895">
        <v>1304.8551024999999</v>
      </c>
      <c r="I895">
        <v>1364.8977050999999</v>
      </c>
      <c r="J895">
        <v>1354.0170897999999</v>
      </c>
      <c r="K895">
        <v>80</v>
      </c>
      <c r="L895">
        <v>68.127922057999996</v>
      </c>
      <c r="M895">
        <v>50</v>
      </c>
      <c r="N895">
        <v>49.940193176000001</v>
      </c>
    </row>
    <row r="896" spans="1:14" x14ac:dyDescent="0.25">
      <c r="A896">
        <v>712.04027399999995</v>
      </c>
      <c r="B896" s="1">
        <f>DATE(2012,4,12) + TIME(0,57,59)</f>
        <v>41011.040266203701</v>
      </c>
      <c r="C896">
        <v>0</v>
      </c>
      <c r="D896">
        <v>2400</v>
      </c>
      <c r="E896">
        <v>2400</v>
      </c>
      <c r="F896">
        <v>0</v>
      </c>
      <c r="G896">
        <v>1312.7496338000001</v>
      </c>
      <c r="H896">
        <v>1304.4788818</v>
      </c>
      <c r="I896">
        <v>1364.8757324000001</v>
      </c>
      <c r="J896">
        <v>1353.9974365</v>
      </c>
      <c r="K896">
        <v>80</v>
      </c>
      <c r="L896">
        <v>67.846336364999999</v>
      </c>
      <c r="M896">
        <v>50</v>
      </c>
      <c r="N896">
        <v>49.940387725999997</v>
      </c>
    </row>
    <row r="897" spans="1:14" x14ac:dyDescent="0.25">
      <c r="A897">
        <v>715.875856</v>
      </c>
      <c r="B897" s="1">
        <f>DATE(2012,4,15) + TIME(21,1,13)</f>
        <v>41014.875844907408</v>
      </c>
      <c r="C897">
        <v>0</v>
      </c>
      <c r="D897">
        <v>2400</v>
      </c>
      <c r="E897">
        <v>2400</v>
      </c>
      <c r="F897">
        <v>0</v>
      </c>
      <c r="G897">
        <v>1312.4754639</v>
      </c>
      <c r="H897">
        <v>1304.0914307</v>
      </c>
      <c r="I897">
        <v>1364.8533935999999</v>
      </c>
      <c r="J897">
        <v>1353.9776611</v>
      </c>
      <c r="K897">
        <v>80</v>
      </c>
      <c r="L897">
        <v>67.546691894999995</v>
      </c>
      <c r="M897">
        <v>50</v>
      </c>
      <c r="N897">
        <v>49.940586089999996</v>
      </c>
    </row>
    <row r="898" spans="1:14" x14ac:dyDescent="0.25">
      <c r="A898">
        <v>719.77611300000001</v>
      </c>
      <c r="B898" s="1">
        <f>DATE(2012,4,19) + TIME(18,37,36)</f>
        <v>41018.77611111111</v>
      </c>
      <c r="C898">
        <v>0</v>
      </c>
      <c r="D898">
        <v>2400</v>
      </c>
      <c r="E898">
        <v>2400</v>
      </c>
      <c r="F898">
        <v>0</v>
      </c>
      <c r="G898">
        <v>1312.1979980000001</v>
      </c>
      <c r="H898">
        <v>1303.6976318</v>
      </c>
      <c r="I898">
        <v>1364.8306885</v>
      </c>
      <c r="J898">
        <v>1353.9577637</v>
      </c>
      <c r="K898">
        <v>80</v>
      </c>
      <c r="L898">
        <v>67.230636597</v>
      </c>
      <c r="M898">
        <v>50</v>
      </c>
      <c r="N898">
        <v>49.94078064</v>
      </c>
    </row>
    <row r="899" spans="1:14" x14ac:dyDescent="0.25">
      <c r="A899">
        <v>723.75028399999997</v>
      </c>
      <c r="B899" s="1">
        <f>DATE(2012,4,23) + TIME(18,0,24)</f>
        <v>41022.750277777777</v>
      </c>
      <c r="C899">
        <v>0</v>
      </c>
      <c r="D899">
        <v>2400</v>
      </c>
      <c r="E899">
        <v>2400</v>
      </c>
      <c r="F899">
        <v>0</v>
      </c>
      <c r="G899">
        <v>1311.9194336</v>
      </c>
      <c r="H899">
        <v>1303.3006591999999</v>
      </c>
      <c r="I899">
        <v>1364.8077393000001</v>
      </c>
      <c r="J899">
        <v>1353.9378661999999</v>
      </c>
      <c r="K899">
        <v>80</v>
      </c>
      <c r="L899">
        <v>66.898635863999999</v>
      </c>
      <c r="M899">
        <v>50</v>
      </c>
      <c r="N899">
        <v>49.940979003999999</v>
      </c>
    </row>
    <row r="900" spans="1:14" x14ac:dyDescent="0.25">
      <c r="A900">
        <v>727.80944999999997</v>
      </c>
      <c r="B900" s="1">
        <f>DATE(2012,4,27) + TIME(19,25,36)</f>
        <v>41026.809444444443</v>
      </c>
      <c r="C900">
        <v>0</v>
      </c>
      <c r="D900">
        <v>2400</v>
      </c>
      <c r="E900">
        <v>2400</v>
      </c>
      <c r="F900">
        <v>0</v>
      </c>
      <c r="G900">
        <v>1311.6402588000001</v>
      </c>
      <c r="H900">
        <v>1302.9011230000001</v>
      </c>
      <c r="I900">
        <v>1364.7843018000001</v>
      </c>
      <c r="J900">
        <v>1353.9177245999999</v>
      </c>
      <c r="K900">
        <v>80</v>
      </c>
      <c r="L900">
        <v>66.549919127999999</v>
      </c>
      <c r="M900">
        <v>50</v>
      </c>
      <c r="N900">
        <v>49.941177367999998</v>
      </c>
    </row>
    <row r="901" spans="1:14" x14ac:dyDescent="0.25">
      <c r="A901">
        <v>731</v>
      </c>
      <c r="B901" s="1">
        <f>DATE(2012,5,1) + TIME(0,0,0)</f>
        <v>41030</v>
      </c>
      <c r="C901">
        <v>0</v>
      </c>
      <c r="D901">
        <v>2400</v>
      </c>
      <c r="E901">
        <v>2400</v>
      </c>
      <c r="F901">
        <v>0</v>
      </c>
      <c r="G901">
        <v>1311.3635254000001</v>
      </c>
      <c r="H901">
        <v>1302.5074463000001</v>
      </c>
      <c r="I901">
        <v>1364.7602539</v>
      </c>
      <c r="J901">
        <v>1353.8973389</v>
      </c>
      <c r="K901">
        <v>80</v>
      </c>
      <c r="L901">
        <v>66.209472656000003</v>
      </c>
      <c r="M901">
        <v>50</v>
      </c>
      <c r="N901">
        <v>49.941326140999998</v>
      </c>
    </row>
    <row r="902" spans="1:14" x14ac:dyDescent="0.25">
      <c r="A902">
        <v>731.000001</v>
      </c>
      <c r="B902" s="1">
        <f>DATE(2012,5,1) + TIME(0,0,0)</f>
        <v>41030</v>
      </c>
      <c r="C902">
        <v>2400</v>
      </c>
      <c r="D902">
        <v>0</v>
      </c>
      <c r="E902">
        <v>0</v>
      </c>
      <c r="F902">
        <v>2400</v>
      </c>
      <c r="G902">
        <v>1323.1121826000001</v>
      </c>
      <c r="H902">
        <v>1311.9442139</v>
      </c>
      <c r="I902">
        <v>1353.4604492000001</v>
      </c>
      <c r="J902">
        <v>1345.1527100000001</v>
      </c>
      <c r="K902">
        <v>80</v>
      </c>
      <c r="L902">
        <v>66.209564209000007</v>
      </c>
      <c r="M902">
        <v>50</v>
      </c>
      <c r="N902">
        <v>49.941268921000002</v>
      </c>
    </row>
    <row r="903" spans="1:14" x14ac:dyDescent="0.25">
      <c r="A903">
        <v>731.00000399999999</v>
      </c>
      <c r="B903" s="1">
        <f>DATE(2012,5,1) + TIME(0,0,0)</f>
        <v>41030</v>
      </c>
      <c r="C903">
        <v>2400</v>
      </c>
      <c r="D903">
        <v>0</v>
      </c>
      <c r="E903">
        <v>0</v>
      </c>
      <c r="F903">
        <v>2400</v>
      </c>
      <c r="G903">
        <v>1324.3533935999999</v>
      </c>
      <c r="H903">
        <v>1313.4311522999999</v>
      </c>
      <c r="I903">
        <v>1352.2946777</v>
      </c>
      <c r="J903">
        <v>1343.9862060999999</v>
      </c>
      <c r="K903">
        <v>80</v>
      </c>
      <c r="L903">
        <v>66.209800720000004</v>
      </c>
      <c r="M903">
        <v>50</v>
      </c>
      <c r="N903">
        <v>49.941123961999999</v>
      </c>
    </row>
    <row r="904" spans="1:14" x14ac:dyDescent="0.25">
      <c r="A904">
        <v>731.00001299999997</v>
      </c>
      <c r="B904" s="1">
        <f>DATE(2012,5,1) + TIME(0,0,1)</f>
        <v>41030.000011574077</v>
      </c>
      <c r="C904">
        <v>2400</v>
      </c>
      <c r="D904">
        <v>0</v>
      </c>
      <c r="E904">
        <v>0</v>
      </c>
      <c r="F904">
        <v>2400</v>
      </c>
      <c r="G904">
        <v>1327.0998535000001</v>
      </c>
      <c r="H904">
        <v>1316.5197754000001</v>
      </c>
      <c r="I904">
        <v>1349.6791992000001</v>
      </c>
      <c r="J904">
        <v>1341.3698730000001</v>
      </c>
      <c r="K904">
        <v>80</v>
      </c>
      <c r="L904">
        <v>66.210327148000005</v>
      </c>
      <c r="M904">
        <v>50</v>
      </c>
      <c r="N904">
        <v>49.940792084000002</v>
      </c>
    </row>
    <row r="905" spans="1:14" x14ac:dyDescent="0.25">
      <c r="A905">
        <v>731.00004000000001</v>
      </c>
      <c r="B905" s="1">
        <f>DATE(2012,5,1) + TIME(0,0,3)</f>
        <v>41030.000034722223</v>
      </c>
      <c r="C905">
        <v>2400</v>
      </c>
      <c r="D905">
        <v>0</v>
      </c>
      <c r="E905">
        <v>0</v>
      </c>
      <c r="F905">
        <v>2400</v>
      </c>
      <c r="G905">
        <v>1331.6700439000001</v>
      </c>
      <c r="H905">
        <v>1321.2492675999999</v>
      </c>
      <c r="I905">
        <v>1345.3071289</v>
      </c>
      <c r="J905">
        <v>1336.9986572</v>
      </c>
      <c r="K905">
        <v>80</v>
      </c>
      <c r="L905">
        <v>66.211273192999997</v>
      </c>
      <c r="M905">
        <v>50</v>
      </c>
      <c r="N905">
        <v>49.940242767000001</v>
      </c>
    </row>
    <row r="906" spans="1:14" x14ac:dyDescent="0.25">
      <c r="A906">
        <v>731.00012100000004</v>
      </c>
      <c r="B906" s="1">
        <f>DATE(2012,5,1) + TIME(0,0,10)</f>
        <v>41030.000115740739</v>
      </c>
      <c r="C906">
        <v>2400</v>
      </c>
      <c r="D906">
        <v>0</v>
      </c>
      <c r="E906">
        <v>0</v>
      </c>
      <c r="F906">
        <v>2400</v>
      </c>
      <c r="G906">
        <v>1337.3288574000001</v>
      </c>
      <c r="H906">
        <v>1326.8060303</v>
      </c>
      <c r="I906">
        <v>1339.9661865</v>
      </c>
      <c r="J906">
        <v>1331.6639404</v>
      </c>
      <c r="K906">
        <v>80</v>
      </c>
      <c r="L906">
        <v>66.212974548000005</v>
      </c>
      <c r="M906">
        <v>50</v>
      </c>
      <c r="N906">
        <v>49.939559936999999</v>
      </c>
    </row>
    <row r="907" spans="1:14" x14ac:dyDescent="0.25">
      <c r="A907">
        <v>731.00036399999999</v>
      </c>
      <c r="B907" s="1">
        <f>DATE(2012,5,1) + TIME(0,0,31)</f>
        <v>41030.000358796293</v>
      </c>
      <c r="C907">
        <v>2400</v>
      </c>
      <c r="D907">
        <v>0</v>
      </c>
      <c r="E907">
        <v>0</v>
      </c>
      <c r="F907">
        <v>2400</v>
      </c>
      <c r="G907">
        <v>1343.2990723</v>
      </c>
      <c r="H907">
        <v>1332.6191406</v>
      </c>
      <c r="I907">
        <v>1334.4600829999999</v>
      </c>
      <c r="J907">
        <v>1326.1677245999999</v>
      </c>
      <c r="K907">
        <v>80</v>
      </c>
      <c r="L907">
        <v>66.216644286999994</v>
      </c>
      <c r="M907">
        <v>50</v>
      </c>
      <c r="N907">
        <v>49.938838959000002</v>
      </c>
    </row>
    <row r="908" spans="1:14" x14ac:dyDescent="0.25">
      <c r="A908">
        <v>731.00109299999997</v>
      </c>
      <c r="B908" s="1">
        <f>DATE(2012,5,1) + TIME(0,1,34)</f>
        <v>41030.001087962963</v>
      </c>
      <c r="C908">
        <v>2400</v>
      </c>
      <c r="D908">
        <v>0</v>
      </c>
      <c r="E908">
        <v>0</v>
      </c>
      <c r="F908">
        <v>2400</v>
      </c>
      <c r="G908">
        <v>1349.4927978999999</v>
      </c>
      <c r="H908">
        <v>1338.6556396000001</v>
      </c>
      <c r="I908">
        <v>1328.918457</v>
      </c>
      <c r="J908">
        <v>1320.6140137</v>
      </c>
      <c r="K908">
        <v>80</v>
      </c>
      <c r="L908">
        <v>66.226234435999999</v>
      </c>
      <c r="M908">
        <v>50</v>
      </c>
      <c r="N908">
        <v>49.938049315999997</v>
      </c>
    </row>
    <row r="909" spans="1:14" x14ac:dyDescent="0.25">
      <c r="A909">
        <v>731.00328000000002</v>
      </c>
      <c r="B909" s="1">
        <f>DATE(2012,5,1) + TIME(0,4,43)</f>
        <v>41030.003275462965</v>
      </c>
      <c r="C909">
        <v>2400</v>
      </c>
      <c r="D909">
        <v>0</v>
      </c>
      <c r="E909">
        <v>0</v>
      </c>
      <c r="F909">
        <v>2400</v>
      </c>
      <c r="G909">
        <v>1355.8929443</v>
      </c>
      <c r="H909">
        <v>1344.9227295000001</v>
      </c>
      <c r="I909">
        <v>1323.3157959</v>
      </c>
      <c r="J909">
        <v>1314.8880615</v>
      </c>
      <c r="K909">
        <v>80</v>
      </c>
      <c r="L909">
        <v>66.253692627000007</v>
      </c>
      <c r="M909">
        <v>50</v>
      </c>
      <c r="N909">
        <v>49.937061309999997</v>
      </c>
    </row>
    <row r="910" spans="1:14" x14ac:dyDescent="0.25">
      <c r="A910">
        <v>731.00984100000005</v>
      </c>
      <c r="B910" s="1">
        <f>DATE(2012,5,1) + TIME(0,14,10)</f>
        <v>41030.009837962964</v>
      </c>
      <c r="C910">
        <v>2400</v>
      </c>
      <c r="D910">
        <v>0</v>
      </c>
      <c r="E910">
        <v>0</v>
      </c>
      <c r="F910">
        <v>2400</v>
      </c>
      <c r="G910">
        <v>1361.6976318</v>
      </c>
      <c r="H910">
        <v>1350.7110596</v>
      </c>
      <c r="I910">
        <v>1318.1915283000001</v>
      </c>
      <c r="J910">
        <v>1309.5074463000001</v>
      </c>
      <c r="K910">
        <v>80</v>
      </c>
      <c r="L910">
        <v>66.334045410000002</v>
      </c>
      <c r="M910">
        <v>50</v>
      </c>
      <c r="N910">
        <v>49.935550689999999</v>
      </c>
    </row>
    <row r="911" spans="1:14" x14ac:dyDescent="0.25">
      <c r="A911">
        <v>731.02952400000004</v>
      </c>
      <c r="B911" s="1">
        <f>DATE(2012,5,1) + TIME(0,42,30)</f>
        <v>41030.029513888891</v>
      </c>
      <c r="C911">
        <v>2400</v>
      </c>
      <c r="D911">
        <v>0</v>
      </c>
      <c r="E911">
        <v>0</v>
      </c>
      <c r="F911">
        <v>2400</v>
      </c>
      <c r="G911">
        <v>1365.6584473</v>
      </c>
      <c r="H911">
        <v>1354.7696533000001</v>
      </c>
      <c r="I911">
        <v>1314.6333007999999</v>
      </c>
      <c r="J911">
        <v>1305.7008057</v>
      </c>
      <c r="K911">
        <v>80</v>
      </c>
      <c r="L911">
        <v>66.567855835000003</v>
      </c>
      <c r="M911">
        <v>50</v>
      </c>
      <c r="N911">
        <v>49.932472228999998</v>
      </c>
    </row>
    <row r="912" spans="1:14" x14ac:dyDescent="0.25">
      <c r="A912">
        <v>731.07861100000002</v>
      </c>
      <c r="B912" s="1">
        <f>DATE(2012,5,1) + TIME(1,53,12)</f>
        <v>41030.078611111108</v>
      </c>
      <c r="C912">
        <v>2400</v>
      </c>
      <c r="D912">
        <v>0</v>
      </c>
      <c r="E912">
        <v>0</v>
      </c>
      <c r="F912">
        <v>2400</v>
      </c>
      <c r="G912">
        <v>1367.296875</v>
      </c>
      <c r="H912">
        <v>1356.5252685999999</v>
      </c>
      <c r="I912">
        <v>1313.1799315999999</v>
      </c>
      <c r="J912">
        <v>1304.1363524999999</v>
      </c>
      <c r="K912">
        <v>80</v>
      </c>
      <c r="L912">
        <v>67.123893738000007</v>
      </c>
      <c r="M912">
        <v>50</v>
      </c>
      <c r="N912">
        <v>49.925800322999997</v>
      </c>
    </row>
    <row r="913" spans="1:14" x14ac:dyDescent="0.25">
      <c r="A913">
        <v>731.12829699999998</v>
      </c>
      <c r="B913" s="1">
        <f>DATE(2012,5,1) + TIME(3,4,44)</f>
        <v>41030.128287037034</v>
      </c>
      <c r="C913">
        <v>2400</v>
      </c>
      <c r="D913">
        <v>0</v>
      </c>
      <c r="E913">
        <v>0</v>
      </c>
      <c r="F913">
        <v>2400</v>
      </c>
      <c r="G913">
        <v>1367.6634521000001</v>
      </c>
      <c r="H913">
        <v>1356.9486084</v>
      </c>
      <c r="I913">
        <v>1312.9095459</v>
      </c>
      <c r="J913">
        <v>1303.8432617000001</v>
      </c>
      <c r="K913">
        <v>80</v>
      </c>
      <c r="L913">
        <v>67.6640625</v>
      </c>
      <c r="M913">
        <v>50</v>
      </c>
      <c r="N913">
        <v>49.919246674</v>
      </c>
    </row>
    <row r="914" spans="1:14" x14ac:dyDescent="0.25">
      <c r="A914">
        <v>731.17892800000004</v>
      </c>
      <c r="B914" s="1">
        <f>DATE(2012,5,1) + TIME(4,17,39)</f>
        <v>41030.178923611114</v>
      </c>
      <c r="C914">
        <v>2400</v>
      </c>
      <c r="D914">
        <v>0</v>
      </c>
      <c r="E914">
        <v>0</v>
      </c>
      <c r="F914">
        <v>2400</v>
      </c>
      <c r="G914">
        <v>1367.7274170000001</v>
      </c>
      <c r="H914">
        <v>1357.0623779</v>
      </c>
      <c r="I914">
        <v>1312.8679199000001</v>
      </c>
      <c r="J914">
        <v>1303.7962646000001</v>
      </c>
      <c r="K914">
        <v>80</v>
      </c>
      <c r="L914">
        <v>68.192207335999996</v>
      </c>
      <c r="M914">
        <v>50</v>
      </c>
      <c r="N914">
        <v>49.912651062000002</v>
      </c>
    </row>
    <row r="915" spans="1:14" x14ac:dyDescent="0.25">
      <c r="A915">
        <v>731.23053100000004</v>
      </c>
      <c r="B915" s="1">
        <f>DATE(2012,5,1) + TIME(5,31,57)</f>
        <v>41030.230520833335</v>
      </c>
      <c r="C915">
        <v>2400</v>
      </c>
      <c r="D915">
        <v>0</v>
      </c>
      <c r="E915">
        <v>0</v>
      </c>
      <c r="F915">
        <v>2400</v>
      </c>
      <c r="G915">
        <v>1367.7117920000001</v>
      </c>
      <c r="H915">
        <v>1357.0935059000001</v>
      </c>
      <c r="I915">
        <v>1312.8685303</v>
      </c>
      <c r="J915">
        <v>1303.7951660000001</v>
      </c>
      <c r="K915">
        <v>80</v>
      </c>
      <c r="L915">
        <v>68.708251953000001</v>
      </c>
      <c r="M915">
        <v>50</v>
      </c>
      <c r="N915">
        <v>49.905994415000002</v>
      </c>
    </row>
    <row r="916" spans="1:14" x14ac:dyDescent="0.25">
      <c r="A916">
        <v>731.28314899999998</v>
      </c>
      <c r="B916" s="1">
        <f>DATE(2012,5,1) + TIME(6,47,44)</f>
        <v>41030.283148148148</v>
      </c>
      <c r="C916">
        <v>2400</v>
      </c>
      <c r="D916">
        <v>0</v>
      </c>
      <c r="E916">
        <v>0</v>
      </c>
      <c r="F916">
        <v>2400</v>
      </c>
      <c r="G916">
        <v>1367.6746826000001</v>
      </c>
      <c r="H916">
        <v>1357.1004639</v>
      </c>
      <c r="I916">
        <v>1312.8739014</v>
      </c>
      <c r="J916">
        <v>1303.7993164</v>
      </c>
      <c r="K916">
        <v>80</v>
      </c>
      <c r="L916">
        <v>69.212249756000006</v>
      </c>
      <c r="M916">
        <v>50</v>
      </c>
      <c r="N916">
        <v>49.899269103999998</v>
      </c>
    </row>
    <row r="917" spans="1:14" x14ac:dyDescent="0.25">
      <c r="A917">
        <v>731.33684000000005</v>
      </c>
      <c r="B917" s="1">
        <f>DATE(2012,5,1) + TIME(8,5,2)</f>
        <v>41030.336828703701</v>
      </c>
      <c r="C917">
        <v>2400</v>
      </c>
      <c r="D917">
        <v>0</v>
      </c>
      <c r="E917">
        <v>0</v>
      </c>
      <c r="F917">
        <v>2400</v>
      </c>
      <c r="G917">
        <v>1367.6330565999999</v>
      </c>
      <c r="H917">
        <v>1357.1005858999999</v>
      </c>
      <c r="I917">
        <v>1312.8778076000001</v>
      </c>
      <c r="J917">
        <v>1303.8023682</v>
      </c>
      <c r="K917">
        <v>80</v>
      </c>
      <c r="L917">
        <v>69.704299926999994</v>
      </c>
      <c r="M917">
        <v>50</v>
      </c>
      <c r="N917">
        <v>49.892467498999999</v>
      </c>
    </row>
    <row r="918" spans="1:14" x14ac:dyDescent="0.25">
      <c r="A918">
        <v>731.391661</v>
      </c>
      <c r="B918" s="1">
        <f>DATE(2012,5,1) + TIME(9,23,59)</f>
        <v>41030.391655092593</v>
      </c>
      <c r="C918">
        <v>2400</v>
      </c>
      <c r="D918">
        <v>0</v>
      </c>
      <c r="E918">
        <v>0</v>
      </c>
      <c r="F918">
        <v>2400</v>
      </c>
      <c r="G918">
        <v>1367.5926514</v>
      </c>
      <c r="H918">
        <v>1357.0996094</v>
      </c>
      <c r="I918">
        <v>1312.8803711</v>
      </c>
      <c r="J918">
        <v>1303.8038329999999</v>
      </c>
      <c r="K918">
        <v>80</v>
      </c>
      <c r="L918">
        <v>70.184333800999994</v>
      </c>
      <c r="M918">
        <v>50</v>
      </c>
      <c r="N918">
        <v>49.885585785000004</v>
      </c>
    </row>
    <row r="919" spans="1:14" x14ac:dyDescent="0.25">
      <c r="A919">
        <v>731.44766200000004</v>
      </c>
      <c r="B919" s="1">
        <f>DATE(2012,5,1) + TIME(10,44,37)</f>
        <v>41030.447650462964</v>
      </c>
      <c r="C919">
        <v>2400</v>
      </c>
      <c r="D919">
        <v>0</v>
      </c>
      <c r="E919">
        <v>0</v>
      </c>
      <c r="F919">
        <v>2400</v>
      </c>
      <c r="G919">
        <v>1367.5551757999999</v>
      </c>
      <c r="H919">
        <v>1357.0992432</v>
      </c>
      <c r="I919">
        <v>1312.8820800999999</v>
      </c>
      <c r="J919">
        <v>1303.8044434000001</v>
      </c>
      <c r="K919">
        <v>80</v>
      </c>
      <c r="L919">
        <v>70.652244568</v>
      </c>
      <c r="M919">
        <v>50</v>
      </c>
      <c r="N919">
        <v>49.878620148000003</v>
      </c>
    </row>
    <row r="920" spans="1:14" x14ac:dyDescent="0.25">
      <c r="A920">
        <v>731.50486100000001</v>
      </c>
      <c r="B920" s="1">
        <f>DATE(2012,5,1) + TIME(12,6,59)</f>
        <v>41030.504849537036</v>
      </c>
      <c r="C920">
        <v>2400</v>
      </c>
      <c r="D920">
        <v>0</v>
      </c>
      <c r="E920">
        <v>0</v>
      </c>
      <c r="F920">
        <v>2400</v>
      </c>
      <c r="G920">
        <v>1367.5212402</v>
      </c>
      <c r="H920">
        <v>1357.1003418</v>
      </c>
      <c r="I920">
        <v>1312.8834228999999</v>
      </c>
      <c r="J920">
        <v>1303.8046875</v>
      </c>
      <c r="K920">
        <v>80</v>
      </c>
      <c r="L920">
        <v>71.107940674000005</v>
      </c>
      <c r="M920">
        <v>50</v>
      </c>
      <c r="N920">
        <v>49.871566772000001</v>
      </c>
    </row>
    <row r="921" spans="1:14" x14ac:dyDescent="0.25">
      <c r="A921">
        <v>731.56332099999997</v>
      </c>
      <c r="B921" s="1">
        <f>DATE(2012,5,1) + TIME(13,31,10)</f>
        <v>41030.563310185185</v>
      </c>
      <c r="C921">
        <v>2400</v>
      </c>
      <c r="D921">
        <v>0</v>
      </c>
      <c r="E921">
        <v>0</v>
      </c>
      <c r="F921">
        <v>2400</v>
      </c>
      <c r="G921">
        <v>1367.4909668</v>
      </c>
      <c r="H921">
        <v>1357.1030272999999</v>
      </c>
      <c r="I921">
        <v>1312.8846435999999</v>
      </c>
      <c r="J921">
        <v>1303.8045654</v>
      </c>
      <c r="K921">
        <v>80</v>
      </c>
      <c r="L921">
        <v>71.551483153999996</v>
      </c>
      <c r="M921">
        <v>50</v>
      </c>
      <c r="N921">
        <v>49.864425658999998</v>
      </c>
    </row>
    <row r="922" spans="1:14" x14ac:dyDescent="0.25">
      <c r="A922">
        <v>731.62311199999999</v>
      </c>
      <c r="B922" s="1">
        <f>DATE(2012,5,1) + TIME(14,57,16)</f>
        <v>41030.623101851852</v>
      </c>
      <c r="C922">
        <v>2400</v>
      </c>
      <c r="D922">
        <v>0</v>
      </c>
      <c r="E922">
        <v>0</v>
      </c>
      <c r="F922">
        <v>2400</v>
      </c>
      <c r="G922">
        <v>1367.4642334</v>
      </c>
      <c r="H922">
        <v>1357.1072998</v>
      </c>
      <c r="I922">
        <v>1312.8857422000001</v>
      </c>
      <c r="J922">
        <v>1303.8044434000001</v>
      </c>
      <c r="K922">
        <v>80</v>
      </c>
      <c r="L922">
        <v>71.982933044000006</v>
      </c>
      <c r="M922">
        <v>50</v>
      </c>
      <c r="N922">
        <v>49.857189177999999</v>
      </c>
    </row>
    <row r="923" spans="1:14" x14ac:dyDescent="0.25">
      <c r="A923">
        <v>731.68430499999999</v>
      </c>
      <c r="B923" s="1">
        <f>DATE(2012,5,1) + TIME(16,25,23)</f>
        <v>41030.684293981481</v>
      </c>
      <c r="C923">
        <v>2400</v>
      </c>
      <c r="D923">
        <v>0</v>
      </c>
      <c r="E923">
        <v>0</v>
      </c>
      <c r="F923">
        <v>2400</v>
      </c>
      <c r="G923">
        <v>1367.440918</v>
      </c>
      <c r="H923">
        <v>1357.1129149999999</v>
      </c>
      <c r="I923">
        <v>1312.8868408000001</v>
      </c>
      <c r="J923">
        <v>1303.8040771000001</v>
      </c>
      <c r="K923">
        <v>80</v>
      </c>
      <c r="L923">
        <v>72.402313231999997</v>
      </c>
      <c r="M923">
        <v>50</v>
      </c>
      <c r="N923">
        <v>49.849853516000003</v>
      </c>
    </row>
    <row r="924" spans="1:14" x14ac:dyDescent="0.25">
      <c r="A924">
        <v>731.74697600000002</v>
      </c>
      <c r="B924" s="1">
        <f>DATE(2012,5,1) + TIME(17,55,38)</f>
        <v>41030.746967592589</v>
      </c>
      <c r="C924">
        <v>2400</v>
      </c>
      <c r="D924">
        <v>0</v>
      </c>
      <c r="E924">
        <v>0</v>
      </c>
      <c r="F924">
        <v>2400</v>
      </c>
      <c r="G924">
        <v>1367.4206543</v>
      </c>
      <c r="H924">
        <v>1357.1199951000001</v>
      </c>
      <c r="I924">
        <v>1312.8879394999999</v>
      </c>
      <c r="J924">
        <v>1303.8037108999999</v>
      </c>
      <c r="K924">
        <v>80</v>
      </c>
      <c r="L924">
        <v>72.809677124000004</v>
      </c>
      <c r="M924">
        <v>50</v>
      </c>
      <c r="N924">
        <v>49.842407227000002</v>
      </c>
    </row>
    <row r="925" spans="1:14" x14ac:dyDescent="0.25">
      <c r="A925">
        <v>731.81120799999997</v>
      </c>
      <c r="B925" s="1">
        <f>DATE(2012,5,1) + TIME(19,28,8)</f>
        <v>41030.811203703706</v>
      </c>
      <c r="C925">
        <v>2400</v>
      </c>
      <c r="D925">
        <v>0</v>
      </c>
      <c r="E925">
        <v>0</v>
      </c>
      <c r="F925">
        <v>2400</v>
      </c>
      <c r="G925">
        <v>1367.4034423999999</v>
      </c>
      <c r="H925">
        <v>1357.1282959</v>
      </c>
      <c r="I925">
        <v>1312.8890381000001</v>
      </c>
      <c r="J925">
        <v>1303.8033447</v>
      </c>
      <c r="K925">
        <v>80</v>
      </c>
      <c r="L925">
        <v>73.205039978000002</v>
      </c>
      <c r="M925">
        <v>50</v>
      </c>
      <c r="N925">
        <v>49.834842682000001</v>
      </c>
    </row>
    <row r="926" spans="1:14" x14ac:dyDescent="0.25">
      <c r="A926">
        <v>731.87703699999997</v>
      </c>
      <c r="B926" s="1">
        <f>DATE(2012,5,1) + TIME(21,2,55)</f>
        <v>41030.877025462964</v>
      </c>
      <c r="C926">
        <v>2400</v>
      </c>
      <c r="D926">
        <v>0</v>
      </c>
      <c r="E926">
        <v>0</v>
      </c>
      <c r="F926">
        <v>2400</v>
      </c>
      <c r="G926">
        <v>1367.3891602000001</v>
      </c>
      <c r="H926">
        <v>1357.1376952999999</v>
      </c>
      <c r="I926">
        <v>1312.8901367000001</v>
      </c>
      <c r="J926">
        <v>1303.8028564000001</v>
      </c>
      <c r="K926">
        <v>80</v>
      </c>
      <c r="L926">
        <v>73.588142395000006</v>
      </c>
      <c r="M926">
        <v>50</v>
      </c>
      <c r="N926">
        <v>49.827167510999999</v>
      </c>
    </row>
    <row r="927" spans="1:14" x14ac:dyDescent="0.25">
      <c r="A927">
        <v>731.94455100000005</v>
      </c>
      <c r="B927" s="1">
        <f>DATE(2012,5,1) + TIME(22,40,9)</f>
        <v>41030.944548611114</v>
      </c>
      <c r="C927">
        <v>2400</v>
      </c>
      <c r="D927">
        <v>0</v>
      </c>
      <c r="E927">
        <v>0</v>
      </c>
      <c r="F927">
        <v>2400</v>
      </c>
      <c r="G927">
        <v>1367.3774414</v>
      </c>
      <c r="H927">
        <v>1357.1483154</v>
      </c>
      <c r="I927">
        <v>1312.8912353999999</v>
      </c>
      <c r="J927">
        <v>1303.8023682</v>
      </c>
      <c r="K927">
        <v>80</v>
      </c>
      <c r="L927">
        <v>73.959022521999998</v>
      </c>
      <c r="M927">
        <v>50</v>
      </c>
      <c r="N927">
        <v>49.819362640000001</v>
      </c>
    </row>
    <row r="928" spans="1:14" x14ac:dyDescent="0.25">
      <c r="A928">
        <v>732.01384599999994</v>
      </c>
      <c r="B928" s="1">
        <f>DATE(2012,5,2) + TIME(0,19,56)</f>
        <v>41031.013842592591</v>
      </c>
      <c r="C928">
        <v>2400</v>
      </c>
      <c r="D928">
        <v>0</v>
      </c>
      <c r="E928">
        <v>0</v>
      </c>
      <c r="F928">
        <v>2400</v>
      </c>
      <c r="G928">
        <v>1367.3681641000001</v>
      </c>
      <c r="H928">
        <v>1357.1597899999999</v>
      </c>
      <c r="I928">
        <v>1312.8923339999999</v>
      </c>
      <c r="J928">
        <v>1303.8017577999999</v>
      </c>
      <c r="K928">
        <v>80</v>
      </c>
      <c r="L928">
        <v>74.317710876000007</v>
      </c>
      <c r="M928">
        <v>50</v>
      </c>
      <c r="N928">
        <v>49.811431884999998</v>
      </c>
    </row>
    <row r="929" spans="1:14" x14ac:dyDescent="0.25">
      <c r="A929">
        <v>732.08502399999998</v>
      </c>
      <c r="B929" s="1">
        <f>DATE(2012,5,2) + TIME(2,2,26)</f>
        <v>41031.085023148145</v>
      </c>
      <c r="C929">
        <v>2400</v>
      </c>
      <c r="D929">
        <v>0</v>
      </c>
      <c r="E929">
        <v>0</v>
      </c>
      <c r="F929">
        <v>2400</v>
      </c>
      <c r="G929">
        <v>1367.3612060999999</v>
      </c>
      <c r="H929">
        <v>1357.1719971</v>
      </c>
      <c r="I929">
        <v>1312.8934326000001</v>
      </c>
      <c r="J929">
        <v>1303.8011475000001</v>
      </c>
      <c r="K929">
        <v>80</v>
      </c>
      <c r="L929">
        <v>74.664253235000004</v>
      </c>
      <c r="M929">
        <v>50</v>
      </c>
      <c r="N929">
        <v>49.803359985</v>
      </c>
    </row>
    <row r="930" spans="1:14" x14ac:dyDescent="0.25">
      <c r="A930">
        <v>732.15819199999999</v>
      </c>
      <c r="B930" s="1">
        <f>DATE(2012,5,2) + TIME(3,47,47)</f>
        <v>41031.158182870371</v>
      </c>
      <c r="C930">
        <v>2400</v>
      </c>
      <c r="D930">
        <v>0</v>
      </c>
      <c r="E930">
        <v>0</v>
      </c>
      <c r="F930">
        <v>2400</v>
      </c>
      <c r="G930">
        <v>1367.3563231999999</v>
      </c>
      <c r="H930">
        <v>1357.1849365</v>
      </c>
      <c r="I930">
        <v>1312.8946533000001</v>
      </c>
      <c r="J930">
        <v>1303.8005370999999</v>
      </c>
      <c r="K930">
        <v>80</v>
      </c>
      <c r="L930">
        <v>74.998649596999996</v>
      </c>
      <c r="M930">
        <v>50</v>
      </c>
      <c r="N930">
        <v>49.795139313</v>
      </c>
    </row>
    <row r="931" spans="1:14" x14ac:dyDescent="0.25">
      <c r="A931">
        <v>732.23345500000005</v>
      </c>
      <c r="B931" s="1">
        <f>DATE(2012,5,2) + TIME(5,36,10)</f>
        <v>41031.233449074076</v>
      </c>
      <c r="C931">
        <v>2400</v>
      </c>
      <c r="D931">
        <v>0</v>
      </c>
      <c r="E931">
        <v>0</v>
      </c>
      <c r="F931">
        <v>2400</v>
      </c>
      <c r="G931">
        <v>1367.3533935999999</v>
      </c>
      <c r="H931">
        <v>1357.1986084</v>
      </c>
      <c r="I931">
        <v>1312.8957519999999</v>
      </c>
      <c r="J931">
        <v>1303.7998047000001</v>
      </c>
      <c r="K931">
        <v>80</v>
      </c>
      <c r="L931">
        <v>75.320663452000005</v>
      </c>
      <c r="M931">
        <v>50</v>
      </c>
      <c r="N931">
        <v>49.786762238000001</v>
      </c>
    </row>
    <row r="932" spans="1:14" x14ac:dyDescent="0.25">
      <c r="A932">
        <v>732.31095300000004</v>
      </c>
      <c r="B932" s="1">
        <f>DATE(2012,5,2) + TIME(7,27,46)</f>
        <v>41031.310949074075</v>
      </c>
      <c r="C932">
        <v>2400</v>
      </c>
      <c r="D932">
        <v>0</v>
      </c>
      <c r="E932">
        <v>0</v>
      </c>
      <c r="F932">
        <v>2400</v>
      </c>
      <c r="G932">
        <v>1367.3521728999999</v>
      </c>
      <c r="H932">
        <v>1357.2126464999999</v>
      </c>
      <c r="I932">
        <v>1312.8968506000001</v>
      </c>
      <c r="J932">
        <v>1303.7990723</v>
      </c>
      <c r="K932">
        <v>80</v>
      </c>
      <c r="L932">
        <v>75.630607604999994</v>
      </c>
      <c r="M932">
        <v>50</v>
      </c>
      <c r="N932">
        <v>49.778221129999999</v>
      </c>
    </row>
    <row r="933" spans="1:14" x14ac:dyDescent="0.25">
      <c r="A933">
        <v>732.39082099999996</v>
      </c>
      <c r="B933" s="1">
        <f>DATE(2012,5,2) + TIME(9,22,46)</f>
        <v>41031.390810185185</v>
      </c>
      <c r="C933">
        <v>2400</v>
      </c>
      <c r="D933">
        <v>0</v>
      </c>
      <c r="E933">
        <v>0</v>
      </c>
      <c r="F933">
        <v>2400</v>
      </c>
      <c r="G933">
        <v>1367.3525391000001</v>
      </c>
      <c r="H933">
        <v>1357.2270507999999</v>
      </c>
      <c r="I933">
        <v>1312.8979492000001</v>
      </c>
      <c r="J933">
        <v>1303.7982178</v>
      </c>
      <c r="K933">
        <v>80</v>
      </c>
      <c r="L933">
        <v>75.928512573000006</v>
      </c>
      <c r="M933">
        <v>50</v>
      </c>
      <c r="N933">
        <v>49.769500731999997</v>
      </c>
    </row>
    <row r="934" spans="1:14" x14ac:dyDescent="0.25">
      <c r="A934">
        <v>732.473207</v>
      </c>
      <c r="B934" s="1">
        <f>DATE(2012,5,2) + TIME(11,21,25)</f>
        <v>41031.47320601852</v>
      </c>
      <c r="C934">
        <v>2400</v>
      </c>
      <c r="D934">
        <v>0</v>
      </c>
      <c r="E934">
        <v>0</v>
      </c>
      <c r="F934">
        <v>2400</v>
      </c>
      <c r="G934">
        <v>1367.3543701000001</v>
      </c>
      <c r="H934">
        <v>1357.2418213000001</v>
      </c>
      <c r="I934">
        <v>1312.8990478999999</v>
      </c>
      <c r="J934">
        <v>1303.7974853999999</v>
      </c>
      <c r="K934">
        <v>80</v>
      </c>
      <c r="L934">
        <v>76.214416503999999</v>
      </c>
      <c r="M934">
        <v>50</v>
      </c>
      <c r="N934">
        <v>49.760593413999999</v>
      </c>
    </row>
    <row r="935" spans="1:14" x14ac:dyDescent="0.25">
      <c r="A935">
        <v>732.558268</v>
      </c>
      <c r="B935" s="1">
        <f>DATE(2012,5,2) + TIME(13,23,54)</f>
        <v>41031.558263888888</v>
      </c>
      <c r="C935">
        <v>2400</v>
      </c>
      <c r="D935">
        <v>0</v>
      </c>
      <c r="E935">
        <v>0</v>
      </c>
      <c r="F935">
        <v>2400</v>
      </c>
      <c r="G935">
        <v>1367.3575439000001</v>
      </c>
      <c r="H935">
        <v>1357.2567139</v>
      </c>
      <c r="I935">
        <v>1312.9000243999999</v>
      </c>
      <c r="J935">
        <v>1303.7965088000001</v>
      </c>
      <c r="K935">
        <v>80</v>
      </c>
      <c r="L935">
        <v>76.488357543999996</v>
      </c>
      <c r="M935">
        <v>50</v>
      </c>
      <c r="N935">
        <v>49.751483917000002</v>
      </c>
    </row>
    <row r="936" spans="1:14" x14ac:dyDescent="0.25">
      <c r="A936">
        <v>732.64617599999997</v>
      </c>
      <c r="B936" s="1">
        <f>DATE(2012,5,2) + TIME(15,30,29)</f>
        <v>41031.646168981482</v>
      </c>
      <c r="C936">
        <v>2400</v>
      </c>
      <c r="D936">
        <v>0</v>
      </c>
      <c r="E936">
        <v>0</v>
      </c>
      <c r="F936">
        <v>2400</v>
      </c>
      <c r="G936">
        <v>1367.3618164</v>
      </c>
      <c r="H936">
        <v>1357.2718506000001</v>
      </c>
      <c r="I936">
        <v>1312.9011230000001</v>
      </c>
      <c r="J936">
        <v>1303.7956543</v>
      </c>
      <c r="K936">
        <v>80</v>
      </c>
      <c r="L936">
        <v>76.750373839999995</v>
      </c>
      <c r="M936">
        <v>50</v>
      </c>
      <c r="N936">
        <v>49.742156981999997</v>
      </c>
    </row>
    <row r="937" spans="1:14" x14ac:dyDescent="0.25">
      <c r="A937">
        <v>732.73711700000001</v>
      </c>
      <c r="B937" s="1">
        <f>DATE(2012,5,2) + TIME(17,41,26)</f>
        <v>41031.73710648148</v>
      </c>
      <c r="C937">
        <v>2400</v>
      </c>
      <c r="D937">
        <v>0</v>
      </c>
      <c r="E937">
        <v>0</v>
      </c>
      <c r="F937">
        <v>2400</v>
      </c>
      <c r="G937">
        <v>1367.3670654</v>
      </c>
      <c r="H937">
        <v>1357.2868652</v>
      </c>
      <c r="I937">
        <v>1312.9022216999999</v>
      </c>
      <c r="J937">
        <v>1303.7946777</v>
      </c>
      <c r="K937">
        <v>80</v>
      </c>
      <c r="L937">
        <v>77.000534058</v>
      </c>
      <c r="M937">
        <v>50</v>
      </c>
      <c r="N937">
        <v>49.732608794999997</v>
      </c>
    </row>
    <row r="938" spans="1:14" x14ac:dyDescent="0.25">
      <c r="A938">
        <v>732.83129399999996</v>
      </c>
      <c r="B938" s="1">
        <f>DATE(2012,5,2) + TIME(19,57,3)</f>
        <v>41031.831284722219</v>
      </c>
      <c r="C938">
        <v>2400</v>
      </c>
      <c r="D938">
        <v>0</v>
      </c>
      <c r="E938">
        <v>0</v>
      </c>
      <c r="F938">
        <v>2400</v>
      </c>
      <c r="G938">
        <v>1367.3731689000001</v>
      </c>
      <c r="H938">
        <v>1357.3017577999999</v>
      </c>
      <c r="I938">
        <v>1312.9031981999999</v>
      </c>
      <c r="J938">
        <v>1303.7937012</v>
      </c>
      <c r="K938">
        <v>80</v>
      </c>
      <c r="L938">
        <v>77.238876343000001</v>
      </c>
      <c r="M938">
        <v>50</v>
      </c>
      <c r="N938">
        <v>49.722812652999998</v>
      </c>
    </row>
    <row r="939" spans="1:14" x14ac:dyDescent="0.25">
      <c r="A939">
        <v>732.92892700000004</v>
      </c>
      <c r="B939" s="1">
        <f>DATE(2012,5,2) + TIME(22,17,39)</f>
        <v>41031.928923611114</v>
      </c>
      <c r="C939">
        <v>2400</v>
      </c>
      <c r="D939">
        <v>0</v>
      </c>
      <c r="E939">
        <v>0</v>
      </c>
      <c r="F939">
        <v>2400</v>
      </c>
      <c r="G939">
        <v>1367.3800048999999</v>
      </c>
      <c r="H939">
        <v>1357.3165283000001</v>
      </c>
      <c r="I939">
        <v>1312.9041748</v>
      </c>
      <c r="J939">
        <v>1303.7926024999999</v>
      </c>
      <c r="K939">
        <v>80</v>
      </c>
      <c r="L939">
        <v>77.465484618999994</v>
      </c>
      <c r="M939">
        <v>50</v>
      </c>
      <c r="N939">
        <v>49.712757111000002</v>
      </c>
    </row>
    <row r="940" spans="1:14" x14ac:dyDescent="0.25">
      <c r="A940">
        <v>733.030259</v>
      </c>
      <c r="B940" s="1">
        <f>DATE(2012,5,3) + TIME(0,43,34)</f>
        <v>41032.03025462963</v>
      </c>
      <c r="C940">
        <v>2400</v>
      </c>
      <c r="D940">
        <v>0</v>
      </c>
      <c r="E940">
        <v>0</v>
      </c>
      <c r="F940">
        <v>2400</v>
      </c>
      <c r="G940">
        <v>1367.3873291</v>
      </c>
      <c r="H940">
        <v>1357.3309326000001</v>
      </c>
      <c r="I940">
        <v>1312.9051514</v>
      </c>
      <c r="J940">
        <v>1303.7915039</v>
      </c>
      <c r="K940">
        <v>80</v>
      </c>
      <c r="L940">
        <v>77.680435181000007</v>
      </c>
      <c r="M940">
        <v>50</v>
      </c>
      <c r="N940">
        <v>49.70242691</v>
      </c>
    </row>
    <row r="941" spans="1:14" x14ac:dyDescent="0.25">
      <c r="A941">
        <v>733.13559999999995</v>
      </c>
      <c r="B941" s="1">
        <f>DATE(2012,5,3) + TIME(3,15,15)</f>
        <v>41032.13559027778</v>
      </c>
      <c r="C941">
        <v>2400</v>
      </c>
      <c r="D941">
        <v>0</v>
      </c>
      <c r="E941">
        <v>0</v>
      </c>
      <c r="F941">
        <v>2400</v>
      </c>
      <c r="G941">
        <v>1367.3950195</v>
      </c>
      <c r="H941">
        <v>1357.3449707</v>
      </c>
      <c r="I941">
        <v>1312.9061279</v>
      </c>
      <c r="J941">
        <v>1303.7902832</v>
      </c>
      <c r="K941">
        <v>80</v>
      </c>
      <c r="L941">
        <v>77.883903502999999</v>
      </c>
      <c r="M941">
        <v>50</v>
      </c>
      <c r="N941">
        <v>49.691795349000003</v>
      </c>
    </row>
    <row r="942" spans="1:14" x14ac:dyDescent="0.25">
      <c r="A942">
        <v>733.24520500000006</v>
      </c>
      <c r="B942" s="1">
        <f>DATE(2012,5,3) + TIME(5,53,5)</f>
        <v>41032.245196759257</v>
      </c>
      <c r="C942">
        <v>2400</v>
      </c>
      <c r="D942">
        <v>0</v>
      </c>
      <c r="E942">
        <v>0</v>
      </c>
      <c r="F942">
        <v>2400</v>
      </c>
      <c r="G942">
        <v>1367.4030762</v>
      </c>
      <c r="H942">
        <v>1357.3586425999999</v>
      </c>
      <c r="I942">
        <v>1312.9069824000001</v>
      </c>
      <c r="J942">
        <v>1303.7891846</v>
      </c>
      <c r="K942">
        <v>80</v>
      </c>
      <c r="L942">
        <v>78.075920104999994</v>
      </c>
      <c r="M942">
        <v>50</v>
      </c>
      <c r="N942">
        <v>49.680843353</v>
      </c>
    </row>
    <row r="943" spans="1:14" x14ac:dyDescent="0.25">
      <c r="A943">
        <v>733.35939399999995</v>
      </c>
      <c r="B943" s="1">
        <f>DATE(2012,5,3) + TIME(8,37,31)</f>
        <v>41032.359386574077</v>
      </c>
      <c r="C943">
        <v>2400</v>
      </c>
      <c r="D943">
        <v>0</v>
      </c>
      <c r="E943">
        <v>0</v>
      </c>
      <c r="F943">
        <v>2400</v>
      </c>
      <c r="G943">
        <v>1367.4111327999999</v>
      </c>
      <c r="H943">
        <v>1357.371582</v>
      </c>
      <c r="I943">
        <v>1312.9079589999999</v>
      </c>
      <c r="J943">
        <v>1303.7878418</v>
      </c>
      <c r="K943">
        <v>80</v>
      </c>
      <c r="L943">
        <v>78.256614685000002</v>
      </c>
      <c r="M943">
        <v>50</v>
      </c>
      <c r="N943">
        <v>49.669548034999998</v>
      </c>
    </row>
    <row r="944" spans="1:14" x14ac:dyDescent="0.25">
      <c r="A944">
        <v>733.478522</v>
      </c>
      <c r="B944" s="1">
        <f>DATE(2012,5,3) + TIME(11,29,4)</f>
        <v>41032.478518518517</v>
      </c>
      <c r="C944">
        <v>2400</v>
      </c>
      <c r="D944">
        <v>0</v>
      </c>
      <c r="E944">
        <v>0</v>
      </c>
      <c r="F944">
        <v>2400</v>
      </c>
      <c r="G944">
        <v>1367.4190673999999</v>
      </c>
      <c r="H944">
        <v>1357.3839111</v>
      </c>
      <c r="I944">
        <v>1312.9086914</v>
      </c>
      <c r="J944">
        <v>1303.7866211</v>
      </c>
      <c r="K944">
        <v>80</v>
      </c>
      <c r="L944">
        <v>78.426116942999997</v>
      </c>
      <c r="M944">
        <v>50</v>
      </c>
      <c r="N944">
        <v>49.657882690000001</v>
      </c>
    </row>
    <row r="945" spans="1:14" x14ac:dyDescent="0.25">
      <c r="A945">
        <v>733.60298299999999</v>
      </c>
      <c r="B945" s="1">
        <f>DATE(2012,5,3) + TIME(14,28,17)</f>
        <v>41032.60297453704</v>
      </c>
      <c r="C945">
        <v>2400</v>
      </c>
      <c r="D945">
        <v>0</v>
      </c>
      <c r="E945">
        <v>0</v>
      </c>
      <c r="F945">
        <v>2400</v>
      </c>
      <c r="G945">
        <v>1367.4268798999999</v>
      </c>
      <c r="H945">
        <v>1357.3953856999999</v>
      </c>
      <c r="I945">
        <v>1312.9095459</v>
      </c>
      <c r="J945">
        <v>1303.7852783000001</v>
      </c>
      <c r="K945">
        <v>80</v>
      </c>
      <c r="L945">
        <v>78.584602356000005</v>
      </c>
      <c r="M945">
        <v>50</v>
      </c>
      <c r="N945">
        <v>49.645824431999998</v>
      </c>
    </row>
    <row r="946" spans="1:14" x14ac:dyDescent="0.25">
      <c r="A946">
        <v>733.73321899999996</v>
      </c>
      <c r="B946" s="1">
        <f>DATE(2012,5,3) + TIME(17,35,50)</f>
        <v>41032.733217592591</v>
      </c>
      <c r="C946">
        <v>2400</v>
      </c>
      <c r="D946">
        <v>0</v>
      </c>
      <c r="E946">
        <v>0</v>
      </c>
      <c r="F946">
        <v>2400</v>
      </c>
      <c r="G946">
        <v>1367.4343262</v>
      </c>
      <c r="H946">
        <v>1357.4061279</v>
      </c>
      <c r="I946">
        <v>1312.9102783000001</v>
      </c>
      <c r="J946">
        <v>1303.7838135</v>
      </c>
      <c r="K946">
        <v>80</v>
      </c>
      <c r="L946">
        <v>78.732254028</v>
      </c>
      <c r="M946">
        <v>50</v>
      </c>
      <c r="N946">
        <v>49.633335113999998</v>
      </c>
    </row>
    <row r="947" spans="1:14" x14ac:dyDescent="0.25">
      <c r="A947">
        <v>733.86972200000002</v>
      </c>
      <c r="B947" s="1">
        <f>DATE(2012,5,3) + TIME(20,52,23)</f>
        <v>41032.869710648149</v>
      </c>
      <c r="C947">
        <v>2400</v>
      </c>
      <c r="D947">
        <v>0</v>
      </c>
      <c r="E947">
        <v>0</v>
      </c>
      <c r="F947">
        <v>2400</v>
      </c>
      <c r="G947">
        <v>1367.4412841999999</v>
      </c>
      <c r="H947">
        <v>1357.4157714999999</v>
      </c>
      <c r="I947">
        <v>1312.9108887</v>
      </c>
      <c r="J947">
        <v>1303.7823486</v>
      </c>
      <c r="K947">
        <v>80</v>
      </c>
      <c r="L947">
        <v>78.869277953999998</v>
      </c>
      <c r="M947">
        <v>50</v>
      </c>
      <c r="N947">
        <v>49.620380402000002</v>
      </c>
    </row>
    <row r="948" spans="1:14" x14ac:dyDescent="0.25">
      <c r="A948">
        <v>734.01304400000004</v>
      </c>
      <c r="B948" s="1">
        <f>DATE(2012,5,4) + TIME(0,18,47)</f>
        <v>41033.013043981482</v>
      </c>
      <c r="C948">
        <v>2400</v>
      </c>
      <c r="D948">
        <v>0</v>
      </c>
      <c r="E948">
        <v>0</v>
      </c>
      <c r="F948">
        <v>2400</v>
      </c>
      <c r="G948">
        <v>1367.4475098</v>
      </c>
      <c r="H948">
        <v>1357.4243164</v>
      </c>
      <c r="I948">
        <v>1312.911499</v>
      </c>
      <c r="J948">
        <v>1303.7807617000001</v>
      </c>
      <c r="K948">
        <v>80</v>
      </c>
      <c r="L948">
        <v>78.995910644999995</v>
      </c>
      <c r="M948">
        <v>50</v>
      </c>
      <c r="N948">
        <v>49.606922150000003</v>
      </c>
    </row>
    <row r="949" spans="1:14" x14ac:dyDescent="0.25">
      <c r="A949">
        <v>734.16380900000001</v>
      </c>
      <c r="B949" s="1">
        <f>DATE(2012,5,4) + TIME(3,55,53)</f>
        <v>41033.163807870369</v>
      </c>
      <c r="C949">
        <v>2400</v>
      </c>
      <c r="D949">
        <v>0</v>
      </c>
      <c r="E949">
        <v>0</v>
      </c>
      <c r="F949">
        <v>2400</v>
      </c>
      <c r="G949">
        <v>1367.4530029</v>
      </c>
      <c r="H949">
        <v>1357.4317627</v>
      </c>
      <c r="I949">
        <v>1312.9121094</v>
      </c>
      <c r="J949">
        <v>1303.7791748</v>
      </c>
      <c r="K949">
        <v>80</v>
      </c>
      <c r="L949">
        <v>79.112403869999994</v>
      </c>
      <c r="M949">
        <v>50</v>
      </c>
      <c r="N949">
        <v>49.592918396000002</v>
      </c>
    </row>
    <row r="950" spans="1:14" x14ac:dyDescent="0.25">
      <c r="A950">
        <v>734.32272399999999</v>
      </c>
      <c r="B950" s="1">
        <f>DATE(2012,5,4) + TIME(7,44,43)</f>
        <v>41033.32271990741</v>
      </c>
      <c r="C950">
        <v>2400</v>
      </c>
      <c r="D950">
        <v>0</v>
      </c>
      <c r="E950">
        <v>0</v>
      </c>
      <c r="F950">
        <v>2400</v>
      </c>
      <c r="G950">
        <v>1367.4573975000001</v>
      </c>
      <c r="H950">
        <v>1357.4378661999999</v>
      </c>
      <c r="I950">
        <v>1312.9124756000001</v>
      </c>
      <c r="J950">
        <v>1303.7774658000001</v>
      </c>
      <c r="K950">
        <v>80</v>
      </c>
      <c r="L950">
        <v>79.219039917000003</v>
      </c>
      <c r="M950">
        <v>50</v>
      </c>
      <c r="N950">
        <v>49.578319550000003</v>
      </c>
    </row>
    <row r="951" spans="1:14" x14ac:dyDescent="0.25">
      <c r="A951">
        <v>734.49064699999997</v>
      </c>
      <c r="B951" s="1">
        <f>DATE(2012,5,4) + TIME(11,46,31)</f>
        <v>41033.490636574075</v>
      </c>
      <c r="C951">
        <v>2400</v>
      </c>
      <c r="D951">
        <v>0</v>
      </c>
      <c r="E951">
        <v>0</v>
      </c>
      <c r="F951">
        <v>2400</v>
      </c>
      <c r="G951">
        <v>1367.4605713000001</v>
      </c>
      <c r="H951">
        <v>1357.4425048999999</v>
      </c>
      <c r="I951">
        <v>1312.9129639</v>
      </c>
      <c r="J951">
        <v>1303.7756348</v>
      </c>
      <c r="K951">
        <v>80</v>
      </c>
      <c r="L951">
        <v>79.316162109000004</v>
      </c>
      <c r="M951">
        <v>50</v>
      </c>
      <c r="N951">
        <v>49.563056946000003</v>
      </c>
    </row>
    <row r="952" spans="1:14" x14ac:dyDescent="0.25">
      <c r="A952">
        <v>734.66853200000003</v>
      </c>
      <c r="B952" s="1">
        <f>DATE(2012,5,4) + TIME(16,2,41)</f>
        <v>41033.668530092589</v>
      </c>
      <c r="C952">
        <v>2400</v>
      </c>
      <c r="D952">
        <v>0</v>
      </c>
      <c r="E952">
        <v>0</v>
      </c>
      <c r="F952">
        <v>2400</v>
      </c>
      <c r="G952">
        <v>1367.4624022999999</v>
      </c>
      <c r="H952">
        <v>1357.4456786999999</v>
      </c>
      <c r="I952">
        <v>1312.9132079999999</v>
      </c>
      <c r="J952">
        <v>1303.7738036999999</v>
      </c>
      <c r="K952">
        <v>80</v>
      </c>
      <c r="L952">
        <v>79.404106139999996</v>
      </c>
      <c r="M952">
        <v>50</v>
      </c>
      <c r="N952">
        <v>49.547073363999999</v>
      </c>
    </row>
    <row r="953" spans="1:14" x14ac:dyDescent="0.25">
      <c r="A953">
        <v>734.85738500000002</v>
      </c>
      <c r="B953" s="1">
        <f>DATE(2012,5,4) + TIME(20,34,38)</f>
        <v>41033.85738425926</v>
      </c>
      <c r="C953">
        <v>2400</v>
      </c>
      <c r="D953">
        <v>0</v>
      </c>
      <c r="E953">
        <v>0</v>
      </c>
      <c r="F953">
        <v>2400</v>
      </c>
      <c r="G953">
        <v>1367.4627685999999</v>
      </c>
      <c r="H953">
        <v>1357.4472656</v>
      </c>
      <c r="I953">
        <v>1312.9133300999999</v>
      </c>
      <c r="J953">
        <v>1303.7717285000001</v>
      </c>
      <c r="K953">
        <v>80</v>
      </c>
      <c r="L953">
        <v>79.483192443999997</v>
      </c>
      <c r="M953">
        <v>50</v>
      </c>
      <c r="N953">
        <v>49.530292510999999</v>
      </c>
    </row>
    <row r="954" spans="1:14" x14ac:dyDescent="0.25">
      <c r="A954">
        <v>735.058447</v>
      </c>
      <c r="B954" s="1">
        <f>DATE(2012,5,5) + TIME(1,24,9)</f>
        <v>41034.058437500003</v>
      </c>
      <c r="C954">
        <v>2400</v>
      </c>
      <c r="D954">
        <v>0</v>
      </c>
      <c r="E954">
        <v>0</v>
      </c>
      <c r="F954">
        <v>2400</v>
      </c>
      <c r="G954">
        <v>1367.4614257999999</v>
      </c>
      <c r="H954">
        <v>1357.4470214999999</v>
      </c>
      <c r="I954">
        <v>1312.9134521000001</v>
      </c>
      <c r="J954">
        <v>1303.7696533000001</v>
      </c>
      <c r="K954">
        <v>80</v>
      </c>
      <c r="L954">
        <v>79.553825377999999</v>
      </c>
      <c r="M954">
        <v>50</v>
      </c>
      <c r="N954">
        <v>49.512638092000003</v>
      </c>
    </row>
    <row r="955" spans="1:14" x14ac:dyDescent="0.25">
      <c r="A955">
        <v>735.27317000000005</v>
      </c>
      <c r="B955" s="1">
        <f>DATE(2012,5,5) + TIME(6,33,21)</f>
        <v>41034.273159722223</v>
      </c>
      <c r="C955">
        <v>2400</v>
      </c>
      <c r="D955">
        <v>0</v>
      </c>
      <c r="E955">
        <v>0</v>
      </c>
      <c r="F955">
        <v>2400</v>
      </c>
      <c r="G955">
        <v>1367.4580077999999</v>
      </c>
      <c r="H955">
        <v>1357.4449463000001</v>
      </c>
      <c r="I955">
        <v>1312.9133300999999</v>
      </c>
      <c r="J955">
        <v>1303.7674560999999</v>
      </c>
      <c r="K955">
        <v>80</v>
      </c>
      <c r="L955">
        <v>79.616416931000003</v>
      </c>
      <c r="M955">
        <v>50</v>
      </c>
      <c r="N955">
        <v>49.493999481000003</v>
      </c>
    </row>
    <row r="956" spans="1:14" x14ac:dyDescent="0.25">
      <c r="A956">
        <v>735.50302199999999</v>
      </c>
      <c r="B956" s="1">
        <f>DATE(2012,5,5) + TIME(12,4,21)</f>
        <v>41034.503020833334</v>
      </c>
      <c r="C956">
        <v>2400</v>
      </c>
      <c r="D956">
        <v>0</v>
      </c>
      <c r="E956">
        <v>0</v>
      </c>
      <c r="F956">
        <v>2400</v>
      </c>
      <c r="G956">
        <v>1367.4525146000001</v>
      </c>
      <c r="H956">
        <v>1357.4407959</v>
      </c>
      <c r="I956">
        <v>1312.9130858999999</v>
      </c>
      <c r="J956">
        <v>1303.7650146000001</v>
      </c>
      <c r="K956">
        <v>80</v>
      </c>
      <c r="L956">
        <v>79.671356200999995</v>
      </c>
      <c r="M956">
        <v>50</v>
      </c>
      <c r="N956">
        <v>49.474292755</v>
      </c>
    </row>
    <row r="957" spans="1:14" x14ac:dyDescent="0.25">
      <c r="A957">
        <v>735.735547</v>
      </c>
      <c r="B957" s="1">
        <f>DATE(2012,5,5) + TIME(17,39,11)</f>
        <v>41034.735543981478</v>
      </c>
      <c r="C957">
        <v>2400</v>
      </c>
      <c r="D957">
        <v>0</v>
      </c>
      <c r="E957">
        <v>0</v>
      </c>
      <c r="F957">
        <v>2400</v>
      </c>
      <c r="G957">
        <v>1367.4466553</v>
      </c>
      <c r="H957">
        <v>1357.4357910000001</v>
      </c>
      <c r="I957">
        <v>1312.9127197</v>
      </c>
      <c r="J957">
        <v>1303.7624512</v>
      </c>
      <c r="K957">
        <v>80</v>
      </c>
      <c r="L957">
        <v>79.716857910000002</v>
      </c>
      <c r="M957">
        <v>50</v>
      </c>
      <c r="N957">
        <v>49.454456329000003</v>
      </c>
    </row>
    <row r="958" spans="1:14" x14ac:dyDescent="0.25">
      <c r="A958">
        <v>735.97148700000002</v>
      </c>
      <c r="B958" s="1">
        <f>DATE(2012,5,5) + TIME(23,18,56)</f>
        <v>41034.97148148148</v>
      </c>
      <c r="C958">
        <v>2400</v>
      </c>
      <c r="D958">
        <v>0</v>
      </c>
      <c r="E958">
        <v>0</v>
      </c>
      <c r="F958">
        <v>2400</v>
      </c>
      <c r="G958">
        <v>1367.4384766000001</v>
      </c>
      <c r="H958">
        <v>1357.4288329999999</v>
      </c>
      <c r="I958">
        <v>1312.9122314000001</v>
      </c>
      <c r="J958">
        <v>1303.7598877</v>
      </c>
      <c r="K958">
        <v>80</v>
      </c>
      <c r="L958">
        <v>79.754562378000003</v>
      </c>
      <c r="M958">
        <v>50</v>
      </c>
      <c r="N958">
        <v>49.434436798</v>
      </c>
    </row>
    <row r="959" spans="1:14" x14ac:dyDescent="0.25">
      <c r="A959">
        <v>736.21142599999996</v>
      </c>
      <c r="B959" s="1">
        <f>DATE(2012,5,6) + TIME(5,4,27)</f>
        <v>41035.211423611108</v>
      </c>
      <c r="C959">
        <v>2400</v>
      </c>
      <c r="D959">
        <v>0</v>
      </c>
      <c r="E959">
        <v>0</v>
      </c>
      <c r="F959">
        <v>2400</v>
      </c>
      <c r="G959">
        <v>1367.4283447</v>
      </c>
      <c r="H959">
        <v>1357.4201660000001</v>
      </c>
      <c r="I959">
        <v>1312.911499</v>
      </c>
      <c r="J959">
        <v>1303.7573242000001</v>
      </c>
      <c r="K959">
        <v>80</v>
      </c>
      <c r="L959">
        <v>79.785797118999994</v>
      </c>
      <c r="M959">
        <v>50</v>
      </c>
      <c r="N959">
        <v>49.414196013999998</v>
      </c>
    </row>
    <row r="960" spans="1:14" x14ac:dyDescent="0.25">
      <c r="A960">
        <v>736.45593399999996</v>
      </c>
      <c r="B960" s="1">
        <f>DATE(2012,5,6) + TIME(10,56,32)</f>
        <v>41035.455925925926</v>
      </c>
      <c r="C960">
        <v>2400</v>
      </c>
      <c r="D960">
        <v>0</v>
      </c>
      <c r="E960">
        <v>0</v>
      </c>
      <c r="F960">
        <v>2400</v>
      </c>
      <c r="G960">
        <v>1367.4161377</v>
      </c>
      <c r="H960">
        <v>1357.4099120999999</v>
      </c>
      <c r="I960">
        <v>1312.9107666</v>
      </c>
      <c r="J960">
        <v>1303.7546387</v>
      </c>
      <c r="K960">
        <v>80</v>
      </c>
      <c r="L960">
        <v>79.811645507999998</v>
      </c>
      <c r="M960">
        <v>50</v>
      </c>
      <c r="N960">
        <v>49.393688202</v>
      </c>
    </row>
    <row r="961" spans="1:14" x14ac:dyDescent="0.25">
      <c r="A961">
        <v>736.70491800000002</v>
      </c>
      <c r="B961" s="1">
        <f>DATE(2012,5,6) + TIME(16,55,4)</f>
        <v>41035.704907407409</v>
      </c>
      <c r="C961">
        <v>2400</v>
      </c>
      <c r="D961">
        <v>0</v>
      </c>
      <c r="E961">
        <v>0</v>
      </c>
      <c r="F961">
        <v>2400</v>
      </c>
      <c r="G961">
        <v>1367.4022216999999</v>
      </c>
      <c r="H961">
        <v>1357.3981934000001</v>
      </c>
      <c r="I961">
        <v>1312.9097899999999</v>
      </c>
      <c r="J961">
        <v>1303.7518310999999</v>
      </c>
      <c r="K961">
        <v>80</v>
      </c>
      <c r="L961">
        <v>79.832954407000003</v>
      </c>
      <c r="M961">
        <v>50</v>
      </c>
      <c r="N961">
        <v>49.372928619</v>
      </c>
    </row>
    <row r="962" spans="1:14" x14ac:dyDescent="0.25">
      <c r="A962">
        <v>736.95872299999996</v>
      </c>
      <c r="B962" s="1">
        <f>DATE(2012,5,6) + TIME(23,0,33)</f>
        <v>41035.958715277775</v>
      </c>
      <c r="C962">
        <v>2400</v>
      </c>
      <c r="D962">
        <v>0</v>
      </c>
      <c r="E962">
        <v>0</v>
      </c>
      <c r="F962">
        <v>2400</v>
      </c>
      <c r="G962">
        <v>1367.3868408000001</v>
      </c>
      <c r="H962">
        <v>1357.3852539</v>
      </c>
      <c r="I962">
        <v>1312.9086914</v>
      </c>
      <c r="J962">
        <v>1303.7490233999999</v>
      </c>
      <c r="K962">
        <v>80</v>
      </c>
      <c r="L962">
        <v>79.850502014</v>
      </c>
      <c r="M962">
        <v>50</v>
      </c>
      <c r="N962">
        <v>49.351890564000001</v>
      </c>
    </row>
    <row r="963" spans="1:14" x14ac:dyDescent="0.25">
      <c r="A963">
        <v>737.21794199999999</v>
      </c>
      <c r="B963" s="1">
        <f>DATE(2012,5,7) + TIME(5,13,50)</f>
        <v>41036.217939814815</v>
      </c>
      <c r="C963">
        <v>2400</v>
      </c>
      <c r="D963">
        <v>0</v>
      </c>
      <c r="E963">
        <v>0</v>
      </c>
      <c r="F963">
        <v>2400</v>
      </c>
      <c r="G963">
        <v>1367.369751</v>
      </c>
      <c r="H963">
        <v>1357.3710937999999</v>
      </c>
      <c r="I963">
        <v>1312.9075928</v>
      </c>
      <c r="J963">
        <v>1303.7462158000001</v>
      </c>
      <c r="K963">
        <v>80</v>
      </c>
      <c r="L963">
        <v>79.864936829000001</v>
      </c>
      <c r="M963">
        <v>50</v>
      </c>
      <c r="N963">
        <v>49.330528258999998</v>
      </c>
    </row>
    <row r="964" spans="1:14" x14ac:dyDescent="0.25">
      <c r="A964">
        <v>737.48308199999997</v>
      </c>
      <c r="B964" s="1">
        <f>DATE(2012,5,7) + TIME(11,35,38)</f>
        <v>41036.483078703706</v>
      </c>
      <c r="C964">
        <v>2400</v>
      </c>
      <c r="D964">
        <v>0</v>
      </c>
      <c r="E964">
        <v>0</v>
      </c>
      <c r="F964">
        <v>2400</v>
      </c>
      <c r="G964">
        <v>1367.3514404</v>
      </c>
      <c r="H964">
        <v>1357.355957</v>
      </c>
      <c r="I964">
        <v>1312.9063721</v>
      </c>
      <c r="J964">
        <v>1303.7431641000001</v>
      </c>
      <c r="K964">
        <v>80</v>
      </c>
      <c r="L964">
        <v>79.876777649000005</v>
      </c>
      <c r="M964">
        <v>50</v>
      </c>
      <c r="N964">
        <v>49.308815002000003</v>
      </c>
    </row>
    <row r="965" spans="1:14" x14ac:dyDescent="0.25">
      <c r="A965">
        <v>737.75423999999998</v>
      </c>
      <c r="B965" s="1">
        <f>DATE(2012,5,7) + TIME(18,6,6)</f>
        <v>41036.754236111112</v>
      </c>
      <c r="C965">
        <v>2400</v>
      </c>
      <c r="D965">
        <v>0</v>
      </c>
      <c r="E965">
        <v>0</v>
      </c>
      <c r="F965">
        <v>2400</v>
      </c>
      <c r="G965">
        <v>1367.3316649999999</v>
      </c>
      <c r="H965">
        <v>1357.3397216999999</v>
      </c>
      <c r="I965">
        <v>1312.9049072</v>
      </c>
      <c r="J965">
        <v>1303.7402344</v>
      </c>
      <c r="K965">
        <v>80</v>
      </c>
      <c r="L965">
        <v>79.886474609000004</v>
      </c>
      <c r="M965">
        <v>50</v>
      </c>
      <c r="N965">
        <v>49.286743164000001</v>
      </c>
    </row>
    <row r="966" spans="1:14" x14ac:dyDescent="0.25">
      <c r="A966">
        <v>738.03164000000004</v>
      </c>
      <c r="B966" s="1">
        <f>DATE(2012,5,8) + TIME(0,45,33)</f>
        <v>41037.031631944446</v>
      </c>
      <c r="C966">
        <v>2400</v>
      </c>
      <c r="D966">
        <v>0</v>
      </c>
      <c r="E966">
        <v>0</v>
      </c>
      <c r="F966">
        <v>2400</v>
      </c>
      <c r="G966">
        <v>1367.3107910000001</v>
      </c>
      <c r="H966">
        <v>1357.3226318</v>
      </c>
      <c r="I966">
        <v>1312.9034423999999</v>
      </c>
      <c r="J966">
        <v>1303.7370605000001</v>
      </c>
      <c r="K966">
        <v>80</v>
      </c>
      <c r="L966">
        <v>79.894386291999993</v>
      </c>
      <c r="M966">
        <v>50</v>
      </c>
      <c r="N966">
        <v>49.264297485</v>
      </c>
    </row>
    <row r="967" spans="1:14" x14ac:dyDescent="0.25">
      <c r="A967">
        <v>738.31579399999998</v>
      </c>
      <c r="B967" s="1">
        <f>DATE(2012,5,8) + TIME(7,34,44)</f>
        <v>41037.315787037034</v>
      </c>
      <c r="C967">
        <v>2400</v>
      </c>
      <c r="D967">
        <v>0</v>
      </c>
      <c r="E967">
        <v>0</v>
      </c>
      <c r="F967">
        <v>2400</v>
      </c>
      <c r="G967">
        <v>1367.2888184000001</v>
      </c>
      <c r="H967">
        <v>1357.3048096</v>
      </c>
      <c r="I967">
        <v>1312.9018555</v>
      </c>
      <c r="J967">
        <v>1303.7338867000001</v>
      </c>
      <c r="K967">
        <v>80</v>
      </c>
      <c r="L967">
        <v>79.900833129999995</v>
      </c>
      <c r="M967">
        <v>50</v>
      </c>
      <c r="N967">
        <v>49.241447448999999</v>
      </c>
    </row>
    <row r="968" spans="1:14" x14ac:dyDescent="0.25">
      <c r="A968">
        <v>738.607348</v>
      </c>
      <c r="B968" s="1">
        <f>DATE(2012,5,8) + TIME(14,34,34)</f>
        <v>41037.60733796296</v>
      </c>
      <c r="C968">
        <v>2400</v>
      </c>
      <c r="D968">
        <v>0</v>
      </c>
      <c r="E968">
        <v>0</v>
      </c>
      <c r="F968">
        <v>2400</v>
      </c>
      <c r="G968">
        <v>1367.2657471</v>
      </c>
      <c r="H968">
        <v>1357.2861327999999</v>
      </c>
      <c r="I968">
        <v>1312.9001464999999</v>
      </c>
      <c r="J968">
        <v>1303.7305908000001</v>
      </c>
      <c r="K968">
        <v>80</v>
      </c>
      <c r="L968">
        <v>79.906082153</v>
      </c>
      <c r="M968">
        <v>50</v>
      </c>
      <c r="N968">
        <v>49.218151093000003</v>
      </c>
    </row>
    <row r="969" spans="1:14" x14ac:dyDescent="0.25">
      <c r="A969">
        <v>738.90698899999995</v>
      </c>
      <c r="B969" s="1">
        <f>DATE(2012,5,8) + TIME(21,46,3)</f>
        <v>41037.90697916667</v>
      </c>
      <c r="C969">
        <v>2400</v>
      </c>
      <c r="D969">
        <v>0</v>
      </c>
      <c r="E969">
        <v>0</v>
      </c>
      <c r="F969">
        <v>2400</v>
      </c>
      <c r="G969">
        <v>1367.2416992000001</v>
      </c>
      <c r="H969">
        <v>1357.2667236</v>
      </c>
      <c r="I969">
        <v>1312.8983154</v>
      </c>
      <c r="J969">
        <v>1303.7271728999999</v>
      </c>
      <c r="K969">
        <v>80</v>
      </c>
      <c r="L969">
        <v>79.910346985000004</v>
      </c>
      <c r="M969">
        <v>50</v>
      </c>
      <c r="N969">
        <v>49.194362640000001</v>
      </c>
    </row>
    <row r="970" spans="1:14" x14ac:dyDescent="0.25">
      <c r="A970">
        <v>739.21422199999995</v>
      </c>
      <c r="B970" s="1">
        <f>DATE(2012,5,9) + TIME(5,8,28)</f>
        <v>41038.214212962965</v>
      </c>
      <c r="C970">
        <v>2400</v>
      </c>
      <c r="D970">
        <v>0</v>
      </c>
      <c r="E970">
        <v>0</v>
      </c>
      <c r="F970">
        <v>2400</v>
      </c>
      <c r="G970">
        <v>1367.2166748</v>
      </c>
      <c r="H970">
        <v>1357.2467041</v>
      </c>
      <c r="I970">
        <v>1312.8963623</v>
      </c>
      <c r="J970">
        <v>1303.7236327999999</v>
      </c>
      <c r="K970">
        <v>80</v>
      </c>
      <c r="L970">
        <v>79.913803100999999</v>
      </c>
      <c r="M970">
        <v>50</v>
      </c>
      <c r="N970">
        <v>49.170116425000003</v>
      </c>
    </row>
    <row r="971" spans="1:14" x14ac:dyDescent="0.25">
      <c r="A971">
        <v>739.52973899999995</v>
      </c>
      <c r="B971" s="1">
        <f>DATE(2012,5,9) + TIME(12,42,49)</f>
        <v>41038.529733796298</v>
      </c>
      <c r="C971">
        <v>2400</v>
      </c>
      <c r="D971">
        <v>0</v>
      </c>
      <c r="E971">
        <v>0</v>
      </c>
      <c r="F971">
        <v>2400</v>
      </c>
      <c r="G971">
        <v>1367.190918</v>
      </c>
      <c r="H971">
        <v>1357.2261963000001</v>
      </c>
      <c r="I971">
        <v>1312.8942870999999</v>
      </c>
      <c r="J971">
        <v>1303.7199707</v>
      </c>
      <c r="K971">
        <v>80</v>
      </c>
      <c r="L971">
        <v>79.916595459000007</v>
      </c>
      <c r="M971">
        <v>50</v>
      </c>
      <c r="N971">
        <v>49.145370483000001</v>
      </c>
    </row>
    <row r="972" spans="1:14" x14ac:dyDescent="0.25">
      <c r="A972">
        <v>739.85427400000003</v>
      </c>
      <c r="B972" s="1">
        <f>DATE(2012,5,9) + TIME(20,30,9)</f>
        <v>41038.854270833333</v>
      </c>
      <c r="C972">
        <v>2400</v>
      </c>
      <c r="D972">
        <v>0</v>
      </c>
      <c r="E972">
        <v>0</v>
      </c>
      <c r="F972">
        <v>2400</v>
      </c>
      <c r="G972">
        <v>1367.1643065999999</v>
      </c>
      <c r="H972">
        <v>1357.2050781</v>
      </c>
      <c r="I972">
        <v>1312.8922118999999</v>
      </c>
      <c r="J972">
        <v>1303.7161865</v>
      </c>
      <c r="K972">
        <v>80</v>
      </c>
      <c r="L972">
        <v>79.918853760000005</v>
      </c>
      <c r="M972">
        <v>50</v>
      </c>
      <c r="N972">
        <v>49.120079040999997</v>
      </c>
    </row>
    <row r="973" spans="1:14" x14ac:dyDescent="0.25">
      <c r="A973">
        <v>740.18862999999999</v>
      </c>
      <c r="B973" s="1">
        <f>DATE(2012,5,10) + TIME(4,31,37)</f>
        <v>41039.188622685186</v>
      </c>
      <c r="C973">
        <v>2400</v>
      </c>
      <c r="D973">
        <v>0</v>
      </c>
      <c r="E973">
        <v>0</v>
      </c>
      <c r="F973">
        <v>2400</v>
      </c>
      <c r="G973">
        <v>1367.1369629000001</v>
      </c>
      <c r="H973">
        <v>1357.1833495999999</v>
      </c>
      <c r="I973">
        <v>1312.8898925999999</v>
      </c>
      <c r="J973">
        <v>1303.7122803</v>
      </c>
      <c r="K973">
        <v>80</v>
      </c>
      <c r="L973">
        <v>79.920677185000002</v>
      </c>
      <c r="M973">
        <v>50</v>
      </c>
      <c r="N973">
        <v>49.094196320000002</v>
      </c>
    </row>
    <row r="974" spans="1:14" x14ac:dyDescent="0.25">
      <c r="A974">
        <v>740.53349500000002</v>
      </c>
      <c r="B974" s="1">
        <f>DATE(2012,5,10) + TIME(12,48,13)</f>
        <v>41039.533483796295</v>
      </c>
      <c r="C974">
        <v>2400</v>
      </c>
      <c r="D974">
        <v>0</v>
      </c>
      <c r="E974">
        <v>0</v>
      </c>
      <c r="F974">
        <v>2400</v>
      </c>
      <c r="G974">
        <v>1367.1088867000001</v>
      </c>
      <c r="H974">
        <v>1357.1611327999999</v>
      </c>
      <c r="I974">
        <v>1312.8875731999999</v>
      </c>
      <c r="J974">
        <v>1303.7082519999999</v>
      </c>
      <c r="K974">
        <v>80</v>
      </c>
      <c r="L974">
        <v>79.922157287999994</v>
      </c>
      <c r="M974">
        <v>50</v>
      </c>
      <c r="N974">
        <v>49.067676544000001</v>
      </c>
    </row>
    <row r="975" spans="1:14" x14ac:dyDescent="0.25">
      <c r="A975">
        <v>740.88828100000001</v>
      </c>
      <c r="B975" s="1">
        <f>DATE(2012,5,10) + TIME(21,19,7)</f>
        <v>41039.888275462959</v>
      </c>
      <c r="C975">
        <v>2400</v>
      </c>
      <c r="D975">
        <v>0</v>
      </c>
      <c r="E975">
        <v>0</v>
      </c>
      <c r="F975">
        <v>2400</v>
      </c>
      <c r="G975">
        <v>1367.0799560999999</v>
      </c>
      <c r="H975">
        <v>1357.1385498</v>
      </c>
      <c r="I975">
        <v>1312.8850098</v>
      </c>
      <c r="J975">
        <v>1303.7041016000001</v>
      </c>
      <c r="K975">
        <v>80</v>
      </c>
      <c r="L975">
        <v>79.923347473000007</v>
      </c>
      <c r="M975">
        <v>50</v>
      </c>
      <c r="N975">
        <v>49.040561676000003</v>
      </c>
    </row>
    <row r="976" spans="1:14" x14ac:dyDescent="0.25">
      <c r="A976">
        <v>741.25388899999996</v>
      </c>
      <c r="B976" s="1">
        <f>DATE(2012,5,11) + TIME(6,5,35)</f>
        <v>41040.253877314812</v>
      </c>
      <c r="C976">
        <v>2400</v>
      </c>
      <c r="D976">
        <v>0</v>
      </c>
      <c r="E976">
        <v>0</v>
      </c>
      <c r="F976">
        <v>2400</v>
      </c>
      <c r="G976">
        <v>1367.0505370999999</v>
      </c>
      <c r="H976">
        <v>1357.1154785000001</v>
      </c>
      <c r="I976">
        <v>1312.8823242000001</v>
      </c>
      <c r="J976">
        <v>1303.699707</v>
      </c>
      <c r="K976">
        <v>80</v>
      </c>
      <c r="L976">
        <v>79.924316406000003</v>
      </c>
      <c r="M976">
        <v>50</v>
      </c>
      <c r="N976">
        <v>49.012798308999997</v>
      </c>
    </row>
    <row r="977" spans="1:14" x14ac:dyDescent="0.25">
      <c r="A977">
        <v>741.63122899999996</v>
      </c>
      <c r="B977" s="1">
        <f>DATE(2012,5,11) + TIME(15,8,58)</f>
        <v>41040.631226851852</v>
      </c>
      <c r="C977">
        <v>2400</v>
      </c>
      <c r="D977">
        <v>0</v>
      </c>
      <c r="E977">
        <v>0</v>
      </c>
      <c r="F977">
        <v>2400</v>
      </c>
      <c r="G977">
        <v>1367.0205077999999</v>
      </c>
      <c r="H977">
        <v>1357.0920410000001</v>
      </c>
      <c r="I977">
        <v>1312.8796387</v>
      </c>
      <c r="J977">
        <v>1303.6950684000001</v>
      </c>
      <c r="K977">
        <v>80</v>
      </c>
      <c r="L977">
        <v>79.925094603999995</v>
      </c>
      <c r="M977">
        <v>50</v>
      </c>
      <c r="N977">
        <v>48.984336853000002</v>
      </c>
    </row>
    <row r="978" spans="1:14" x14ac:dyDescent="0.25">
      <c r="A978">
        <v>742.02124200000003</v>
      </c>
      <c r="B978" s="1">
        <f>DATE(2012,5,12) + TIME(0,30,35)</f>
        <v>41041.021238425928</v>
      </c>
      <c r="C978">
        <v>2400</v>
      </c>
      <c r="D978">
        <v>0</v>
      </c>
      <c r="E978">
        <v>0</v>
      </c>
      <c r="F978">
        <v>2400</v>
      </c>
      <c r="G978">
        <v>1366.9898682</v>
      </c>
      <c r="H978">
        <v>1357.0682373</v>
      </c>
      <c r="I978">
        <v>1312.8767089999999</v>
      </c>
      <c r="J978">
        <v>1303.6904297000001</v>
      </c>
      <c r="K978">
        <v>80</v>
      </c>
      <c r="L978">
        <v>79.925727843999994</v>
      </c>
      <c r="M978">
        <v>50</v>
      </c>
      <c r="N978">
        <v>48.955116271999998</v>
      </c>
    </row>
    <row r="979" spans="1:14" x14ac:dyDescent="0.25">
      <c r="A979">
        <v>742.42510700000003</v>
      </c>
      <c r="B979" s="1">
        <f>DATE(2012,5,12) + TIME(10,12,9)</f>
        <v>41041.425104166665</v>
      </c>
      <c r="C979">
        <v>2400</v>
      </c>
      <c r="D979">
        <v>0</v>
      </c>
      <c r="E979">
        <v>0</v>
      </c>
      <c r="F979">
        <v>2400</v>
      </c>
      <c r="G979">
        <v>1366.9584961</v>
      </c>
      <c r="H979">
        <v>1357.0439452999999</v>
      </c>
      <c r="I979">
        <v>1312.8736572</v>
      </c>
      <c r="J979">
        <v>1303.6854248</v>
      </c>
      <c r="K979">
        <v>80</v>
      </c>
      <c r="L979">
        <v>79.926239014000004</v>
      </c>
      <c r="M979">
        <v>50</v>
      </c>
      <c r="N979">
        <v>48.925075530999997</v>
      </c>
    </row>
    <row r="980" spans="1:14" x14ac:dyDescent="0.25">
      <c r="A980">
        <v>742.84378500000003</v>
      </c>
      <c r="B980" s="1">
        <f>DATE(2012,5,12) + TIME(20,15,3)</f>
        <v>41041.843784722223</v>
      </c>
      <c r="C980">
        <v>2400</v>
      </c>
      <c r="D980">
        <v>0</v>
      </c>
      <c r="E980">
        <v>0</v>
      </c>
      <c r="F980">
        <v>2400</v>
      </c>
      <c r="G980">
        <v>1366.9266356999999</v>
      </c>
      <c r="H980">
        <v>1357.0192870999999</v>
      </c>
      <c r="I980">
        <v>1312.8704834</v>
      </c>
      <c r="J980">
        <v>1303.6802978999999</v>
      </c>
      <c r="K980">
        <v>80</v>
      </c>
      <c r="L980">
        <v>79.926658630000006</v>
      </c>
      <c r="M980">
        <v>50</v>
      </c>
      <c r="N980">
        <v>48.894153594999999</v>
      </c>
    </row>
    <row r="981" spans="1:14" x14ac:dyDescent="0.25">
      <c r="A981">
        <v>743.27632800000003</v>
      </c>
      <c r="B981" s="1">
        <f>DATE(2012,5,13) + TIME(6,37,54)</f>
        <v>41042.276319444441</v>
      </c>
      <c r="C981">
        <v>2400</v>
      </c>
      <c r="D981">
        <v>0</v>
      </c>
      <c r="E981">
        <v>0</v>
      </c>
      <c r="F981">
        <v>2400</v>
      </c>
      <c r="G981">
        <v>1366.894043</v>
      </c>
      <c r="H981">
        <v>1356.9942627</v>
      </c>
      <c r="I981">
        <v>1312.8670654</v>
      </c>
      <c r="J981">
        <v>1303.6748047000001</v>
      </c>
      <c r="K981">
        <v>80</v>
      </c>
      <c r="L981">
        <v>79.927001953000001</v>
      </c>
      <c r="M981">
        <v>50</v>
      </c>
      <c r="N981">
        <v>48.862415314000003</v>
      </c>
    </row>
    <row r="982" spans="1:14" x14ac:dyDescent="0.25">
      <c r="A982">
        <v>743.72402299999999</v>
      </c>
      <c r="B982" s="1">
        <f>DATE(2012,5,13) + TIME(17,22,35)</f>
        <v>41042.724016203705</v>
      </c>
      <c r="C982">
        <v>2400</v>
      </c>
      <c r="D982">
        <v>0</v>
      </c>
      <c r="E982">
        <v>0</v>
      </c>
      <c r="F982">
        <v>2400</v>
      </c>
      <c r="G982">
        <v>1366.8609618999999</v>
      </c>
      <c r="H982">
        <v>1356.9688721</v>
      </c>
      <c r="I982">
        <v>1312.8635254000001</v>
      </c>
      <c r="J982">
        <v>1303.6691894999999</v>
      </c>
      <c r="K982">
        <v>80</v>
      </c>
      <c r="L982">
        <v>79.927276610999996</v>
      </c>
      <c r="M982">
        <v>50</v>
      </c>
      <c r="N982">
        <v>48.829784392999997</v>
      </c>
    </row>
    <row r="983" spans="1:14" x14ac:dyDescent="0.25">
      <c r="A983">
        <v>744.18820900000003</v>
      </c>
      <c r="B983" s="1">
        <f>DATE(2012,5,14) + TIME(4,31,1)</f>
        <v>41043.188206018516</v>
      </c>
      <c r="C983">
        <v>2400</v>
      </c>
      <c r="D983">
        <v>0</v>
      </c>
      <c r="E983">
        <v>0</v>
      </c>
      <c r="F983">
        <v>2400</v>
      </c>
      <c r="G983">
        <v>1366.8273925999999</v>
      </c>
      <c r="H983">
        <v>1356.9431152</v>
      </c>
      <c r="I983">
        <v>1312.8597411999999</v>
      </c>
      <c r="J983">
        <v>1303.6632079999999</v>
      </c>
      <c r="K983">
        <v>80</v>
      </c>
      <c r="L983">
        <v>79.927505492999998</v>
      </c>
      <c r="M983">
        <v>50</v>
      </c>
      <c r="N983">
        <v>48.796192169000001</v>
      </c>
    </row>
    <row r="984" spans="1:14" x14ac:dyDescent="0.25">
      <c r="A984">
        <v>744.66030899999998</v>
      </c>
      <c r="B984" s="1">
        <f>DATE(2012,5,14) + TIME(15,50,50)</f>
        <v>41043.660300925927</v>
      </c>
      <c r="C984">
        <v>2400</v>
      </c>
      <c r="D984">
        <v>0</v>
      </c>
      <c r="E984">
        <v>0</v>
      </c>
      <c r="F984">
        <v>2400</v>
      </c>
      <c r="G984">
        <v>1366.7933350000001</v>
      </c>
      <c r="H984">
        <v>1356.9169922000001</v>
      </c>
      <c r="I984">
        <v>1312.8558350000001</v>
      </c>
      <c r="J984">
        <v>1303.6569824000001</v>
      </c>
      <c r="K984">
        <v>80</v>
      </c>
      <c r="L984">
        <v>79.927688599000007</v>
      </c>
      <c r="M984">
        <v>50</v>
      </c>
      <c r="N984">
        <v>48.762130737</v>
      </c>
    </row>
    <row r="985" spans="1:14" x14ac:dyDescent="0.25">
      <c r="A985">
        <v>745.13835600000004</v>
      </c>
      <c r="B985" s="1">
        <f>DATE(2012,5,15) + TIME(3,19,13)</f>
        <v>41044.138344907406</v>
      </c>
      <c r="C985">
        <v>2400</v>
      </c>
      <c r="D985">
        <v>0</v>
      </c>
      <c r="E985">
        <v>0</v>
      </c>
      <c r="F985">
        <v>2400</v>
      </c>
      <c r="G985">
        <v>1366.7592772999999</v>
      </c>
      <c r="H985">
        <v>1356.8911132999999</v>
      </c>
      <c r="I985">
        <v>1312.8516846</v>
      </c>
      <c r="J985">
        <v>1303.6506348</v>
      </c>
      <c r="K985">
        <v>80</v>
      </c>
      <c r="L985">
        <v>79.927825928000004</v>
      </c>
      <c r="M985">
        <v>50</v>
      </c>
      <c r="N985">
        <v>48.727729797000002</v>
      </c>
    </row>
    <row r="986" spans="1:14" x14ac:dyDescent="0.25">
      <c r="A986">
        <v>745.62357699999995</v>
      </c>
      <c r="B986" s="1">
        <f>DATE(2012,5,15) + TIME(14,57,57)</f>
        <v>41044.623576388891</v>
      </c>
      <c r="C986">
        <v>2400</v>
      </c>
      <c r="D986">
        <v>0</v>
      </c>
      <c r="E986">
        <v>0</v>
      </c>
      <c r="F986">
        <v>2400</v>
      </c>
      <c r="G986">
        <v>1366.7255858999999</v>
      </c>
      <c r="H986">
        <v>1356.8654785000001</v>
      </c>
      <c r="I986">
        <v>1312.8475341999999</v>
      </c>
      <c r="J986">
        <v>1303.644043</v>
      </c>
      <c r="K986">
        <v>80</v>
      </c>
      <c r="L986">
        <v>79.927940368999998</v>
      </c>
      <c r="M986">
        <v>50</v>
      </c>
      <c r="N986">
        <v>48.692951202000003</v>
      </c>
    </row>
    <row r="987" spans="1:14" x14ac:dyDescent="0.25">
      <c r="A987">
        <v>746.11720600000001</v>
      </c>
      <c r="B987" s="1">
        <f>DATE(2012,5,16) + TIME(2,48,46)</f>
        <v>41045.117199074077</v>
      </c>
      <c r="C987">
        <v>2400</v>
      </c>
      <c r="D987">
        <v>0</v>
      </c>
      <c r="E987">
        <v>0</v>
      </c>
      <c r="F987">
        <v>2400</v>
      </c>
      <c r="G987">
        <v>1366.6920166</v>
      </c>
      <c r="H987">
        <v>1356.8400879000001</v>
      </c>
      <c r="I987">
        <v>1312.8432617000001</v>
      </c>
      <c r="J987">
        <v>1303.637207</v>
      </c>
      <c r="K987">
        <v>80</v>
      </c>
      <c r="L987">
        <v>79.928031920999999</v>
      </c>
      <c r="M987">
        <v>50</v>
      </c>
      <c r="N987">
        <v>48.657741547000001</v>
      </c>
    </row>
    <row r="988" spans="1:14" x14ac:dyDescent="0.25">
      <c r="A988">
        <v>746.617977</v>
      </c>
      <c r="B988" s="1">
        <f>DATE(2012,5,16) + TIME(14,49,53)</f>
        <v>41045.617974537039</v>
      </c>
      <c r="C988">
        <v>2400</v>
      </c>
      <c r="D988">
        <v>0</v>
      </c>
      <c r="E988">
        <v>0</v>
      </c>
      <c r="F988">
        <v>2400</v>
      </c>
      <c r="G988">
        <v>1366.6585693</v>
      </c>
      <c r="H988">
        <v>1356.8146973</v>
      </c>
      <c r="I988">
        <v>1312.8387451000001</v>
      </c>
      <c r="J988">
        <v>1303.630249</v>
      </c>
      <c r="K988">
        <v>80</v>
      </c>
      <c r="L988">
        <v>79.928108214999995</v>
      </c>
      <c r="M988">
        <v>50</v>
      </c>
      <c r="N988">
        <v>48.622184752999999</v>
      </c>
    </row>
    <row r="989" spans="1:14" x14ac:dyDescent="0.25">
      <c r="A989">
        <v>747.126622</v>
      </c>
      <c r="B989" s="1">
        <f>DATE(2012,5,17) + TIME(3,2,20)</f>
        <v>41046.126620370371</v>
      </c>
      <c r="C989">
        <v>2400</v>
      </c>
      <c r="D989">
        <v>0</v>
      </c>
      <c r="E989">
        <v>0</v>
      </c>
      <c r="F989">
        <v>2400</v>
      </c>
      <c r="G989">
        <v>1366.6253661999999</v>
      </c>
      <c r="H989">
        <v>1356.7896728999999</v>
      </c>
      <c r="I989">
        <v>1312.8342285000001</v>
      </c>
      <c r="J989">
        <v>1303.6231689000001</v>
      </c>
      <c r="K989">
        <v>80</v>
      </c>
      <c r="L989">
        <v>79.928161621000001</v>
      </c>
      <c r="M989">
        <v>50</v>
      </c>
      <c r="N989">
        <v>48.586250305</v>
      </c>
    </row>
    <row r="990" spans="1:14" x14ac:dyDescent="0.25">
      <c r="A990">
        <v>747.64433799999995</v>
      </c>
      <c r="B990" s="1">
        <f>DATE(2012,5,17) + TIME(15,27,50)</f>
        <v>41046.644328703704</v>
      </c>
      <c r="C990">
        <v>2400</v>
      </c>
      <c r="D990">
        <v>0</v>
      </c>
      <c r="E990">
        <v>0</v>
      </c>
      <c r="F990">
        <v>2400</v>
      </c>
      <c r="G990">
        <v>1366.5924072</v>
      </c>
      <c r="H990">
        <v>1356.7648925999999</v>
      </c>
      <c r="I990">
        <v>1312.8294678</v>
      </c>
      <c r="J990">
        <v>1303.6157227000001</v>
      </c>
      <c r="K990">
        <v>80</v>
      </c>
      <c r="L990">
        <v>79.928207396999994</v>
      </c>
      <c r="M990">
        <v>50</v>
      </c>
      <c r="N990">
        <v>48.549888611</v>
      </c>
    </row>
    <row r="991" spans="1:14" x14ac:dyDescent="0.25">
      <c r="A991">
        <v>748.17226600000004</v>
      </c>
      <c r="B991" s="1">
        <f>DATE(2012,5,18) + TIME(4,8,3)</f>
        <v>41047.172256944446</v>
      </c>
      <c r="C991">
        <v>2400</v>
      </c>
      <c r="D991">
        <v>0</v>
      </c>
      <c r="E991">
        <v>0</v>
      </c>
      <c r="F991">
        <v>2400</v>
      </c>
      <c r="G991">
        <v>1366.5594481999999</v>
      </c>
      <c r="H991">
        <v>1356.7401123</v>
      </c>
      <c r="I991">
        <v>1312.824707</v>
      </c>
      <c r="J991">
        <v>1303.6080322</v>
      </c>
      <c r="K991">
        <v>80</v>
      </c>
      <c r="L991">
        <v>79.928237914999997</v>
      </c>
      <c r="M991">
        <v>50</v>
      </c>
      <c r="N991">
        <v>48.51304245</v>
      </c>
    </row>
    <row r="992" spans="1:14" x14ac:dyDescent="0.25">
      <c r="A992">
        <v>748.70922800000005</v>
      </c>
      <c r="B992" s="1">
        <f>DATE(2012,5,18) + TIME(17,1,17)</f>
        <v>41047.709224537037</v>
      </c>
      <c r="C992">
        <v>2400</v>
      </c>
      <c r="D992">
        <v>0</v>
      </c>
      <c r="E992">
        <v>0</v>
      </c>
      <c r="F992">
        <v>2400</v>
      </c>
      <c r="G992">
        <v>1366.5266113</v>
      </c>
      <c r="H992">
        <v>1356.7154541</v>
      </c>
      <c r="I992">
        <v>1312.8195800999999</v>
      </c>
      <c r="J992">
        <v>1303.6000977000001</v>
      </c>
      <c r="K992">
        <v>80</v>
      </c>
      <c r="L992">
        <v>79.928260803000001</v>
      </c>
      <c r="M992">
        <v>50</v>
      </c>
      <c r="N992">
        <v>48.475776672000002</v>
      </c>
    </row>
    <row r="993" spans="1:14" x14ac:dyDescent="0.25">
      <c r="A993">
        <v>749.25558799999999</v>
      </c>
      <c r="B993" s="1">
        <f>DATE(2012,5,19) + TIME(6,8,2)</f>
        <v>41048.255578703705</v>
      </c>
      <c r="C993">
        <v>2400</v>
      </c>
      <c r="D993">
        <v>0</v>
      </c>
      <c r="E993">
        <v>0</v>
      </c>
      <c r="F993">
        <v>2400</v>
      </c>
      <c r="G993">
        <v>1366.4940185999999</v>
      </c>
      <c r="H993">
        <v>1356.6910399999999</v>
      </c>
      <c r="I993">
        <v>1312.8144531</v>
      </c>
      <c r="J993">
        <v>1303.5920410000001</v>
      </c>
      <c r="K993">
        <v>80</v>
      </c>
      <c r="L993">
        <v>79.928276061999995</v>
      </c>
      <c r="M993">
        <v>50</v>
      </c>
      <c r="N993">
        <v>48.438083648999999</v>
      </c>
    </row>
    <row r="994" spans="1:14" x14ac:dyDescent="0.25">
      <c r="A994">
        <v>749.81250599999998</v>
      </c>
      <c r="B994" s="1">
        <f>DATE(2012,5,19) + TIME(19,30,0)</f>
        <v>41048.8125</v>
      </c>
      <c r="C994">
        <v>2400</v>
      </c>
      <c r="D994">
        <v>0</v>
      </c>
      <c r="E994">
        <v>0</v>
      </c>
      <c r="F994">
        <v>2400</v>
      </c>
      <c r="G994">
        <v>1366.4614257999999</v>
      </c>
      <c r="H994">
        <v>1356.666626</v>
      </c>
      <c r="I994">
        <v>1312.809082</v>
      </c>
      <c r="J994">
        <v>1303.5834961</v>
      </c>
      <c r="K994">
        <v>80</v>
      </c>
      <c r="L994">
        <v>79.928283691000004</v>
      </c>
      <c r="M994">
        <v>50</v>
      </c>
      <c r="N994">
        <v>48.399906158</v>
      </c>
    </row>
    <row r="995" spans="1:14" x14ac:dyDescent="0.25">
      <c r="A995">
        <v>750.38106000000005</v>
      </c>
      <c r="B995" s="1">
        <f>DATE(2012,5,20) + TIME(9,8,43)</f>
        <v>41049.381053240744</v>
      </c>
      <c r="C995">
        <v>2400</v>
      </c>
      <c r="D995">
        <v>0</v>
      </c>
      <c r="E995">
        <v>0</v>
      </c>
      <c r="F995">
        <v>2400</v>
      </c>
      <c r="G995">
        <v>1366.4289550999999</v>
      </c>
      <c r="H995">
        <v>1356.6424560999999</v>
      </c>
      <c r="I995">
        <v>1312.8034668</v>
      </c>
      <c r="J995">
        <v>1303.5748291</v>
      </c>
      <c r="K995">
        <v>80</v>
      </c>
      <c r="L995">
        <v>79.928291321000003</v>
      </c>
      <c r="M995">
        <v>50</v>
      </c>
      <c r="N995">
        <v>48.361190796000002</v>
      </c>
    </row>
    <row r="996" spans="1:14" x14ac:dyDescent="0.25">
      <c r="A996">
        <v>750.96245799999997</v>
      </c>
      <c r="B996" s="1">
        <f>DATE(2012,5,20) + TIME(23,5,56)</f>
        <v>41049.962453703702</v>
      </c>
      <c r="C996">
        <v>2400</v>
      </c>
      <c r="D996">
        <v>0</v>
      </c>
      <c r="E996">
        <v>0</v>
      </c>
      <c r="F996">
        <v>2400</v>
      </c>
      <c r="G996">
        <v>1366.3964844</v>
      </c>
      <c r="H996">
        <v>1356.6182861</v>
      </c>
      <c r="I996">
        <v>1312.7977295000001</v>
      </c>
      <c r="J996">
        <v>1303.5657959</v>
      </c>
      <c r="K996">
        <v>80</v>
      </c>
      <c r="L996">
        <v>79.928291321000003</v>
      </c>
      <c r="M996">
        <v>50</v>
      </c>
      <c r="N996">
        <v>48.321876525999997</v>
      </c>
    </row>
    <row r="997" spans="1:14" x14ac:dyDescent="0.25">
      <c r="A997">
        <v>751.55423399999995</v>
      </c>
      <c r="B997" s="1">
        <f>DATE(2012,5,21) + TIME(13,18,5)</f>
        <v>41050.554224537038</v>
      </c>
      <c r="C997">
        <v>2400</v>
      </c>
      <c r="D997">
        <v>0</v>
      </c>
      <c r="E997">
        <v>0</v>
      </c>
      <c r="F997">
        <v>2400</v>
      </c>
      <c r="G997">
        <v>1366.3638916</v>
      </c>
      <c r="H997">
        <v>1356.5939940999999</v>
      </c>
      <c r="I997">
        <v>1312.7917480000001</v>
      </c>
      <c r="J997">
        <v>1303.5562743999999</v>
      </c>
      <c r="K997">
        <v>80</v>
      </c>
      <c r="L997">
        <v>79.928283691000004</v>
      </c>
      <c r="M997">
        <v>50</v>
      </c>
      <c r="N997">
        <v>48.282089233000001</v>
      </c>
    </row>
    <row r="998" spans="1:14" x14ac:dyDescent="0.25">
      <c r="A998">
        <v>752.157419</v>
      </c>
      <c r="B998" s="1">
        <f>DATE(2012,5,22) + TIME(3,46,41)</f>
        <v>41051.157418981478</v>
      </c>
      <c r="C998">
        <v>2400</v>
      </c>
      <c r="D998">
        <v>0</v>
      </c>
      <c r="E998">
        <v>0</v>
      </c>
      <c r="F998">
        <v>2400</v>
      </c>
      <c r="G998">
        <v>1366.331543</v>
      </c>
      <c r="H998">
        <v>1356.5699463000001</v>
      </c>
      <c r="I998">
        <v>1312.7855225000001</v>
      </c>
      <c r="J998">
        <v>1303.5465088000001</v>
      </c>
      <c r="K998">
        <v>80</v>
      </c>
      <c r="L998">
        <v>79.928276061999995</v>
      </c>
      <c r="M998">
        <v>50</v>
      </c>
      <c r="N998">
        <v>48.241783142000003</v>
      </c>
    </row>
    <row r="999" spans="1:14" x14ac:dyDescent="0.25">
      <c r="A999">
        <v>752.77332100000001</v>
      </c>
      <c r="B999" s="1">
        <f>DATE(2012,5,22) + TIME(18,33,34)</f>
        <v>41051.773310185185</v>
      </c>
      <c r="C999">
        <v>2400</v>
      </c>
      <c r="D999">
        <v>0</v>
      </c>
      <c r="E999">
        <v>0</v>
      </c>
      <c r="F999">
        <v>2400</v>
      </c>
      <c r="G999">
        <v>1366.2991943</v>
      </c>
      <c r="H999">
        <v>1356.5458983999999</v>
      </c>
      <c r="I999">
        <v>1312.7791748</v>
      </c>
      <c r="J999">
        <v>1303.536499</v>
      </c>
      <c r="K999">
        <v>80</v>
      </c>
      <c r="L999">
        <v>79.928268433</v>
      </c>
      <c r="M999">
        <v>50</v>
      </c>
      <c r="N999">
        <v>48.200901031000001</v>
      </c>
    </row>
    <row r="1000" spans="1:14" x14ac:dyDescent="0.25">
      <c r="A1000">
        <v>753.40340300000003</v>
      </c>
      <c r="B1000" s="1">
        <f>DATE(2012,5,23) + TIME(9,40,54)</f>
        <v>41052.403402777774</v>
      </c>
      <c r="C1000">
        <v>2400</v>
      </c>
      <c r="D1000">
        <v>0</v>
      </c>
      <c r="E1000">
        <v>0</v>
      </c>
      <c r="F1000">
        <v>2400</v>
      </c>
      <c r="G1000">
        <v>1366.2668457</v>
      </c>
      <c r="H1000">
        <v>1356.5219727000001</v>
      </c>
      <c r="I1000">
        <v>1312.7724608999999</v>
      </c>
      <c r="J1000">
        <v>1303.5258789</v>
      </c>
      <c r="K1000">
        <v>80</v>
      </c>
      <c r="L1000">
        <v>79.928253174000005</v>
      </c>
      <c r="M1000">
        <v>50</v>
      </c>
      <c r="N1000">
        <v>48.159370422000002</v>
      </c>
    </row>
    <row r="1001" spans="1:14" x14ac:dyDescent="0.25">
      <c r="A1001">
        <v>754.04951700000004</v>
      </c>
      <c r="B1001" s="1">
        <f>DATE(2012,5,24) + TIME(1,11,18)</f>
        <v>41053.049513888887</v>
      </c>
      <c r="C1001">
        <v>2400</v>
      </c>
      <c r="D1001">
        <v>0</v>
      </c>
      <c r="E1001">
        <v>0</v>
      </c>
      <c r="F1001">
        <v>2400</v>
      </c>
      <c r="G1001">
        <v>1366.234375</v>
      </c>
      <c r="H1001">
        <v>1356.4979248</v>
      </c>
      <c r="I1001">
        <v>1312.7655029</v>
      </c>
      <c r="J1001">
        <v>1303.5150146000001</v>
      </c>
      <c r="K1001">
        <v>80</v>
      </c>
      <c r="L1001">
        <v>79.928237914999997</v>
      </c>
      <c r="M1001">
        <v>50</v>
      </c>
      <c r="N1001">
        <v>48.117103577000002</v>
      </c>
    </row>
    <row r="1002" spans="1:14" x14ac:dyDescent="0.25">
      <c r="A1002">
        <v>754.71106299999997</v>
      </c>
      <c r="B1002" s="1">
        <f>DATE(2012,5,24) + TIME(17,3,55)</f>
        <v>41053.711053240739</v>
      </c>
      <c r="C1002">
        <v>2400</v>
      </c>
      <c r="D1002">
        <v>0</v>
      </c>
      <c r="E1002">
        <v>0</v>
      </c>
      <c r="F1002">
        <v>2400</v>
      </c>
      <c r="G1002">
        <v>1366.2017822</v>
      </c>
      <c r="H1002">
        <v>1356.4738769999999</v>
      </c>
      <c r="I1002">
        <v>1312.7583007999999</v>
      </c>
      <c r="J1002">
        <v>1303.5035399999999</v>
      </c>
      <c r="K1002">
        <v>80</v>
      </c>
      <c r="L1002">
        <v>79.928230286000002</v>
      </c>
      <c r="M1002">
        <v>50</v>
      </c>
      <c r="N1002">
        <v>48.074123383</v>
      </c>
    </row>
    <row r="1003" spans="1:14" x14ac:dyDescent="0.25">
      <c r="A1003">
        <v>755.38572499999998</v>
      </c>
      <c r="B1003" s="1">
        <f>DATE(2012,5,25) + TIME(9,15,26)</f>
        <v>41054.385717592595</v>
      </c>
      <c r="C1003">
        <v>2400</v>
      </c>
      <c r="D1003">
        <v>0</v>
      </c>
      <c r="E1003">
        <v>0</v>
      </c>
      <c r="F1003">
        <v>2400</v>
      </c>
      <c r="G1003">
        <v>1366.1690673999999</v>
      </c>
      <c r="H1003">
        <v>1356.4498291</v>
      </c>
      <c r="I1003">
        <v>1312.7507324000001</v>
      </c>
      <c r="J1003">
        <v>1303.4915771000001</v>
      </c>
      <c r="K1003">
        <v>80</v>
      </c>
      <c r="L1003">
        <v>79.928207396999994</v>
      </c>
      <c r="M1003">
        <v>50</v>
      </c>
      <c r="N1003">
        <v>48.030536652000002</v>
      </c>
    </row>
    <row r="1004" spans="1:14" x14ac:dyDescent="0.25">
      <c r="A1004">
        <v>756.07509800000003</v>
      </c>
      <c r="B1004" s="1">
        <f>DATE(2012,5,26) + TIME(1,48,8)</f>
        <v>41055.075092592589</v>
      </c>
      <c r="C1004">
        <v>2400</v>
      </c>
      <c r="D1004">
        <v>0</v>
      </c>
      <c r="E1004">
        <v>0</v>
      </c>
      <c r="F1004">
        <v>2400</v>
      </c>
      <c r="G1004">
        <v>1366.1364745999999</v>
      </c>
      <c r="H1004">
        <v>1356.4256591999999</v>
      </c>
      <c r="I1004">
        <v>1312.7427978999999</v>
      </c>
      <c r="J1004">
        <v>1303.4792480000001</v>
      </c>
      <c r="K1004">
        <v>80</v>
      </c>
      <c r="L1004">
        <v>79.928192139000004</v>
      </c>
      <c r="M1004">
        <v>50</v>
      </c>
      <c r="N1004">
        <v>47.986286163000003</v>
      </c>
    </row>
    <row r="1005" spans="1:14" x14ac:dyDescent="0.25">
      <c r="A1005">
        <v>756.78105000000005</v>
      </c>
      <c r="B1005" s="1">
        <f>DATE(2012,5,26) + TIME(18,44,42)</f>
        <v>41055.781041666669</v>
      </c>
      <c r="C1005">
        <v>2400</v>
      </c>
      <c r="D1005">
        <v>0</v>
      </c>
      <c r="E1005">
        <v>0</v>
      </c>
      <c r="F1005">
        <v>2400</v>
      </c>
      <c r="G1005">
        <v>1366.1037598</v>
      </c>
      <c r="H1005">
        <v>1356.4016113</v>
      </c>
      <c r="I1005">
        <v>1312.7346190999999</v>
      </c>
      <c r="J1005">
        <v>1303.4663086</v>
      </c>
      <c r="K1005">
        <v>80</v>
      </c>
      <c r="L1005">
        <v>79.928176879999995</v>
      </c>
      <c r="M1005">
        <v>50</v>
      </c>
      <c r="N1005">
        <v>47.941287994</v>
      </c>
    </row>
    <row r="1006" spans="1:14" x14ac:dyDescent="0.25">
      <c r="A1006">
        <v>757.50530800000001</v>
      </c>
      <c r="B1006" s="1">
        <f>DATE(2012,5,27) + TIME(12,7,38)</f>
        <v>41056.505300925928</v>
      </c>
      <c r="C1006">
        <v>2400</v>
      </c>
      <c r="D1006">
        <v>0</v>
      </c>
      <c r="E1006">
        <v>0</v>
      </c>
      <c r="F1006">
        <v>2400</v>
      </c>
      <c r="G1006">
        <v>1366.0709228999999</v>
      </c>
      <c r="H1006">
        <v>1356.3775635</v>
      </c>
      <c r="I1006">
        <v>1312.7261963000001</v>
      </c>
      <c r="J1006">
        <v>1303.4528809000001</v>
      </c>
      <c r="K1006">
        <v>80</v>
      </c>
      <c r="L1006">
        <v>79.928161621000001</v>
      </c>
      <c r="M1006">
        <v>50</v>
      </c>
      <c r="N1006">
        <v>47.895465850999997</v>
      </c>
    </row>
    <row r="1007" spans="1:14" x14ac:dyDescent="0.25">
      <c r="A1007">
        <v>758.24978199999998</v>
      </c>
      <c r="B1007" s="1">
        <f>DATE(2012,5,28) + TIME(5,59,41)</f>
        <v>41057.249780092592</v>
      </c>
      <c r="C1007">
        <v>2400</v>
      </c>
      <c r="D1007">
        <v>0</v>
      </c>
      <c r="E1007">
        <v>0</v>
      </c>
      <c r="F1007">
        <v>2400</v>
      </c>
      <c r="G1007">
        <v>1366.0379639</v>
      </c>
      <c r="H1007">
        <v>1356.3532714999999</v>
      </c>
      <c r="I1007">
        <v>1312.7172852000001</v>
      </c>
      <c r="J1007">
        <v>1303.4388428</v>
      </c>
      <c r="K1007">
        <v>80</v>
      </c>
      <c r="L1007">
        <v>79.928138732999997</v>
      </c>
      <c r="M1007">
        <v>50</v>
      </c>
      <c r="N1007">
        <v>47.848735808999997</v>
      </c>
    </row>
    <row r="1008" spans="1:14" x14ac:dyDescent="0.25">
      <c r="A1008">
        <v>759.00766699999997</v>
      </c>
      <c r="B1008" s="1">
        <f>DATE(2012,5,29) + TIME(0,11,2)</f>
        <v>41058.007662037038</v>
      </c>
      <c r="C1008">
        <v>2400</v>
      </c>
      <c r="D1008">
        <v>0</v>
      </c>
      <c r="E1008">
        <v>0</v>
      </c>
      <c r="F1008">
        <v>2400</v>
      </c>
      <c r="G1008">
        <v>1366.0047606999999</v>
      </c>
      <c r="H1008">
        <v>1356.3289795000001</v>
      </c>
      <c r="I1008">
        <v>1312.7078856999999</v>
      </c>
      <c r="J1008">
        <v>1303.4240723</v>
      </c>
      <c r="K1008">
        <v>80</v>
      </c>
      <c r="L1008">
        <v>79.928123474000003</v>
      </c>
      <c r="M1008">
        <v>50</v>
      </c>
      <c r="N1008">
        <v>47.801376343000001</v>
      </c>
    </row>
    <row r="1009" spans="1:14" x14ac:dyDescent="0.25">
      <c r="A1009">
        <v>759.77684799999997</v>
      </c>
      <c r="B1009" s="1">
        <f>DATE(2012,5,29) + TIME(18,38,39)</f>
        <v>41058.77684027778</v>
      </c>
      <c r="C1009">
        <v>2400</v>
      </c>
      <c r="D1009">
        <v>0</v>
      </c>
      <c r="E1009">
        <v>0</v>
      </c>
      <c r="F1009">
        <v>2400</v>
      </c>
      <c r="G1009">
        <v>1365.9715576000001</v>
      </c>
      <c r="H1009">
        <v>1356.3045654</v>
      </c>
      <c r="I1009">
        <v>1312.6981201000001</v>
      </c>
      <c r="J1009">
        <v>1303.4086914</v>
      </c>
      <c r="K1009">
        <v>80</v>
      </c>
      <c r="L1009">
        <v>79.928100585999999</v>
      </c>
      <c r="M1009">
        <v>50</v>
      </c>
      <c r="N1009">
        <v>47.753520966000004</v>
      </c>
    </row>
    <row r="1010" spans="1:14" x14ac:dyDescent="0.25">
      <c r="A1010">
        <v>760.55776200000003</v>
      </c>
      <c r="B1010" s="1">
        <f>DATE(2012,5,30) + TIME(13,23,10)</f>
        <v>41059.557754629626</v>
      </c>
      <c r="C1010">
        <v>2400</v>
      </c>
      <c r="D1010">
        <v>0</v>
      </c>
      <c r="E1010">
        <v>0</v>
      </c>
      <c r="F1010">
        <v>2400</v>
      </c>
      <c r="G1010">
        <v>1365.9385986</v>
      </c>
      <c r="H1010">
        <v>1356.2805175999999</v>
      </c>
      <c r="I1010">
        <v>1312.6881103999999</v>
      </c>
      <c r="J1010">
        <v>1303.3928223</v>
      </c>
      <c r="K1010">
        <v>80</v>
      </c>
      <c r="L1010">
        <v>79.928085327000005</v>
      </c>
      <c r="M1010">
        <v>50</v>
      </c>
      <c r="N1010">
        <v>47.705177307</v>
      </c>
    </row>
    <row r="1011" spans="1:14" x14ac:dyDescent="0.25">
      <c r="A1011">
        <v>761.34768699999995</v>
      </c>
      <c r="B1011" s="1">
        <f>DATE(2012,5,31) + TIME(8,20,40)</f>
        <v>41060.347685185188</v>
      </c>
      <c r="C1011">
        <v>2400</v>
      </c>
      <c r="D1011">
        <v>0</v>
      </c>
      <c r="E1011">
        <v>0</v>
      </c>
      <c r="F1011">
        <v>2400</v>
      </c>
      <c r="G1011">
        <v>1365.9058838000001</v>
      </c>
      <c r="H1011">
        <v>1356.2564697</v>
      </c>
      <c r="I1011">
        <v>1312.6777344</v>
      </c>
      <c r="J1011">
        <v>1303.3764647999999</v>
      </c>
      <c r="K1011">
        <v>80</v>
      </c>
      <c r="L1011">
        <v>79.928070067999997</v>
      </c>
      <c r="M1011">
        <v>50</v>
      </c>
      <c r="N1011">
        <v>47.656490325999997</v>
      </c>
    </row>
    <row r="1012" spans="1:14" x14ac:dyDescent="0.25">
      <c r="A1012">
        <v>762</v>
      </c>
      <c r="B1012" s="1">
        <f>DATE(2012,6,1) + TIME(0,0,0)</f>
        <v>41061</v>
      </c>
      <c r="C1012">
        <v>2400</v>
      </c>
      <c r="D1012">
        <v>0</v>
      </c>
      <c r="E1012">
        <v>0</v>
      </c>
      <c r="F1012">
        <v>2400</v>
      </c>
      <c r="G1012">
        <v>1365.8731689000001</v>
      </c>
      <c r="H1012">
        <v>1356.2325439000001</v>
      </c>
      <c r="I1012">
        <v>1312.6667480000001</v>
      </c>
      <c r="J1012">
        <v>1303.3598632999999</v>
      </c>
      <c r="K1012">
        <v>80</v>
      </c>
      <c r="L1012">
        <v>79.928047179999993</v>
      </c>
      <c r="M1012">
        <v>50</v>
      </c>
      <c r="N1012">
        <v>47.614082336000003</v>
      </c>
    </row>
    <row r="1013" spans="1:14" x14ac:dyDescent="0.25">
      <c r="A1013">
        <v>762.80076799999995</v>
      </c>
      <c r="B1013" s="1">
        <f>DATE(2012,6,1) + TIME(19,13,6)</f>
        <v>41061.800763888888</v>
      </c>
      <c r="C1013">
        <v>2400</v>
      </c>
      <c r="D1013">
        <v>0</v>
      </c>
      <c r="E1013">
        <v>0</v>
      </c>
      <c r="F1013">
        <v>2400</v>
      </c>
      <c r="G1013">
        <v>1365.8469238</v>
      </c>
      <c r="H1013">
        <v>1356.2132568</v>
      </c>
      <c r="I1013">
        <v>1312.6578368999999</v>
      </c>
      <c r="J1013">
        <v>1303.3448486</v>
      </c>
      <c r="K1013">
        <v>80</v>
      </c>
      <c r="L1013">
        <v>79.928031920999999</v>
      </c>
      <c r="M1013">
        <v>50</v>
      </c>
      <c r="N1013">
        <v>47.565818786999998</v>
      </c>
    </row>
    <row r="1014" spans="1:14" x14ac:dyDescent="0.25">
      <c r="A1014">
        <v>763.62704799999995</v>
      </c>
      <c r="B1014" s="1">
        <f>DATE(2012,6,2) + TIME(15,2,56)</f>
        <v>41062.62703703704</v>
      </c>
      <c r="C1014">
        <v>2400</v>
      </c>
      <c r="D1014">
        <v>0</v>
      </c>
      <c r="E1014">
        <v>0</v>
      </c>
      <c r="F1014">
        <v>2400</v>
      </c>
      <c r="G1014">
        <v>1365.8150635</v>
      </c>
      <c r="H1014">
        <v>1356.1900635</v>
      </c>
      <c r="I1014">
        <v>1312.6466064000001</v>
      </c>
      <c r="J1014">
        <v>1303.3270264</v>
      </c>
      <c r="K1014">
        <v>80</v>
      </c>
      <c r="L1014">
        <v>79.928016662999994</v>
      </c>
      <c r="M1014">
        <v>50</v>
      </c>
      <c r="N1014">
        <v>47.516407012999998</v>
      </c>
    </row>
    <row r="1015" spans="1:14" x14ac:dyDescent="0.25">
      <c r="A1015">
        <v>764.46595500000001</v>
      </c>
      <c r="B1015" s="1">
        <f>DATE(2012,6,3) + TIME(11,10,58)</f>
        <v>41063.465949074074</v>
      </c>
      <c r="C1015">
        <v>2400</v>
      </c>
      <c r="D1015">
        <v>0</v>
      </c>
      <c r="E1015">
        <v>0</v>
      </c>
      <c r="F1015">
        <v>2400</v>
      </c>
      <c r="G1015">
        <v>1365.7827147999999</v>
      </c>
      <c r="H1015">
        <v>1356.1665039</v>
      </c>
      <c r="I1015">
        <v>1312.6347656</v>
      </c>
      <c r="J1015">
        <v>1303.3082274999999</v>
      </c>
      <c r="K1015">
        <v>80</v>
      </c>
      <c r="L1015">
        <v>79.928001404</v>
      </c>
      <c r="M1015">
        <v>50</v>
      </c>
      <c r="N1015">
        <v>47.466361999999997</v>
      </c>
    </row>
    <row r="1016" spans="1:14" x14ac:dyDescent="0.25">
      <c r="A1016">
        <v>765.31572800000004</v>
      </c>
      <c r="B1016" s="1">
        <f>DATE(2012,6,4) + TIME(7,34,38)</f>
        <v>41064.315717592595</v>
      </c>
      <c r="C1016">
        <v>2400</v>
      </c>
      <c r="D1016">
        <v>0</v>
      </c>
      <c r="E1016">
        <v>0</v>
      </c>
      <c r="F1016">
        <v>2400</v>
      </c>
      <c r="G1016">
        <v>1365.7506103999999</v>
      </c>
      <c r="H1016">
        <v>1356.1429443</v>
      </c>
      <c r="I1016">
        <v>1312.6224365</v>
      </c>
      <c r="J1016">
        <v>1303.2886963000001</v>
      </c>
      <c r="K1016">
        <v>80</v>
      </c>
      <c r="L1016">
        <v>79.927993774000001</v>
      </c>
      <c r="M1016">
        <v>50</v>
      </c>
      <c r="N1016">
        <v>47.415809631000002</v>
      </c>
    </row>
    <row r="1017" spans="1:14" x14ac:dyDescent="0.25">
      <c r="A1017">
        <v>766.17850999999996</v>
      </c>
      <c r="B1017" s="1">
        <f>DATE(2012,6,5) + TIME(4,17,3)</f>
        <v>41065.178506944445</v>
      </c>
      <c r="C1017">
        <v>2400</v>
      </c>
      <c r="D1017">
        <v>0</v>
      </c>
      <c r="E1017">
        <v>0</v>
      </c>
      <c r="F1017">
        <v>2400</v>
      </c>
      <c r="G1017">
        <v>1365.7186279</v>
      </c>
      <c r="H1017">
        <v>1356.1196289</v>
      </c>
      <c r="I1017">
        <v>1312.6097411999999</v>
      </c>
      <c r="J1017">
        <v>1303.2685547000001</v>
      </c>
      <c r="K1017">
        <v>80</v>
      </c>
      <c r="L1017">
        <v>79.927978515999996</v>
      </c>
      <c r="M1017">
        <v>50</v>
      </c>
      <c r="N1017">
        <v>47.364734650000003</v>
      </c>
    </row>
    <row r="1018" spans="1:14" x14ac:dyDescent="0.25">
      <c r="A1018">
        <v>767.05657799999994</v>
      </c>
      <c r="B1018" s="1">
        <f>DATE(2012,6,6) + TIME(1,21,28)</f>
        <v>41066.056574074071</v>
      </c>
      <c r="C1018">
        <v>2400</v>
      </c>
      <c r="D1018">
        <v>0</v>
      </c>
      <c r="E1018">
        <v>0</v>
      </c>
      <c r="F1018">
        <v>2400</v>
      </c>
      <c r="G1018">
        <v>1365.6867675999999</v>
      </c>
      <c r="H1018">
        <v>1356.0964355000001</v>
      </c>
      <c r="I1018">
        <v>1312.5965576000001</v>
      </c>
      <c r="J1018">
        <v>1303.2476807</v>
      </c>
      <c r="K1018">
        <v>80</v>
      </c>
      <c r="L1018">
        <v>79.927963257000002</v>
      </c>
      <c r="M1018">
        <v>50</v>
      </c>
      <c r="N1018">
        <v>47.313072204999997</v>
      </c>
    </row>
    <row r="1019" spans="1:14" x14ac:dyDescent="0.25">
      <c r="A1019">
        <v>767.95198700000003</v>
      </c>
      <c r="B1019" s="1">
        <f>DATE(2012,6,6) + TIME(22,50,51)</f>
        <v>41066.951979166668</v>
      </c>
      <c r="C1019">
        <v>2400</v>
      </c>
      <c r="D1019">
        <v>0</v>
      </c>
      <c r="E1019">
        <v>0</v>
      </c>
      <c r="F1019">
        <v>2400</v>
      </c>
      <c r="G1019">
        <v>1365.6549072</v>
      </c>
      <c r="H1019">
        <v>1356.0731201000001</v>
      </c>
      <c r="I1019">
        <v>1312.5828856999999</v>
      </c>
      <c r="J1019">
        <v>1303.2259521000001</v>
      </c>
      <c r="K1019">
        <v>80</v>
      </c>
      <c r="L1019">
        <v>79.927947997999993</v>
      </c>
      <c r="M1019">
        <v>50</v>
      </c>
      <c r="N1019">
        <v>47.260753631999997</v>
      </c>
    </row>
    <row r="1020" spans="1:14" x14ac:dyDescent="0.25">
      <c r="A1020">
        <v>768.86695199999997</v>
      </c>
      <c r="B1020" s="1">
        <f>DATE(2012,6,7) + TIME(20,48,24)</f>
        <v>41067.866944444446</v>
      </c>
      <c r="C1020">
        <v>2400</v>
      </c>
      <c r="D1020">
        <v>0</v>
      </c>
      <c r="E1020">
        <v>0</v>
      </c>
      <c r="F1020">
        <v>2400</v>
      </c>
      <c r="G1020">
        <v>1365.6229248</v>
      </c>
      <c r="H1020">
        <v>1356.0499268000001</v>
      </c>
      <c r="I1020">
        <v>1312.5687256000001</v>
      </c>
      <c r="J1020">
        <v>1303.2033690999999</v>
      </c>
      <c r="K1020">
        <v>80</v>
      </c>
      <c r="L1020">
        <v>79.927940368999998</v>
      </c>
      <c r="M1020">
        <v>50</v>
      </c>
      <c r="N1020">
        <v>47.207695006999998</v>
      </c>
    </row>
    <row r="1021" spans="1:14" x14ac:dyDescent="0.25">
      <c r="A1021">
        <v>769.79926799999998</v>
      </c>
      <c r="B1021" s="1">
        <f>DATE(2012,6,8) + TIME(19,10,56)</f>
        <v>41068.799259259256</v>
      </c>
      <c r="C1021">
        <v>2400</v>
      </c>
      <c r="D1021">
        <v>0</v>
      </c>
      <c r="E1021">
        <v>0</v>
      </c>
      <c r="F1021">
        <v>2400</v>
      </c>
      <c r="G1021">
        <v>1365.5909423999999</v>
      </c>
      <c r="H1021">
        <v>1356.0264893000001</v>
      </c>
      <c r="I1021">
        <v>1312.5539550999999</v>
      </c>
      <c r="J1021">
        <v>1303.1796875</v>
      </c>
      <c r="K1021">
        <v>80</v>
      </c>
      <c r="L1021">
        <v>79.927925110000004</v>
      </c>
      <c r="M1021">
        <v>50</v>
      </c>
      <c r="N1021">
        <v>47.153972625999998</v>
      </c>
    </row>
    <row r="1022" spans="1:14" x14ac:dyDescent="0.25">
      <c r="A1022">
        <v>770.74528199999997</v>
      </c>
      <c r="B1022" s="1">
        <f>DATE(2012,6,9) + TIME(17,53,12)</f>
        <v>41069.74527777778</v>
      </c>
      <c r="C1022">
        <v>2400</v>
      </c>
      <c r="D1022">
        <v>0</v>
      </c>
      <c r="E1022">
        <v>0</v>
      </c>
      <c r="F1022">
        <v>2400</v>
      </c>
      <c r="G1022">
        <v>1365.5588379000001</v>
      </c>
      <c r="H1022">
        <v>1356.0031738</v>
      </c>
      <c r="I1022">
        <v>1312.5385742000001</v>
      </c>
      <c r="J1022">
        <v>1303.1552733999999</v>
      </c>
      <c r="K1022">
        <v>80</v>
      </c>
      <c r="L1022">
        <v>79.927917480000005</v>
      </c>
      <c r="M1022">
        <v>50</v>
      </c>
      <c r="N1022">
        <v>47.099735260000003</v>
      </c>
    </row>
    <row r="1023" spans="1:14" x14ac:dyDescent="0.25">
      <c r="A1023">
        <v>771.70761100000004</v>
      </c>
      <c r="B1023" s="1">
        <f>DATE(2012,6,10) + TIME(16,58,57)</f>
        <v>41070.707604166666</v>
      </c>
      <c r="C1023">
        <v>2400</v>
      </c>
      <c r="D1023">
        <v>0</v>
      </c>
      <c r="E1023">
        <v>0</v>
      </c>
      <c r="F1023">
        <v>2400</v>
      </c>
      <c r="G1023">
        <v>1365.5268555</v>
      </c>
      <c r="H1023">
        <v>1355.9798584</v>
      </c>
      <c r="I1023">
        <v>1312.5225829999999</v>
      </c>
      <c r="J1023">
        <v>1303.1297606999999</v>
      </c>
      <c r="K1023">
        <v>80</v>
      </c>
      <c r="L1023">
        <v>79.927909850999995</v>
      </c>
      <c r="M1023">
        <v>50</v>
      </c>
      <c r="N1023">
        <v>47.044921875</v>
      </c>
    </row>
    <row r="1024" spans="1:14" x14ac:dyDescent="0.25">
      <c r="A1024">
        <v>772.68850799999996</v>
      </c>
      <c r="B1024" s="1">
        <f>DATE(2012,6,11) + TIME(16,31,27)</f>
        <v>41071.688506944447</v>
      </c>
      <c r="C1024">
        <v>2400</v>
      </c>
      <c r="D1024">
        <v>0</v>
      </c>
      <c r="E1024">
        <v>0</v>
      </c>
      <c r="F1024">
        <v>2400</v>
      </c>
      <c r="G1024">
        <v>1365.4948730000001</v>
      </c>
      <c r="H1024">
        <v>1355.956543</v>
      </c>
      <c r="I1024">
        <v>1312.5061035000001</v>
      </c>
      <c r="J1024">
        <v>1303.1033935999999</v>
      </c>
      <c r="K1024">
        <v>80</v>
      </c>
      <c r="L1024">
        <v>79.927902222</v>
      </c>
      <c r="M1024">
        <v>50</v>
      </c>
      <c r="N1024">
        <v>46.989459990999997</v>
      </c>
    </row>
    <row r="1025" spans="1:14" x14ac:dyDescent="0.25">
      <c r="A1025">
        <v>773.69029</v>
      </c>
      <c r="B1025" s="1">
        <f>DATE(2012,6,12) + TIME(16,34,1)</f>
        <v>41072.690289351849</v>
      </c>
      <c r="C1025">
        <v>2400</v>
      </c>
      <c r="D1025">
        <v>0</v>
      </c>
      <c r="E1025">
        <v>0</v>
      </c>
      <c r="F1025">
        <v>2400</v>
      </c>
      <c r="G1025">
        <v>1365.4628906</v>
      </c>
      <c r="H1025">
        <v>1355.9332274999999</v>
      </c>
      <c r="I1025">
        <v>1312.4888916</v>
      </c>
      <c r="J1025">
        <v>1303.0759277</v>
      </c>
      <c r="K1025">
        <v>80</v>
      </c>
      <c r="L1025">
        <v>79.927894592000001</v>
      </c>
      <c r="M1025">
        <v>50</v>
      </c>
      <c r="N1025">
        <v>46.933258057000003</v>
      </c>
    </row>
    <row r="1026" spans="1:14" x14ac:dyDescent="0.25">
      <c r="A1026">
        <v>774.70798500000001</v>
      </c>
      <c r="B1026" s="1">
        <f>DATE(2012,6,13) + TIME(16,59,29)</f>
        <v>41073.707974537036</v>
      </c>
      <c r="C1026">
        <v>2400</v>
      </c>
      <c r="D1026">
        <v>0</v>
      </c>
      <c r="E1026">
        <v>0</v>
      </c>
      <c r="F1026">
        <v>2400</v>
      </c>
      <c r="G1026">
        <v>1365.4307861</v>
      </c>
      <c r="H1026">
        <v>1355.9097899999999</v>
      </c>
      <c r="I1026">
        <v>1312.4710693</v>
      </c>
      <c r="J1026">
        <v>1303.0473632999999</v>
      </c>
      <c r="K1026">
        <v>80</v>
      </c>
      <c r="L1026">
        <v>79.927886963000006</v>
      </c>
      <c r="M1026">
        <v>50</v>
      </c>
      <c r="N1026">
        <v>46.876491547000001</v>
      </c>
    </row>
    <row r="1027" spans="1:14" x14ac:dyDescent="0.25">
      <c r="A1027">
        <v>775.73762399999998</v>
      </c>
      <c r="B1027" s="1">
        <f>DATE(2012,6,14) + TIME(17,42,10)</f>
        <v>41074.737615740742</v>
      </c>
      <c r="C1027">
        <v>2400</v>
      </c>
      <c r="D1027">
        <v>0</v>
      </c>
      <c r="E1027">
        <v>0</v>
      </c>
      <c r="F1027">
        <v>2400</v>
      </c>
      <c r="G1027">
        <v>1365.3986815999999</v>
      </c>
      <c r="H1027">
        <v>1355.8864745999999</v>
      </c>
      <c r="I1027">
        <v>1312.4525146000001</v>
      </c>
      <c r="J1027">
        <v>1303.0177002</v>
      </c>
      <c r="K1027">
        <v>80</v>
      </c>
      <c r="L1027">
        <v>79.927879333000007</v>
      </c>
      <c r="M1027">
        <v>50</v>
      </c>
      <c r="N1027">
        <v>46.819328308000003</v>
      </c>
    </row>
    <row r="1028" spans="1:14" x14ac:dyDescent="0.25">
      <c r="A1028">
        <v>776.78255300000001</v>
      </c>
      <c r="B1028" s="1">
        <f>DATE(2012,6,15) + TIME(18,46,52)</f>
        <v>41075.782546296294</v>
      </c>
      <c r="C1028">
        <v>2400</v>
      </c>
      <c r="D1028">
        <v>0</v>
      </c>
      <c r="E1028">
        <v>0</v>
      </c>
      <c r="F1028">
        <v>2400</v>
      </c>
      <c r="G1028">
        <v>1365.3668213000001</v>
      </c>
      <c r="H1028">
        <v>1355.8631591999999</v>
      </c>
      <c r="I1028">
        <v>1312.4333495999999</v>
      </c>
      <c r="J1028">
        <v>1302.9870605000001</v>
      </c>
      <c r="K1028">
        <v>80</v>
      </c>
      <c r="L1028">
        <v>79.927871703999998</v>
      </c>
      <c r="M1028">
        <v>50</v>
      </c>
      <c r="N1028">
        <v>46.761703490999999</v>
      </c>
    </row>
    <row r="1029" spans="1:14" x14ac:dyDescent="0.25">
      <c r="A1029">
        <v>777.84546</v>
      </c>
      <c r="B1029" s="1">
        <f>DATE(2012,6,16) + TIME(20,17,27)</f>
        <v>41076.845451388886</v>
      </c>
      <c r="C1029">
        <v>2400</v>
      </c>
      <c r="D1029">
        <v>0</v>
      </c>
      <c r="E1029">
        <v>0</v>
      </c>
      <c r="F1029">
        <v>2400</v>
      </c>
      <c r="G1029">
        <v>1365.3349608999999</v>
      </c>
      <c r="H1029">
        <v>1355.8398437999999</v>
      </c>
      <c r="I1029">
        <v>1312.4135742000001</v>
      </c>
      <c r="J1029">
        <v>1302.9553223</v>
      </c>
      <c r="K1029">
        <v>80</v>
      </c>
      <c r="L1029">
        <v>79.927871703999998</v>
      </c>
      <c r="M1029">
        <v>50</v>
      </c>
      <c r="N1029">
        <v>46.703536987</v>
      </c>
    </row>
    <row r="1030" spans="1:14" x14ac:dyDescent="0.25">
      <c r="A1030">
        <v>778.92239800000004</v>
      </c>
      <c r="B1030" s="1">
        <f>DATE(2012,6,17) + TIME(22,8,15)</f>
        <v>41077.922395833331</v>
      </c>
      <c r="C1030">
        <v>2400</v>
      </c>
      <c r="D1030">
        <v>0</v>
      </c>
      <c r="E1030">
        <v>0</v>
      </c>
      <c r="F1030">
        <v>2400</v>
      </c>
      <c r="G1030">
        <v>1365.3029785000001</v>
      </c>
      <c r="H1030">
        <v>1355.8166504000001</v>
      </c>
      <c r="I1030">
        <v>1312.3931885</v>
      </c>
      <c r="J1030">
        <v>1302.9224853999999</v>
      </c>
      <c r="K1030">
        <v>80</v>
      </c>
      <c r="L1030">
        <v>79.927864075000002</v>
      </c>
      <c r="M1030">
        <v>50</v>
      </c>
      <c r="N1030">
        <v>46.644966125000003</v>
      </c>
    </row>
    <row r="1031" spans="1:14" x14ac:dyDescent="0.25">
      <c r="A1031">
        <v>780.01191600000004</v>
      </c>
      <c r="B1031" s="1">
        <f>DATE(2012,6,19) + TIME(0,17,9)</f>
        <v>41079.01190972222</v>
      </c>
      <c r="C1031">
        <v>2400</v>
      </c>
      <c r="D1031">
        <v>0</v>
      </c>
      <c r="E1031">
        <v>0</v>
      </c>
      <c r="F1031">
        <v>2400</v>
      </c>
      <c r="G1031">
        <v>1365.2712402</v>
      </c>
      <c r="H1031">
        <v>1355.793457</v>
      </c>
      <c r="I1031">
        <v>1312.3719481999999</v>
      </c>
      <c r="J1031">
        <v>1302.8884277</v>
      </c>
      <c r="K1031">
        <v>80</v>
      </c>
      <c r="L1031">
        <v>79.927864075000002</v>
      </c>
      <c r="M1031">
        <v>50</v>
      </c>
      <c r="N1031">
        <v>46.586063385000003</v>
      </c>
    </row>
    <row r="1032" spans="1:14" x14ac:dyDescent="0.25">
      <c r="A1032">
        <v>781.11673599999995</v>
      </c>
      <c r="B1032" s="1">
        <f>DATE(2012,6,20) + TIME(2,48,5)</f>
        <v>41080.116724537038</v>
      </c>
      <c r="C1032">
        <v>2400</v>
      </c>
      <c r="D1032">
        <v>0</v>
      </c>
      <c r="E1032">
        <v>0</v>
      </c>
      <c r="F1032">
        <v>2400</v>
      </c>
      <c r="G1032">
        <v>1365.239624</v>
      </c>
      <c r="H1032">
        <v>1355.7703856999999</v>
      </c>
      <c r="I1032">
        <v>1312.3502197</v>
      </c>
      <c r="J1032">
        <v>1302.8533935999999</v>
      </c>
      <c r="K1032">
        <v>80</v>
      </c>
      <c r="L1032">
        <v>79.927864075000002</v>
      </c>
      <c r="M1032">
        <v>50</v>
      </c>
      <c r="N1032">
        <v>46.526779175000001</v>
      </c>
    </row>
    <row r="1033" spans="1:14" x14ac:dyDescent="0.25">
      <c r="A1033">
        <v>782.240047</v>
      </c>
      <c r="B1033" s="1">
        <f>DATE(2012,6,21) + TIME(5,45,40)</f>
        <v>41081.240046296298</v>
      </c>
      <c r="C1033">
        <v>2400</v>
      </c>
      <c r="D1033">
        <v>0</v>
      </c>
      <c r="E1033">
        <v>0</v>
      </c>
      <c r="F1033">
        <v>2400</v>
      </c>
      <c r="G1033">
        <v>1365.2081298999999</v>
      </c>
      <c r="H1033">
        <v>1355.7473144999999</v>
      </c>
      <c r="I1033">
        <v>1312.3277588000001</v>
      </c>
      <c r="J1033">
        <v>1302.8171387</v>
      </c>
      <c r="K1033">
        <v>80</v>
      </c>
      <c r="L1033">
        <v>79.927856445000003</v>
      </c>
      <c r="M1033">
        <v>50</v>
      </c>
      <c r="N1033">
        <v>46.467018127000003</v>
      </c>
    </row>
    <row r="1034" spans="1:14" x14ac:dyDescent="0.25">
      <c r="A1034">
        <v>783.38453000000004</v>
      </c>
      <c r="B1034" s="1">
        <f>DATE(2012,6,22) + TIME(9,13,43)</f>
        <v>41082.384525462963</v>
      </c>
      <c r="C1034">
        <v>2400</v>
      </c>
      <c r="D1034">
        <v>0</v>
      </c>
      <c r="E1034">
        <v>0</v>
      </c>
      <c r="F1034">
        <v>2400</v>
      </c>
      <c r="G1034">
        <v>1365.1765137</v>
      </c>
      <c r="H1034">
        <v>1355.7242432</v>
      </c>
      <c r="I1034">
        <v>1312.3044434000001</v>
      </c>
      <c r="J1034">
        <v>1302.7795410000001</v>
      </c>
      <c r="K1034">
        <v>80</v>
      </c>
      <c r="L1034">
        <v>79.927864075000002</v>
      </c>
      <c r="M1034">
        <v>50</v>
      </c>
      <c r="N1034">
        <v>46.406681061</v>
      </c>
    </row>
    <row r="1035" spans="1:14" x14ac:dyDescent="0.25">
      <c r="A1035">
        <v>784.55090299999995</v>
      </c>
      <c r="B1035" s="1">
        <f>DATE(2012,6,23) + TIME(13,13,18)</f>
        <v>41083.550902777781</v>
      </c>
      <c r="C1035">
        <v>2400</v>
      </c>
      <c r="D1035">
        <v>0</v>
      </c>
      <c r="E1035">
        <v>0</v>
      </c>
      <c r="F1035">
        <v>2400</v>
      </c>
      <c r="G1035">
        <v>1365.1448975000001</v>
      </c>
      <c r="H1035">
        <v>1355.7010498</v>
      </c>
      <c r="I1035">
        <v>1312.2802733999999</v>
      </c>
      <c r="J1035">
        <v>1302.7406006000001</v>
      </c>
      <c r="K1035">
        <v>80</v>
      </c>
      <c r="L1035">
        <v>79.927864075000002</v>
      </c>
      <c r="M1035">
        <v>50</v>
      </c>
      <c r="N1035">
        <v>46.345733643000003</v>
      </c>
    </row>
    <row r="1036" spans="1:14" x14ac:dyDescent="0.25">
      <c r="A1036">
        <v>785.73097800000005</v>
      </c>
      <c r="B1036" s="1">
        <f>DATE(2012,6,24) + TIME(17,32,36)</f>
        <v>41084.73097222222</v>
      </c>
      <c r="C1036">
        <v>2400</v>
      </c>
      <c r="D1036">
        <v>0</v>
      </c>
      <c r="E1036">
        <v>0</v>
      </c>
      <c r="F1036">
        <v>2400</v>
      </c>
      <c r="G1036">
        <v>1365.1131591999999</v>
      </c>
      <c r="H1036">
        <v>1355.6778564000001</v>
      </c>
      <c r="I1036">
        <v>1312.2553711</v>
      </c>
      <c r="J1036">
        <v>1302.7001952999999</v>
      </c>
      <c r="K1036">
        <v>80</v>
      </c>
      <c r="L1036">
        <v>79.927864075000002</v>
      </c>
      <c r="M1036">
        <v>50</v>
      </c>
      <c r="N1036">
        <v>46.284423828000001</v>
      </c>
    </row>
    <row r="1037" spans="1:14" x14ac:dyDescent="0.25">
      <c r="A1037">
        <v>786.92761800000005</v>
      </c>
      <c r="B1037" s="1">
        <f>DATE(2012,6,25) + TIME(22,15,46)</f>
        <v>41085.927615740744</v>
      </c>
      <c r="C1037">
        <v>2400</v>
      </c>
      <c r="D1037">
        <v>0</v>
      </c>
      <c r="E1037">
        <v>0</v>
      </c>
      <c r="F1037">
        <v>2400</v>
      </c>
      <c r="G1037">
        <v>1365.0814209</v>
      </c>
      <c r="H1037">
        <v>1355.6546631000001</v>
      </c>
      <c r="I1037">
        <v>1312.2296143000001</v>
      </c>
      <c r="J1037">
        <v>1302.6584473</v>
      </c>
      <c r="K1037">
        <v>80</v>
      </c>
      <c r="L1037">
        <v>79.927864075000002</v>
      </c>
      <c r="M1037">
        <v>50</v>
      </c>
      <c r="N1037">
        <v>46.222732544000003</v>
      </c>
    </row>
    <row r="1038" spans="1:14" x14ac:dyDescent="0.25">
      <c r="A1038">
        <v>788.14448400000003</v>
      </c>
      <c r="B1038" s="1">
        <f>DATE(2012,6,27) + TIME(3,28,3)</f>
        <v>41087.144479166665</v>
      </c>
      <c r="C1038">
        <v>2400</v>
      </c>
      <c r="D1038">
        <v>0</v>
      </c>
      <c r="E1038">
        <v>0</v>
      </c>
      <c r="F1038">
        <v>2400</v>
      </c>
      <c r="G1038">
        <v>1365.0499268000001</v>
      </c>
      <c r="H1038">
        <v>1355.6314697</v>
      </c>
      <c r="I1038">
        <v>1312.203125</v>
      </c>
      <c r="J1038">
        <v>1302.6154785000001</v>
      </c>
      <c r="K1038">
        <v>80</v>
      </c>
      <c r="L1038">
        <v>79.927871703999998</v>
      </c>
      <c r="M1038">
        <v>50</v>
      </c>
      <c r="N1038">
        <v>46.160579681000002</v>
      </c>
    </row>
    <row r="1039" spans="1:14" x14ac:dyDescent="0.25">
      <c r="A1039">
        <v>789.38439000000005</v>
      </c>
      <c r="B1039" s="1">
        <f>DATE(2012,6,28) + TIME(9,13,31)</f>
        <v>41088.384386574071</v>
      </c>
      <c r="C1039">
        <v>2400</v>
      </c>
      <c r="D1039">
        <v>0</v>
      </c>
      <c r="E1039">
        <v>0</v>
      </c>
      <c r="F1039">
        <v>2400</v>
      </c>
      <c r="G1039">
        <v>1365.0183105000001</v>
      </c>
      <c r="H1039">
        <v>1355.6082764</v>
      </c>
      <c r="I1039">
        <v>1312.1756591999999</v>
      </c>
      <c r="J1039">
        <v>1302.5709228999999</v>
      </c>
      <c r="K1039">
        <v>80</v>
      </c>
      <c r="L1039">
        <v>79.927879333000007</v>
      </c>
      <c r="M1039">
        <v>50</v>
      </c>
      <c r="N1039">
        <v>46.097881317000002</v>
      </c>
    </row>
    <row r="1040" spans="1:14" x14ac:dyDescent="0.25">
      <c r="A1040">
        <v>790.64722700000004</v>
      </c>
      <c r="B1040" s="1">
        <f>DATE(2012,6,29) + TIME(15,32,0)</f>
        <v>41089.647222222222</v>
      </c>
      <c r="C1040">
        <v>2400</v>
      </c>
      <c r="D1040">
        <v>0</v>
      </c>
      <c r="E1040">
        <v>0</v>
      </c>
      <c r="F1040">
        <v>2400</v>
      </c>
      <c r="G1040">
        <v>1364.9864502</v>
      </c>
      <c r="H1040">
        <v>1355.5849608999999</v>
      </c>
      <c r="I1040">
        <v>1312.1473389</v>
      </c>
      <c r="J1040">
        <v>1302.5247803</v>
      </c>
      <c r="K1040">
        <v>80</v>
      </c>
      <c r="L1040">
        <v>79.927886963000006</v>
      </c>
      <c r="M1040">
        <v>50</v>
      </c>
      <c r="N1040">
        <v>46.034637451000002</v>
      </c>
    </row>
    <row r="1041" spans="1:14" x14ac:dyDescent="0.25">
      <c r="A1041">
        <v>791.92360399999995</v>
      </c>
      <c r="B1041" s="1">
        <f>DATE(2012,6,30) + TIME(22,9,59)</f>
        <v>41090.92359953704</v>
      </c>
      <c r="C1041">
        <v>2400</v>
      </c>
      <c r="D1041">
        <v>0</v>
      </c>
      <c r="E1041">
        <v>0</v>
      </c>
      <c r="F1041">
        <v>2400</v>
      </c>
      <c r="G1041">
        <v>1364.9547118999999</v>
      </c>
      <c r="H1041">
        <v>1355.5616454999999</v>
      </c>
      <c r="I1041">
        <v>1312.1180420000001</v>
      </c>
      <c r="J1041">
        <v>1302.4770507999999</v>
      </c>
      <c r="K1041">
        <v>80</v>
      </c>
      <c r="L1041">
        <v>79.927894592000001</v>
      </c>
      <c r="M1041">
        <v>50</v>
      </c>
      <c r="N1041">
        <v>45.971130371000001</v>
      </c>
    </row>
    <row r="1042" spans="1:14" x14ac:dyDescent="0.25">
      <c r="A1042">
        <v>792</v>
      </c>
      <c r="B1042" s="1">
        <f>DATE(2012,7,1) + TIME(0,0,0)</f>
        <v>41091</v>
      </c>
      <c r="C1042">
        <v>2400</v>
      </c>
      <c r="D1042">
        <v>0</v>
      </c>
      <c r="E1042">
        <v>0</v>
      </c>
      <c r="F1042">
        <v>2400</v>
      </c>
      <c r="G1042">
        <v>1364.9241943</v>
      </c>
      <c r="H1042">
        <v>1355.5395507999999</v>
      </c>
      <c r="I1042">
        <v>1312.0911865</v>
      </c>
      <c r="J1042">
        <v>1302.4404297000001</v>
      </c>
      <c r="K1042">
        <v>80</v>
      </c>
      <c r="L1042">
        <v>79.927886963000006</v>
      </c>
      <c r="M1042">
        <v>50</v>
      </c>
      <c r="N1042">
        <v>45.964889526</v>
      </c>
    </row>
    <row r="1043" spans="1:14" x14ac:dyDescent="0.25">
      <c r="A1043">
        <v>793.29308400000002</v>
      </c>
      <c r="B1043" s="1">
        <f>DATE(2012,7,2) + TIME(7,2,2)</f>
        <v>41092.293078703704</v>
      </c>
      <c r="C1043">
        <v>2400</v>
      </c>
      <c r="D1043">
        <v>0</v>
      </c>
      <c r="E1043">
        <v>0</v>
      </c>
      <c r="F1043">
        <v>2400</v>
      </c>
      <c r="G1043">
        <v>1364.9210204999999</v>
      </c>
      <c r="H1043">
        <v>1355.5367432</v>
      </c>
      <c r="I1043">
        <v>1312.0856934000001</v>
      </c>
      <c r="J1043">
        <v>1302.4241943</v>
      </c>
      <c r="K1043">
        <v>80</v>
      </c>
      <c r="L1043">
        <v>79.927902222</v>
      </c>
      <c r="M1043">
        <v>50</v>
      </c>
      <c r="N1043">
        <v>45.902179717999999</v>
      </c>
    </row>
    <row r="1044" spans="1:14" x14ac:dyDescent="0.25">
      <c r="A1044">
        <v>794.60742100000004</v>
      </c>
      <c r="B1044" s="1">
        <f>DATE(2012,7,3) + TIME(14,34,41)</f>
        <v>41093.607418981483</v>
      </c>
      <c r="C1044">
        <v>2400</v>
      </c>
      <c r="D1044">
        <v>0</v>
      </c>
      <c r="E1044">
        <v>0</v>
      </c>
      <c r="F1044">
        <v>2400</v>
      </c>
      <c r="G1044">
        <v>1364.8894043</v>
      </c>
      <c r="H1044">
        <v>1355.5135498</v>
      </c>
      <c r="I1044">
        <v>1312.0549315999999</v>
      </c>
      <c r="J1044">
        <v>1302.3739014</v>
      </c>
      <c r="K1044">
        <v>80</v>
      </c>
      <c r="L1044">
        <v>79.927909850999995</v>
      </c>
      <c r="M1044">
        <v>50</v>
      </c>
      <c r="N1044">
        <v>45.838714600000003</v>
      </c>
    </row>
    <row r="1045" spans="1:14" x14ac:dyDescent="0.25">
      <c r="A1045">
        <v>795.93849899999998</v>
      </c>
      <c r="B1045" s="1">
        <f>DATE(2012,7,4) + TIME(22,31,26)</f>
        <v>41094.93849537037</v>
      </c>
      <c r="C1045">
        <v>2400</v>
      </c>
      <c r="D1045">
        <v>0</v>
      </c>
      <c r="E1045">
        <v>0</v>
      </c>
      <c r="F1045">
        <v>2400</v>
      </c>
      <c r="G1045">
        <v>1364.8577881000001</v>
      </c>
      <c r="H1045">
        <v>1355.4902344</v>
      </c>
      <c r="I1045">
        <v>1312.0231934000001</v>
      </c>
      <c r="J1045">
        <v>1302.3218993999999</v>
      </c>
      <c r="K1045">
        <v>80</v>
      </c>
      <c r="L1045">
        <v>79.927917480000005</v>
      </c>
      <c r="M1045">
        <v>50</v>
      </c>
      <c r="N1045">
        <v>45.774803161999998</v>
      </c>
    </row>
    <row r="1046" spans="1:14" x14ac:dyDescent="0.25">
      <c r="A1046">
        <v>797.28246999999999</v>
      </c>
      <c r="B1046" s="1">
        <f>DATE(2012,7,6) + TIME(6,46,45)</f>
        <v>41096.282465277778</v>
      </c>
      <c r="C1046">
        <v>2400</v>
      </c>
      <c r="D1046">
        <v>0</v>
      </c>
      <c r="E1046">
        <v>0</v>
      </c>
      <c r="F1046">
        <v>2400</v>
      </c>
      <c r="G1046">
        <v>1364.8261719</v>
      </c>
      <c r="H1046">
        <v>1355.4669189000001</v>
      </c>
      <c r="I1046">
        <v>1311.9904785000001</v>
      </c>
      <c r="J1046">
        <v>1302.2683105000001</v>
      </c>
      <c r="K1046">
        <v>80</v>
      </c>
      <c r="L1046">
        <v>79.927932738999999</v>
      </c>
      <c r="M1046">
        <v>50</v>
      </c>
      <c r="N1046">
        <v>45.710716247999997</v>
      </c>
    </row>
    <row r="1047" spans="1:14" x14ac:dyDescent="0.25">
      <c r="A1047">
        <v>798.64294800000005</v>
      </c>
      <c r="B1047" s="1">
        <f>DATE(2012,7,7) + TIME(15,25,50)</f>
        <v>41097.642939814818</v>
      </c>
      <c r="C1047">
        <v>2400</v>
      </c>
      <c r="D1047">
        <v>0</v>
      </c>
      <c r="E1047">
        <v>0</v>
      </c>
      <c r="F1047">
        <v>2400</v>
      </c>
      <c r="G1047">
        <v>1364.7946777</v>
      </c>
      <c r="H1047">
        <v>1355.4436035000001</v>
      </c>
      <c r="I1047">
        <v>1311.9570312000001</v>
      </c>
      <c r="J1047">
        <v>1302.2133789</v>
      </c>
      <c r="K1047">
        <v>80</v>
      </c>
      <c r="L1047">
        <v>79.927947997999993</v>
      </c>
      <c r="M1047">
        <v>50</v>
      </c>
      <c r="N1047">
        <v>45.646499634000001</v>
      </c>
    </row>
    <row r="1048" spans="1:14" x14ac:dyDescent="0.25">
      <c r="A1048">
        <v>800.02307399999995</v>
      </c>
      <c r="B1048" s="1">
        <f>DATE(2012,7,9) + TIME(0,33,13)</f>
        <v>41099.02306712963</v>
      </c>
      <c r="C1048">
        <v>2400</v>
      </c>
      <c r="D1048">
        <v>0</v>
      </c>
      <c r="E1048">
        <v>0</v>
      </c>
      <c r="F1048">
        <v>2400</v>
      </c>
      <c r="G1048">
        <v>1364.7631836</v>
      </c>
      <c r="H1048">
        <v>1355.4204102000001</v>
      </c>
      <c r="I1048">
        <v>1311.9227295000001</v>
      </c>
      <c r="J1048">
        <v>1302.1568603999999</v>
      </c>
      <c r="K1048">
        <v>80</v>
      </c>
      <c r="L1048">
        <v>79.927955627000003</v>
      </c>
      <c r="M1048">
        <v>50</v>
      </c>
      <c r="N1048">
        <v>45.582157135000003</v>
      </c>
    </row>
    <row r="1049" spans="1:14" x14ac:dyDescent="0.25">
      <c r="A1049">
        <v>801.42617299999995</v>
      </c>
      <c r="B1049" s="1">
        <f>DATE(2012,7,10) + TIME(10,13,41)</f>
        <v>41100.426168981481</v>
      </c>
      <c r="C1049">
        <v>2400</v>
      </c>
      <c r="D1049">
        <v>0</v>
      </c>
      <c r="E1049">
        <v>0</v>
      </c>
      <c r="F1049">
        <v>2400</v>
      </c>
      <c r="G1049">
        <v>1364.7318115</v>
      </c>
      <c r="H1049">
        <v>1355.3970947</v>
      </c>
      <c r="I1049">
        <v>1311.8874512</v>
      </c>
      <c r="J1049">
        <v>1302.0986327999999</v>
      </c>
      <c r="K1049">
        <v>80</v>
      </c>
      <c r="L1049">
        <v>79.927970885999997</v>
      </c>
      <c r="M1049">
        <v>50</v>
      </c>
      <c r="N1049">
        <v>45.517642975000001</v>
      </c>
    </row>
    <row r="1050" spans="1:14" x14ac:dyDescent="0.25">
      <c r="A1050">
        <v>802.85575400000005</v>
      </c>
      <c r="B1050" s="1">
        <f>DATE(2012,7,11) + TIME(20,32,17)</f>
        <v>41101.855752314812</v>
      </c>
      <c r="C1050">
        <v>2400</v>
      </c>
      <c r="D1050">
        <v>0</v>
      </c>
      <c r="E1050">
        <v>0</v>
      </c>
      <c r="F1050">
        <v>2400</v>
      </c>
      <c r="G1050">
        <v>1364.7003173999999</v>
      </c>
      <c r="H1050">
        <v>1355.3737793</v>
      </c>
      <c r="I1050">
        <v>1311.8511963000001</v>
      </c>
      <c r="J1050">
        <v>1302.0388184000001</v>
      </c>
      <c r="K1050">
        <v>80</v>
      </c>
      <c r="L1050">
        <v>79.927993774000001</v>
      </c>
      <c r="M1050">
        <v>50</v>
      </c>
      <c r="N1050">
        <v>45.452892302999999</v>
      </c>
    </row>
    <row r="1051" spans="1:14" x14ac:dyDescent="0.25">
      <c r="A1051">
        <v>804.305611</v>
      </c>
      <c r="B1051" s="1">
        <f>DATE(2012,7,13) + TIME(7,20,4)</f>
        <v>41103.305601851855</v>
      </c>
      <c r="C1051">
        <v>2400</v>
      </c>
      <c r="D1051">
        <v>0</v>
      </c>
      <c r="E1051">
        <v>0</v>
      </c>
      <c r="F1051">
        <v>2400</v>
      </c>
      <c r="G1051">
        <v>1364.6687012</v>
      </c>
      <c r="H1051">
        <v>1355.3502197</v>
      </c>
      <c r="I1051">
        <v>1311.8138428</v>
      </c>
      <c r="J1051">
        <v>1301.9770507999999</v>
      </c>
      <c r="K1051">
        <v>80</v>
      </c>
      <c r="L1051">
        <v>79.928009032999995</v>
      </c>
      <c r="M1051">
        <v>50</v>
      </c>
      <c r="N1051">
        <v>45.388088226000001</v>
      </c>
    </row>
    <row r="1052" spans="1:14" x14ac:dyDescent="0.25">
      <c r="A1052">
        <v>805.77106300000003</v>
      </c>
      <c r="B1052" s="1">
        <f>DATE(2012,7,14) + TIME(18,30,19)</f>
        <v>41104.771053240744</v>
      </c>
      <c r="C1052">
        <v>2400</v>
      </c>
      <c r="D1052">
        <v>0</v>
      </c>
      <c r="E1052">
        <v>0</v>
      </c>
      <c r="F1052">
        <v>2400</v>
      </c>
      <c r="G1052">
        <v>1364.6369629000001</v>
      </c>
      <c r="H1052">
        <v>1355.3266602000001</v>
      </c>
      <c r="I1052">
        <v>1311.7756348</v>
      </c>
      <c r="J1052">
        <v>1301.9136963000001</v>
      </c>
      <c r="K1052">
        <v>80</v>
      </c>
      <c r="L1052">
        <v>79.928024292000003</v>
      </c>
      <c r="M1052">
        <v>50</v>
      </c>
      <c r="N1052">
        <v>45.323440552000001</v>
      </c>
    </row>
    <row r="1053" spans="1:14" x14ac:dyDescent="0.25">
      <c r="A1053">
        <v>807.25730799999997</v>
      </c>
      <c r="B1053" s="1">
        <f>DATE(2012,7,16) + TIME(6,10,31)</f>
        <v>41106.257303240738</v>
      </c>
      <c r="C1053">
        <v>2400</v>
      </c>
      <c r="D1053">
        <v>0</v>
      </c>
      <c r="E1053">
        <v>0</v>
      </c>
      <c r="F1053">
        <v>2400</v>
      </c>
      <c r="G1053">
        <v>1364.6053466999999</v>
      </c>
      <c r="H1053">
        <v>1355.3031006000001</v>
      </c>
      <c r="I1053">
        <v>1311.7366943</v>
      </c>
      <c r="J1053">
        <v>1301.8487548999999</v>
      </c>
      <c r="K1053">
        <v>80</v>
      </c>
      <c r="L1053">
        <v>79.928047179999993</v>
      </c>
      <c r="M1053">
        <v>50</v>
      </c>
      <c r="N1053">
        <v>45.258953093999999</v>
      </c>
    </row>
    <row r="1054" spans="1:14" x14ac:dyDescent="0.25">
      <c r="A1054">
        <v>808.767471</v>
      </c>
      <c r="B1054" s="1">
        <f>DATE(2012,7,17) + TIME(18,25,9)</f>
        <v>41107.767465277779</v>
      </c>
      <c r="C1054">
        <v>2400</v>
      </c>
      <c r="D1054">
        <v>0</v>
      </c>
      <c r="E1054">
        <v>0</v>
      </c>
      <c r="F1054">
        <v>2400</v>
      </c>
      <c r="G1054">
        <v>1364.5737305</v>
      </c>
      <c r="H1054">
        <v>1355.2795410000001</v>
      </c>
      <c r="I1054">
        <v>1311.6966553</v>
      </c>
      <c r="J1054">
        <v>1301.7822266000001</v>
      </c>
      <c r="K1054">
        <v>80</v>
      </c>
      <c r="L1054">
        <v>79.928062439000001</v>
      </c>
      <c r="M1054">
        <v>50</v>
      </c>
      <c r="N1054">
        <v>45.194629669000001</v>
      </c>
    </row>
    <row r="1055" spans="1:14" x14ac:dyDescent="0.25">
      <c r="A1055">
        <v>810.305206</v>
      </c>
      <c r="B1055" s="1">
        <f>DATE(2012,7,19) + TIME(7,19,29)</f>
        <v>41109.305196759262</v>
      </c>
      <c r="C1055">
        <v>2400</v>
      </c>
      <c r="D1055">
        <v>0</v>
      </c>
      <c r="E1055">
        <v>0</v>
      </c>
      <c r="F1055">
        <v>2400</v>
      </c>
      <c r="G1055">
        <v>1364.5421143000001</v>
      </c>
      <c r="H1055">
        <v>1355.2558594</v>
      </c>
      <c r="I1055">
        <v>1311.6557617000001</v>
      </c>
      <c r="J1055">
        <v>1301.7138672000001</v>
      </c>
      <c r="K1055">
        <v>80</v>
      </c>
      <c r="L1055">
        <v>79.928085327000005</v>
      </c>
      <c r="M1055">
        <v>50</v>
      </c>
      <c r="N1055">
        <v>45.130447388</v>
      </c>
    </row>
    <row r="1056" spans="1:14" x14ac:dyDescent="0.25">
      <c r="A1056">
        <v>811.87121000000002</v>
      </c>
      <c r="B1056" s="1">
        <f>DATE(2012,7,20) + TIME(20,54,32)</f>
        <v>41110.871203703704</v>
      </c>
      <c r="C1056">
        <v>2400</v>
      </c>
      <c r="D1056">
        <v>0</v>
      </c>
      <c r="E1056">
        <v>0</v>
      </c>
      <c r="F1056">
        <v>2400</v>
      </c>
      <c r="G1056">
        <v>1364.5102539</v>
      </c>
      <c r="H1056">
        <v>1355.2320557</v>
      </c>
      <c r="I1056">
        <v>1311.6137695</v>
      </c>
      <c r="J1056">
        <v>1301.6435547000001</v>
      </c>
      <c r="K1056">
        <v>80</v>
      </c>
      <c r="L1056">
        <v>79.928108214999995</v>
      </c>
      <c r="M1056">
        <v>50</v>
      </c>
      <c r="N1056">
        <v>45.066448211999997</v>
      </c>
    </row>
    <row r="1057" spans="1:14" x14ac:dyDescent="0.25">
      <c r="A1057">
        <v>813.45936600000005</v>
      </c>
      <c r="B1057" s="1">
        <f>DATE(2012,7,22) + TIME(11,1,29)</f>
        <v>41112.459363425929</v>
      </c>
      <c r="C1057">
        <v>2400</v>
      </c>
      <c r="D1057">
        <v>0</v>
      </c>
      <c r="E1057">
        <v>0</v>
      </c>
      <c r="F1057">
        <v>2400</v>
      </c>
      <c r="G1057">
        <v>1364.4782714999999</v>
      </c>
      <c r="H1057">
        <v>1355.2081298999999</v>
      </c>
      <c r="I1057">
        <v>1311.5706786999999</v>
      </c>
      <c r="J1057">
        <v>1301.5714111</v>
      </c>
      <c r="K1057">
        <v>80</v>
      </c>
      <c r="L1057">
        <v>79.928138732999997</v>
      </c>
      <c r="M1057">
        <v>50</v>
      </c>
      <c r="N1057">
        <v>45.002853393999999</v>
      </c>
    </row>
    <row r="1058" spans="1:14" x14ac:dyDescent="0.25">
      <c r="A1058">
        <v>815.07165799999996</v>
      </c>
      <c r="B1058" s="1">
        <f>DATE(2012,7,24) + TIME(1,43,11)</f>
        <v>41114.071655092594</v>
      </c>
      <c r="C1058">
        <v>2400</v>
      </c>
      <c r="D1058">
        <v>0</v>
      </c>
      <c r="E1058">
        <v>0</v>
      </c>
      <c r="F1058">
        <v>2400</v>
      </c>
      <c r="G1058">
        <v>1364.4461670000001</v>
      </c>
      <c r="H1058">
        <v>1355.184082</v>
      </c>
      <c r="I1058">
        <v>1311.5267334</v>
      </c>
      <c r="J1058">
        <v>1301.4975586</v>
      </c>
      <c r="K1058">
        <v>80</v>
      </c>
      <c r="L1058">
        <v>79.928161621000001</v>
      </c>
      <c r="M1058">
        <v>50</v>
      </c>
      <c r="N1058">
        <v>44.939781189000001</v>
      </c>
    </row>
    <row r="1059" spans="1:14" x14ac:dyDescent="0.25">
      <c r="A1059">
        <v>816.69733099999996</v>
      </c>
      <c r="B1059" s="1">
        <f>DATE(2012,7,25) + TIME(16,44,9)</f>
        <v>41115.697326388887</v>
      </c>
      <c r="C1059">
        <v>2400</v>
      </c>
      <c r="D1059">
        <v>0</v>
      </c>
      <c r="E1059">
        <v>0</v>
      </c>
      <c r="F1059">
        <v>2400</v>
      </c>
      <c r="G1059">
        <v>1364.4140625</v>
      </c>
      <c r="H1059">
        <v>1355.1599120999999</v>
      </c>
      <c r="I1059">
        <v>1311.4818115</v>
      </c>
      <c r="J1059">
        <v>1301.4219971</v>
      </c>
      <c r="K1059">
        <v>80</v>
      </c>
      <c r="L1059">
        <v>79.928184509000005</v>
      </c>
      <c r="M1059">
        <v>50</v>
      </c>
      <c r="N1059">
        <v>44.877590179000002</v>
      </c>
    </row>
    <row r="1060" spans="1:14" x14ac:dyDescent="0.25">
      <c r="A1060">
        <v>818.34039900000005</v>
      </c>
      <c r="B1060" s="1">
        <f>DATE(2012,7,27) + TIME(8,10,10)</f>
        <v>41117.34039351852</v>
      </c>
      <c r="C1060">
        <v>2400</v>
      </c>
      <c r="D1060">
        <v>0</v>
      </c>
      <c r="E1060">
        <v>0</v>
      </c>
      <c r="F1060">
        <v>2400</v>
      </c>
      <c r="G1060">
        <v>1364.3820800999999</v>
      </c>
      <c r="H1060">
        <v>1355.1358643000001</v>
      </c>
      <c r="I1060">
        <v>1311.4362793</v>
      </c>
      <c r="J1060">
        <v>1301.3452147999999</v>
      </c>
      <c r="K1060">
        <v>80</v>
      </c>
      <c r="L1060">
        <v>79.928215026999993</v>
      </c>
      <c r="M1060">
        <v>50</v>
      </c>
      <c r="N1060">
        <v>44.816417694000002</v>
      </c>
    </row>
    <row r="1061" spans="1:14" x14ac:dyDescent="0.25">
      <c r="A1061">
        <v>820.00438399999996</v>
      </c>
      <c r="B1061" s="1">
        <f>DATE(2012,7,29) + TIME(0,6,18)</f>
        <v>41119.004374999997</v>
      </c>
      <c r="C1061">
        <v>2400</v>
      </c>
      <c r="D1061">
        <v>0</v>
      </c>
      <c r="E1061">
        <v>0</v>
      </c>
      <c r="F1061">
        <v>2400</v>
      </c>
      <c r="G1061">
        <v>1364.3502197</v>
      </c>
      <c r="H1061">
        <v>1355.1116943</v>
      </c>
      <c r="I1061">
        <v>1311.3901367000001</v>
      </c>
      <c r="J1061">
        <v>1301.2669678</v>
      </c>
      <c r="K1061">
        <v>80</v>
      </c>
      <c r="L1061">
        <v>79.928245544000006</v>
      </c>
      <c r="M1061">
        <v>50</v>
      </c>
      <c r="N1061">
        <v>44.756362914999997</v>
      </c>
    </row>
    <row r="1062" spans="1:14" x14ac:dyDescent="0.25">
      <c r="A1062">
        <v>821.69331799999998</v>
      </c>
      <c r="B1062" s="1">
        <f>DATE(2012,7,30) + TIME(16,38,22)</f>
        <v>41120.693310185183</v>
      </c>
      <c r="C1062">
        <v>2400</v>
      </c>
      <c r="D1062">
        <v>0</v>
      </c>
      <c r="E1062">
        <v>0</v>
      </c>
      <c r="F1062">
        <v>2400</v>
      </c>
      <c r="G1062">
        <v>1364.3182373</v>
      </c>
      <c r="H1062">
        <v>1355.0876464999999</v>
      </c>
      <c r="I1062">
        <v>1311.3431396000001</v>
      </c>
      <c r="J1062">
        <v>1301.1873779</v>
      </c>
      <c r="K1062">
        <v>80</v>
      </c>
      <c r="L1062">
        <v>79.928276061999995</v>
      </c>
      <c r="M1062">
        <v>50</v>
      </c>
      <c r="N1062">
        <v>44.697483063</v>
      </c>
    </row>
    <row r="1063" spans="1:14" x14ac:dyDescent="0.25">
      <c r="A1063">
        <v>823</v>
      </c>
      <c r="B1063" s="1">
        <f>DATE(2012,8,1) + TIME(0,0,0)</f>
        <v>41122</v>
      </c>
      <c r="C1063">
        <v>2400</v>
      </c>
      <c r="D1063">
        <v>0</v>
      </c>
      <c r="E1063">
        <v>0</v>
      </c>
      <c r="F1063">
        <v>2400</v>
      </c>
      <c r="G1063">
        <v>1364.2861327999999</v>
      </c>
      <c r="H1063">
        <v>1355.0633545000001</v>
      </c>
      <c r="I1063">
        <v>1311.2967529</v>
      </c>
      <c r="J1063">
        <v>1301.1094971</v>
      </c>
      <c r="K1063">
        <v>80</v>
      </c>
      <c r="L1063">
        <v>79.928291321000003</v>
      </c>
      <c r="M1063">
        <v>50</v>
      </c>
      <c r="N1063">
        <v>44.647724152000002</v>
      </c>
    </row>
    <row r="1064" spans="1:14" x14ac:dyDescent="0.25">
      <c r="A1064">
        <v>824.71814900000004</v>
      </c>
      <c r="B1064" s="1">
        <f>DATE(2012,8,2) + TIME(17,14,8)</f>
        <v>41123.718148148146</v>
      </c>
      <c r="C1064">
        <v>2400</v>
      </c>
      <c r="D1064">
        <v>0</v>
      </c>
      <c r="E1064">
        <v>0</v>
      </c>
      <c r="F1064">
        <v>2400</v>
      </c>
      <c r="G1064">
        <v>1364.2617187999999</v>
      </c>
      <c r="H1064">
        <v>1355.0446777</v>
      </c>
      <c r="I1064">
        <v>1311.2564697</v>
      </c>
      <c r="J1064">
        <v>1301.0397949000001</v>
      </c>
      <c r="K1064">
        <v>80</v>
      </c>
      <c r="L1064">
        <v>79.928329468000001</v>
      </c>
      <c r="M1064">
        <v>50</v>
      </c>
      <c r="N1064">
        <v>44.594444275000001</v>
      </c>
    </row>
    <row r="1065" spans="1:14" x14ac:dyDescent="0.25">
      <c r="A1065">
        <v>826.48682899999994</v>
      </c>
      <c r="B1065" s="1">
        <f>DATE(2012,8,4) + TIME(11,41,1)</f>
        <v>41125.486817129633</v>
      </c>
      <c r="C1065">
        <v>2400</v>
      </c>
      <c r="D1065">
        <v>0</v>
      </c>
      <c r="E1065">
        <v>0</v>
      </c>
      <c r="F1065">
        <v>2400</v>
      </c>
      <c r="G1065">
        <v>1364.2298584</v>
      </c>
      <c r="H1065">
        <v>1355.0205077999999</v>
      </c>
      <c r="I1065">
        <v>1311.2086182</v>
      </c>
      <c r="J1065">
        <v>1300.9580077999999</v>
      </c>
      <c r="K1065">
        <v>80</v>
      </c>
      <c r="L1065">
        <v>79.928359985</v>
      </c>
      <c r="M1065">
        <v>50</v>
      </c>
      <c r="N1065">
        <v>44.541072845000002</v>
      </c>
    </row>
    <row r="1066" spans="1:14" x14ac:dyDescent="0.25">
      <c r="A1066">
        <v>828.27437299999997</v>
      </c>
      <c r="B1066" s="1">
        <f>DATE(2012,8,6) + TIME(6,35,5)</f>
        <v>41127.274363425924</v>
      </c>
      <c r="C1066">
        <v>2400</v>
      </c>
      <c r="D1066">
        <v>0</v>
      </c>
      <c r="E1066">
        <v>0</v>
      </c>
      <c r="F1066">
        <v>2400</v>
      </c>
      <c r="G1066">
        <v>1364.1973877</v>
      </c>
      <c r="H1066">
        <v>1354.9958495999999</v>
      </c>
      <c r="I1066">
        <v>1311.1591797000001</v>
      </c>
      <c r="J1066">
        <v>1300.8734131000001</v>
      </c>
      <c r="K1066">
        <v>80</v>
      </c>
      <c r="L1066">
        <v>79.928398131999998</v>
      </c>
      <c r="M1066">
        <v>50</v>
      </c>
      <c r="N1066">
        <v>44.488800048999998</v>
      </c>
    </row>
    <row r="1067" spans="1:14" x14ac:dyDescent="0.25">
      <c r="A1067">
        <v>830.08649500000001</v>
      </c>
      <c r="B1067" s="1">
        <f>DATE(2012,8,8) + TIME(2,4,33)</f>
        <v>41129.086493055554</v>
      </c>
      <c r="C1067">
        <v>2400</v>
      </c>
      <c r="D1067">
        <v>0</v>
      </c>
      <c r="E1067">
        <v>0</v>
      </c>
      <c r="F1067">
        <v>2400</v>
      </c>
      <c r="G1067">
        <v>1364.1650391000001</v>
      </c>
      <c r="H1067">
        <v>1354.9711914</v>
      </c>
      <c r="I1067">
        <v>1311.1088867000001</v>
      </c>
      <c r="J1067">
        <v>1300.7871094</v>
      </c>
      <c r="K1067">
        <v>80</v>
      </c>
      <c r="L1067">
        <v>79.928436278999996</v>
      </c>
      <c r="M1067">
        <v>50</v>
      </c>
      <c r="N1067">
        <v>44.438278197999999</v>
      </c>
    </row>
    <row r="1068" spans="1:14" x14ac:dyDescent="0.25">
      <c r="A1068">
        <v>831.92702199999997</v>
      </c>
      <c r="B1068" s="1">
        <f>DATE(2012,8,9) + TIME(22,14,54)</f>
        <v>41130.92701388889</v>
      </c>
      <c r="C1068">
        <v>2400</v>
      </c>
      <c r="D1068">
        <v>0</v>
      </c>
      <c r="E1068">
        <v>0</v>
      </c>
      <c r="F1068">
        <v>2400</v>
      </c>
      <c r="G1068">
        <v>1364.1325684000001</v>
      </c>
      <c r="H1068">
        <v>1354.9464111</v>
      </c>
      <c r="I1068">
        <v>1311.0578613</v>
      </c>
      <c r="J1068">
        <v>1300.6993408000001</v>
      </c>
      <c r="K1068">
        <v>80</v>
      </c>
      <c r="L1068">
        <v>79.928474425999994</v>
      </c>
      <c r="M1068">
        <v>50</v>
      </c>
      <c r="N1068">
        <v>44.389930724999999</v>
      </c>
    </row>
    <row r="1069" spans="1:14" x14ac:dyDescent="0.25">
      <c r="A1069">
        <v>833.79897300000005</v>
      </c>
      <c r="B1069" s="1">
        <f>DATE(2012,8,11) + TIME(19,10,31)</f>
        <v>41132.79896990741</v>
      </c>
      <c r="C1069">
        <v>2400</v>
      </c>
      <c r="D1069">
        <v>0</v>
      </c>
      <c r="E1069">
        <v>0</v>
      </c>
      <c r="F1069">
        <v>2400</v>
      </c>
      <c r="G1069">
        <v>1364.0999756000001</v>
      </c>
      <c r="H1069">
        <v>1354.9213867000001</v>
      </c>
      <c r="I1069">
        <v>1311.0061035000001</v>
      </c>
      <c r="J1069">
        <v>1300.6101074000001</v>
      </c>
      <c r="K1069">
        <v>80</v>
      </c>
      <c r="L1069">
        <v>79.928512573000006</v>
      </c>
      <c r="M1069">
        <v>50</v>
      </c>
      <c r="N1069">
        <v>44.344104766999997</v>
      </c>
    </row>
    <row r="1070" spans="1:14" x14ac:dyDescent="0.25">
      <c r="A1070">
        <v>835.69635500000004</v>
      </c>
      <c r="B1070" s="1">
        <f>DATE(2012,8,13) + TIME(16,42,45)</f>
        <v>41134.69635416667</v>
      </c>
      <c r="C1070">
        <v>2400</v>
      </c>
      <c r="D1070">
        <v>0</v>
      </c>
      <c r="E1070">
        <v>0</v>
      </c>
      <c r="F1070">
        <v>2400</v>
      </c>
      <c r="G1070">
        <v>1364.0672606999999</v>
      </c>
      <c r="H1070">
        <v>1354.8962402</v>
      </c>
      <c r="I1070">
        <v>1310.9538574000001</v>
      </c>
      <c r="J1070">
        <v>1300.5195312000001</v>
      </c>
      <c r="K1070">
        <v>80</v>
      </c>
      <c r="L1070">
        <v>79.928550720000004</v>
      </c>
      <c r="M1070">
        <v>50</v>
      </c>
      <c r="N1070">
        <v>44.301227570000002</v>
      </c>
    </row>
    <row r="1071" spans="1:14" x14ac:dyDescent="0.25">
      <c r="A1071">
        <v>837.61095799999998</v>
      </c>
      <c r="B1071" s="1">
        <f>DATE(2012,8,15) + TIME(14,39,46)</f>
        <v>41136.610949074071</v>
      </c>
      <c r="C1071">
        <v>2400</v>
      </c>
      <c r="D1071">
        <v>0</v>
      </c>
      <c r="E1071">
        <v>0</v>
      </c>
      <c r="F1071">
        <v>2400</v>
      </c>
      <c r="G1071">
        <v>1364.0344238</v>
      </c>
      <c r="H1071">
        <v>1354.8710937999999</v>
      </c>
      <c r="I1071">
        <v>1310.9011230000001</v>
      </c>
      <c r="J1071">
        <v>1300.4281006000001</v>
      </c>
      <c r="K1071">
        <v>80</v>
      </c>
      <c r="L1071">
        <v>79.928588867000002</v>
      </c>
      <c r="M1071">
        <v>50</v>
      </c>
      <c r="N1071">
        <v>44.261787415000001</v>
      </c>
    </row>
    <row r="1072" spans="1:14" x14ac:dyDescent="0.25">
      <c r="A1072">
        <v>839.547234</v>
      </c>
      <c r="B1072" s="1">
        <f>DATE(2012,8,17) + TIME(13,8,1)</f>
        <v>41138.547233796293</v>
      </c>
      <c r="C1072">
        <v>2400</v>
      </c>
      <c r="D1072">
        <v>0</v>
      </c>
      <c r="E1072">
        <v>0</v>
      </c>
      <c r="F1072">
        <v>2400</v>
      </c>
      <c r="G1072">
        <v>1364.0015868999999</v>
      </c>
      <c r="H1072">
        <v>1354.8458252</v>
      </c>
      <c r="I1072">
        <v>1310.8481445</v>
      </c>
      <c r="J1072">
        <v>1300.3361815999999</v>
      </c>
      <c r="K1072">
        <v>80</v>
      </c>
      <c r="L1072">
        <v>79.928634643999999</v>
      </c>
      <c r="M1072">
        <v>50</v>
      </c>
      <c r="N1072">
        <v>44.226150513</v>
      </c>
    </row>
    <row r="1073" spans="1:14" x14ac:dyDescent="0.25">
      <c r="A1073">
        <v>841.50938799999994</v>
      </c>
      <c r="B1073" s="1">
        <f>DATE(2012,8,19) + TIME(12,13,31)</f>
        <v>41140.509386574071</v>
      </c>
      <c r="C1073">
        <v>2400</v>
      </c>
      <c r="D1073">
        <v>0</v>
      </c>
      <c r="E1073">
        <v>0</v>
      </c>
      <c r="F1073">
        <v>2400</v>
      </c>
      <c r="G1073">
        <v>1363.9688721</v>
      </c>
      <c r="H1073">
        <v>1354.8204346</v>
      </c>
      <c r="I1073">
        <v>1310.7950439000001</v>
      </c>
      <c r="J1073">
        <v>1300.2437743999999</v>
      </c>
      <c r="K1073">
        <v>80</v>
      </c>
      <c r="L1073">
        <v>79.928672790999997</v>
      </c>
      <c r="M1073">
        <v>50</v>
      </c>
      <c r="N1073">
        <v>44.194690704000003</v>
      </c>
    </row>
    <row r="1074" spans="1:14" x14ac:dyDescent="0.25">
      <c r="A1074">
        <v>843.50220300000001</v>
      </c>
      <c r="B1074" s="1">
        <f>DATE(2012,8,21) + TIME(12,3,10)</f>
        <v>41142.502199074072</v>
      </c>
      <c r="C1074">
        <v>2400</v>
      </c>
      <c r="D1074">
        <v>0</v>
      </c>
      <c r="E1074">
        <v>0</v>
      </c>
      <c r="F1074">
        <v>2400</v>
      </c>
      <c r="G1074">
        <v>1363.9359131000001</v>
      </c>
      <c r="H1074">
        <v>1354.7950439000001</v>
      </c>
      <c r="I1074">
        <v>1310.7418213000001</v>
      </c>
      <c r="J1074">
        <v>1300.1507568</v>
      </c>
      <c r="K1074">
        <v>80</v>
      </c>
      <c r="L1074">
        <v>79.928718567000004</v>
      </c>
      <c r="M1074">
        <v>50</v>
      </c>
      <c r="N1074">
        <v>44.167793273999997</v>
      </c>
    </row>
    <row r="1075" spans="1:14" x14ac:dyDescent="0.25">
      <c r="A1075">
        <v>845.52951900000005</v>
      </c>
      <c r="B1075" s="1">
        <f>DATE(2012,8,23) + TIME(12,42,30)</f>
        <v>41144.529513888891</v>
      </c>
      <c r="C1075">
        <v>2400</v>
      </c>
      <c r="D1075">
        <v>0</v>
      </c>
      <c r="E1075">
        <v>0</v>
      </c>
      <c r="F1075">
        <v>2400</v>
      </c>
      <c r="G1075">
        <v>1363.9029541</v>
      </c>
      <c r="H1075">
        <v>1354.7694091999999</v>
      </c>
      <c r="I1075">
        <v>1310.6883545000001</v>
      </c>
      <c r="J1075">
        <v>1300.057251</v>
      </c>
      <c r="K1075">
        <v>80</v>
      </c>
      <c r="L1075">
        <v>79.928764342999997</v>
      </c>
      <c r="M1075">
        <v>50</v>
      </c>
      <c r="N1075">
        <v>44.145904541</v>
      </c>
    </row>
    <row r="1076" spans="1:14" x14ac:dyDescent="0.25">
      <c r="A1076">
        <v>847.59263399999998</v>
      </c>
      <c r="B1076" s="1">
        <f>DATE(2012,8,25) + TIME(14,13,23)</f>
        <v>41146.592627314814</v>
      </c>
      <c r="C1076">
        <v>2400</v>
      </c>
      <c r="D1076">
        <v>0</v>
      </c>
      <c r="E1076">
        <v>0</v>
      </c>
      <c r="F1076">
        <v>2400</v>
      </c>
      <c r="G1076">
        <v>1363.8696289</v>
      </c>
      <c r="H1076">
        <v>1354.7435303</v>
      </c>
      <c r="I1076">
        <v>1310.6346435999999</v>
      </c>
      <c r="J1076">
        <v>1299.9632568</v>
      </c>
      <c r="K1076">
        <v>80</v>
      </c>
      <c r="L1076">
        <v>79.928810119999994</v>
      </c>
      <c r="M1076">
        <v>50</v>
      </c>
      <c r="N1076">
        <v>44.129539489999999</v>
      </c>
    </row>
    <row r="1077" spans="1:14" x14ac:dyDescent="0.25">
      <c r="A1077">
        <v>849.67231000000004</v>
      </c>
      <c r="B1077" s="1">
        <f>DATE(2012,8,27) + TIME(16,8,7)</f>
        <v>41148.672303240739</v>
      </c>
      <c r="C1077">
        <v>2400</v>
      </c>
      <c r="D1077">
        <v>0</v>
      </c>
      <c r="E1077">
        <v>0</v>
      </c>
      <c r="F1077">
        <v>2400</v>
      </c>
      <c r="G1077">
        <v>1363.8361815999999</v>
      </c>
      <c r="H1077">
        <v>1354.7174072</v>
      </c>
      <c r="I1077">
        <v>1310.5810547000001</v>
      </c>
      <c r="J1077">
        <v>1299.8690185999999</v>
      </c>
      <c r="K1077">
        <v>80</v>
      </c>
      <c r="L1077">
        <v>79.928863524999997</v>
      </c>
      <c r="M1077">
        <v>50</v>
      </c>
      <c r="N1077">
        <v>44.119327544999997</v>
      </c>
    </row>
    <row r="1078" spans="1:14" x14ac:dyDescent="0.25">
      <c r="A1078">
        <v>851.77049699999998</v>
      </c>
      <c r="B1078" s="1">
        <f>DATE(2012,8,29) + TIME(18,29,30)</f>
        <v>41150.770486111112</v>
      </c>
      <c r="C1078">
        <v>2400</v>
      </c>
      <c r="D1078">
        <v>0</v>
      </c>
      <c r="E1078">
        <v>0</v>
      </c>
      <c r="F1078">
        <v>2400</v>
      </c>
      <c r="G1078">
        <v>1363.8027344</v>
      </c>
      <c r="H1078">
        <v>1354.6912841999999</v>
      </c>
      <c r="I1078">
        <v>1310.5277100000001</v>
      </c>
      <c r="J1078">
        <v>1299.7752685999999</v>
      </c>
      <c r="K1078">
        <v>80</v>
      </c>
      <c r="L1078">
        <v>79.928909301999994</v>
      </c>
      <c r="M1078">
        <v>50</v>
      </c>
      <c r="N1078">
        <v>44.115798949999999</v>
      </c>
    </row>
    <row r="1079" spans="1:14" x14ac:dyDescent="0.25">
      <c r="A1079">
        <v>853.89217199999996</v>
      </c>
      <c r="B1079" s="1">
        <f>DATE(2012,8,31) + TIME(21,24,43)</f>
        <v>41152.892164351855</v>
      </c>
      <c r="C1079">
        <v>2400</v>
      </c>
      <c r="D1079">
        <v>0</v>
      </c>
      <c r="E1079">
        <v>0</v>
      </c>
      <c r="F1079">
        <v>2400</v>
      </c>
      <c r="G1079">
        <v>1363.7692870999999</v>
      </c>
      <c r="H1079">
        <v>1354.6650391000001</v>
      </c>
      <c r="I1079">
        <v>1310.4748535000001</v>
      </c>
      <c r="J1079">
        <v>1299.6823730000001</v>
      </c>
      <c r="K1079">
        <v>80</v>
      </c>
      <c r="L1079">
        <v>79.928962708</v>
      </c>
      <c r="M1079">
        <v>50</v>
      </c>
      <c r="N1079">
        <v>44.119483948000003</v>
      </c>
    </row>
    <row r="1080" spans="1:14" x14ac:dyDescent="0.25">
      <c r="A1080">
        <v>854</v>
      </c>
      <c r="B1080" s="1">
        <f>DATE(2012,9,1) + TIME(0,0,0)</f>
        <v>41153</v>
      </c>
      <c r="C1080">
        <v>2400</v>
      </c>
      <c r="D1080">
        <v>0</v>
      </c>
      <c r="E1080">
        <v>0</v>
      </c>
      <c r="F1080">
        <v>2400</v>
      </c>
      <c r="G1080">
        <v>1363.7375488</v>
      </c>
      <c r="H1080">
        <v>1354.6408690999999</v>
      </c>
      <c r="I1080">
        <v>1310.4436035000001</v>
      </c>
      <c r="J1080">
        <v>1299.6198730000001</v>
      </c>
      <c r="K1080">
        <v>80</v>
      </c>
      <c r="L1080">
        <v>79.928955078000001</v>
      </c>
      <c r="M1080">
        <v>50</v>
      </c>
      <c r="N1080">
        <v>44.120735168000003</v>
      </c>
    </row>
    <row r="1081" spans="1:14" x14ac:dyDescent="0.25">
      <c r="A1081">
        <v>856.15052400000002</v>
      </c>
      <c r="B1081" s="1">
        <f>DATE(2012,9,3) + TIME(3,36,45)</f>
        <v>41155.150520833333</v>
      </c>
      <c r="C1081">
        <v>2400</v>
      </c>
      <c r="D1081">
        <v>0</v>
      </c>
      <c r="E1081">
        <v>0</v>
      </c>
      <c r="F1081">
        <v>2400</v>
      </c>
      <c r="G1081">
        <v>1363.7341309000001</v>
      </c>
      <c r="H1081">
        <v>1354.6373291</v>
      </c>
      <c r="I1081">
        <v>1310.418457</v>
      </c>
      <c r="J1081">
        <v>1299.5836182</v>
      </c>
      <c r="K1081">
        <v>80</v>
      </c>
      <c r="L1081">
        <v>79.929016113000003</v>
      </c>
      <c r="M1081">
        <v>50</v>
      </c>
      <c r="N1081">
        <v>44.132232666</v>
      </c>
    </row>
    <row r="1082" spans="1:14" x14ac:dyDescent="0.25">
      <c r="A1082">
        <v>858.337583</v>
      </c>
      <c r="B1082" s="1">
        <f>DATE(2012,9,5) + TIME(8,6,7)</f>
        <v>41157.337581018517</v>
      </c>
      <c r="C1082">
        <v>2400</v>
      </c>
      <c r="D1082">
        <v>0</v>
      </c>
      <c r="E1082">
        <v>0</v>
      </c>
      <c r="F1082">
        <v>2400</v>
      </c>
      <c r="G1082">
        <v>1363.7006836</v>
      </c>
      <c r="H1082">
        <v>1354.6110839999999</v>
      </c>
      <c r="I1082">
        <v>1310.3673096</v>
      </c>
      <c r="J1082">
        <v>1299.4935303</v>
      </c>
      <c r="K1082">
        <v>80</v>
      </c>
      <c r="L1082">
        <v>79.929069518999995</v>
      </c>
      <c r="M1082">
        <v>50</v>
      </c>
      <c r="N1082">
        <v>44.152431487999998</v>
      </c>
    </row>
    <row r="1083" spans="1:14" x14ac:dyDescent="0.25">
      <c r="A1083">
        <v>860.54740000000004</v>
      </c>
      <c r="B1083" s="1">
        <f>DATE(2012,9,7) + TIME(13,8,15)</f>
        <v>41159.547395833331</v>
      </c>
      <c r="C1083">
        <v>2400</v>
      </c>
      <c r="D1083">
        <v>0</v>
      </c>
      <c r="E1083">
        <v>0</v>
      </c>
      <c r="F1083">
        <v>2400</v>
      </c>
      <c r="G1083">
        <v>1363.6668701000001</v>
      </c>
      <c r="H1083">
        <v>1354.5844727000001</v>
      </c>
      <c r="I1083">
        <v>1310.3164062000001</v>
      </c>
      <c r="J1083">
        <v>1299.4038086</v>
      </c>
      <c r="K1083">
        <v>80</v>
      </c>
      <c r="L1083">
        <v>79.929122925000001</v>
      </c>
      <c r="M1083">
        <v>50</v>
      </c>
      <c r="N1083">
        <v>44.181896209999998</v>
      </c>
    </row>
    <row r="1084" spans="1:14" x14ac:dyDescent="0.25">
      <c r="A1084">
        <v>862.77893800000004</v>
      </c>
      <c r="B1084" s="1">
        <f>DATE(2012,9,9) + TIME(18,41,40)</f>
        <v>41161.778935185182</v>
      </c>
      <c r="C1084">
        <v>2400</v>
      </c>
      <c r="D1084">
        <v>0</v>
      </c>
      <c r="E1084">
        <v>0</v>
      </c>
      <c r="F1084">
        <v>2400</v>
      </c>
      <c r="G1084">
        <v>1363.6330565999999</v>
      </c>
      <c r="H1084">
        <v>1354.5577393000001</v>
      </c>
      <c r="I1084">
        <v>1310.2661132999999</v>
      </c>
      <c r="J1084">
        <v>1299.3154297000001</v>
      </c>
      <c r="K1084">
        <v>80</v>
      </c>
      <c r="L1084">
        <v>79.929183960000003</v>
      </c>
      <c r="M1084">
        <v>50</v>
      </c>
      <c r="N1084">
        <v>44.221160888999997</v>
      </c>
    </row>
    <row r="1085" spans="1:14" x14ac:dyDescent="0.25">
      <c r="A1085">
        <v>865.03697599999998</v>
      </c>
      <c r="B1085" s="1">
        <f>DATE(2012,9,12) + TIME(0,53,14)</f>
        <v>41164.03696759259</v>
      </c>
      <c r="C1085">
        <v>2400</v>
      </c>
      <c r="D1085">
        <v>0</v>
      </c>
      <c r="E1085">
        <v>0</v>
      </c>
      <c r="F1085">
        <v>2400</v>
      </c>
      <c r="G1085">
        <v>1363.5992432</v>
      </c>
      <c r="H1085">
        <v>1354.5308838000001</v>
      </c>
      <c r="I1085">
        <v>1310.2166748</v>
      </c>
      <c r="J1085">
        <v>1299.2288818</v>
      </c>
      <c r="K1085">
        <v>80</v>
      </c>
      <c r="L1085">
        <v>79.929237365999995</v>
      </c>
      <c r="M1085">
        <v>50</v>
      </c>
      <c r="N1085">
        <v>44.270832061999997</v>
      </c>
    </row>
    <row r="1086" spans="1:14" x14ac:dyDescent="0.25">
      <c r="A1086">
        <v>867.326909</v>
      </c>
      <c r="B1086" s="1">
        <f>DATE(2012,9,14) + TIME(7,50,44)</f>
        <v>41166.326898148145</v>
      </c>
      <c r="C1086">
        <v>2400</v>
      </c>
      <c r="D1086">
        <v>0</v>
      </c>
      <c r="E1086">
        <v>0</v>
      </c>
      <c r="F1086">
        <v>2400</v>
      </c>
      <c r="G1086">
        <v>1363.5653076000001</v>
      </c>
      <c r="H1086">
        <v>1354.5039062000001</v>
      </c>
      <c r="I1086">
        <v>1310.1683350000001</v>
      </c>
      <c r="J1086">
        <v>1299.1442870999999</v>
      </c>
      <c r="K1086">
        <v>80</v>
      </c>
      <c r="L1086">
        <v>79.929298400999997</v>
      </c>
      <c r="M1086">
        <v>50</v>
      </c>
      <c r="N1086">
        <v>44.331626892000003</v>
      </c>
    </row>
    <row r="1087" spans="1:14" x14ac:dyDescent="0.25">
      <c r="A1087">
        <v>869.65470100000005</v>
      </c>
      <c r="B1087" s="1">
        <f>DATE(2012,9,16) + TIME(15,42,46)</f>
        <v>41168.654699074075</v>
      </c>
      <c r="C1087">
        <v>2400</v>
      </c>
      <c r="D1087">
        <v>0</v>
      </c>
      <c r="E1087">
        <v>0</v>
      </c>
      <c r="F1087">
        <v>2400</v>
      </c>
      <c r="G1087">
        <v>1363.53125</v>
      </c>
      <c r="H1087">
        <v>1354.4768065999999</v>
      </c>
      <c r="I1087">
        <v>1310.1209716999999</v>
      </c>
      <c r="J1087">
        <v>1299.0617675999999</v>
      </c>
      <c r="K1087">
        <v>80</v>
      </c>
      <c r="L1087">
        <v>79.929359435999999</v>
      </c>
      <c r="M1087">
        <v>50</v>
      </c>
      <c r="N1087">
        <v>44.404354095000002</v>
      </c>
    </row>
    <row r="1088" spans="1:14" x14ac:dyDescent="0.25">
      <c r="A1088">
        <v>872.02653999999995</v>
      </c>
      <c r="B1088" s="1">
        <f>DATE(2012,9,19) + TIME(0,38,13)</f>
        <v>41171.026539351849</v>
      </c>
      <c r="C1088">
        <v>2400</v>
      </c>
      <c r="D1088">
        <v>0</v>
      </c>
      <c r="E1088">
        <v>0</v>
      </c>
      <c r="F1088">
        <v>2400</v>
      </c>
      <c r="G1088">
        <v>1363.4969481999999</v>
      </c>
      <c r="H1088">
        <v>1354.4494629000001</v>
      </c>
      <c r="I1088">
        <v>1310.074707</v>
      </c>
      <c r="J1088">
        <v>1298.9816894999999</v>
      </c>
      <c r="K1088">
        <v>80</v>
      </c>
      <c r="L1088">
        <v>79.929420471</v>
      </c>
      <c r="M1088">
        <v>50</v>
      </c>
      <c r="N1088">
        <v>44.489936829000001</v>
      </c>
    </row>
    <row r="1089" spans="1:14" x14ac:dyDescent="0.25">
      <c r="A1089">
        <v>874.42503399999998</v>
      </c>
      <c r="B1089" s="1">
        <f>DATE(2012,9,21) + TIME(10,12,2)</f>
        <v>41173.425023148149</v>
      </c>
      <c r="C1089">
        <v>2400</v>
      </c>
      <c r="D1089">
        <v>0</v>
      </c>
      <c r="E1089">
        <v>0</v>
      </c>
      <c r="F1089">
        <v>2400</v>
      </c>
      <c r="G1089">
        <v>1363.4622803</v>
      </c>
      <c r="H1089">
        <v>1354.4217529</v>
      </c>
      <c r="I1089">
        <v>1310.0296631000001</v>
      </c>
      <c r="J1089">
        <v>1298.9041748</v>
      </c>
      <c r="K1089">
        <v>80</v>
      </c>
      <c r="L1089">
        <v>79.929481506000002</v>
      </c>
      <c r="M1089">
        <v>50</v>
      </c>
      <c r="N1089">
        <v>44.588973998999997</v>
      </c>
    </row>
    <row r="1090" spans="1:14" x14ac:dyDescent="0.25">
      <c r="A1090">
        <v>876.84516499999995</v>
      </c>
      <c r="B1090" s="1">
        <f>DATE(2012,9,23) + TIME(20,17,2)</f>
        <v>41175.84516203704</v>
      </c>
      <c r="C1090">
        <v>2400</v>
      </c>
      <c r="D1090">
        <v>0</v>
      </c>
      <c r="E1090">
        <v>0</v>
      </c>
      <c r="F1090">
        <v>2400</v>
      </c>
      <c r="G1090">
        <v>1363.4276123</v>
      </c>
      <c r="H1090">
        <v>1354.3939209</v>
      </c>
      <c r="I1090">
        <v>1309.9862060999999</v>
      </c>
      <c r="J1090">
        <v>1298.8300781</v>
      </c>
      <c r="K1090">
        <v>80</v>
      </c>
      <c r="L1090">
        <v>79.929542541999993</v>
      </c>
      <c r="M1090">
        <v>50</v>
      </c>
      <c r="N1090">
        <v>44.701751709</v>
      </c>
    </row>
    <row r="1091" spans="1:14" x14ac:dyDescent="0.25">
      <c r="A1091">
        <v>879.29292099999998</v>
      </c>
      <c r="B1091" s="1">
        <f>DATE(2012,9,26) + TIME(7,1,48)</f>
        <v>41178.292916666665</v>
      </c>
      <c r="C1091">
        <v>2400</v>
      </c>
      <c r="D1091">
        <v>0</v>
      </c>
      <c r="E1091">
        <v>0</v>
      </c>
      <c r="F1091">
        <v>2400</v>
      </c>
      <c r="G1091">
        <v>1363.3929443</v>
      </c>
      <c r="H1091">
        <v>1354.3659668</v>
      </c>
      <c r="I1091">
        <v>1309.9445800999999</v>
      </c>
      <c r="J1091">
        <v>1298.7596435999999</v>
      </c>
      <c r="K1091">
        <v>80</v>
      </c>
      <c r="L1091">
        <v>79.929611206000004</v>
      </c>
      <c r="M1091">
        <v>50</v>
      </c>
      <c r="N1091">
        <v>44.828639983999999</v>
      </c>
    </row>
    <row r="1092" spans="1:14" x14ac:dyDescent="0.25">
      <c r="A1092">
        <v>881.77506600000004</v>
      </c>
      <c r="B1092" s="1">
        <f>DATE(2012,9,28) + TIME(18,36,5)</f>
        <v>41180.775057870371</v>
      </c>
      <c r="C1092">
        <v>2400</v>
      </c>
      <c r="D1092">
        <v>0</v>
      </c>
      <c r="E1092">
        <v>0</v>
      </c>
      <c r="F1092">
        <v>2400</v>
      </c>
      <c r="G1092">
        <v>1363.3581543</v>
      </c>
      <c r="H1092">
        <v>1354.3380127</v>
      </c>
      <c r="I1092">
        <v>1309.9046631000001</v>
      </c>
      <c r="J1092">
        <v>1298.6931152</v>
      </c>
      <c r="K1092">
        <v>80</v>
      </c>
      <c r="L1092">
        <v>79.929672241000006</v>
      </c>
      <c r="M1092">
        <v>50</v>
      </c>
      <c r="N1092">
        <v>44.970176696999999</v>
      </c>
    </row>
    <row r="1093" spans="1:14" x14ac:dyDescent="0.25">
      <c r="A1093">
        <v>884</v>
      </c>
      <c r="B1093" s="1">
        <f>DATE(2012,10,1) + TIME(0,0,0)</f>
        <v>41183</v>
      </c>
      <c r="C1093">
        <v>2400</v>
      </c>
      <c r="D1093">
        <v>0</v>
      </c>
      <c r="E1093">
        <v>0</v>
      </c>
      <c r="F1093">
        <v>2400</v>
      </c>
      <c r="G1093">
        <v>1363.3232422000001</v>
      </c>
      <c r="H1093">
        <v>1354.3099365</v>
      </c>
      <c r="I1093">
        <v>1309.8686522999999</v>
      </c>
      <c r="J1093">
        <v>1298.6320800999999</v>
      </c>
      <c r="K1093">
        <v>80</v>
      </c>
      <c r="L1093">
        <v>79.929725646999998</v>
      </c>
      <c r="M1093">
        <v>50</v>
      </c>
      <c r="N1093">
        <v>45.119403839</v>
      </c>
    </row>
    <row r="1094" spans="1:14" x14ac:dyDescent="0.25">
      <c r="A1094">
        <v>886.52302699999996</v>
      </c>
      <c r="B1094" s="1">
        <f>DATE(2012,10,3) + TIME(12,33,9)</f>
        <v>41185.523020833331</v>
      </c>
      <c r="C1094">
        <v>2400</v>
      </c>
      <c r="D1094">
        <v>0</v>
      </c>
      <c r="E1094">
        <v>0</v>
      </c>
      <c r="F1094">
        <v>2400</v>
      </c>
      <c r="G1094">
        <v>1363.2922363</v>
      </c>
      <c r="H1094">
        <v>1354.2847899999999</v>
      </c>
      <c r="I1094">
        <v>1309.8337402</v>
      </c>
      <c r="J1094">
        <v>1298.578125</v>
      </c>
      <c r="K1094">
        <v>80</v>
      </c>
      <c r="L1094">
        <v>79.929801940999994</v>
      </c>
      <c r="M1094">
        <v>50</v>
      </c>
      <c r="N1094">
        <v>45.282443999999998</v>
      </c>
    </row>
    <row r="1095" spans="1:14" x14ac:dyDescent="0.25">
      <c r="A1095">
        <v>889.10256800000002</v>
      </c>
      <c r="B1095" s="1">
        <f>DATE(2012,10,6) + TIME(2,27,41)</f>
        <v>41188.10255787037</v>
      </c>
      <c r="C1095">
        <v>2400</v>
      </c>
      <c r="D1095">
        <v>0</v>
      </c>
      <c r="E1095">
        <v>0</v>
      </c>
      <c r="F1095">
        <v>2400</v>
      </c>
      <c r="G1095">
        <v>1363.2574463000001</v>
      </c>
      <c r="H1095">
        <v>1354.2567139</v>
      </c>
      <c r="I1095">
        <v>1309.8007812000001</v>
      </c>
      <c r="J1095">
        <v>1298.5251464999999</v>
      </c>
      <c r="K1095">
        <v>80</v>
      </c>
      <c r="L1095">
        <v>79.929870605000005</v>
      </c>
      <c r="M1095">
        <v>50</v>
      </c>
      <c r="N1095">
        <v>45.464805603000002</v>
      </c>
    </row>
    <row r="1096" spans="1:14" x14ac:dyDescent="0.25">
      <c r="A1096">
        <v>891.699161</v>
      </c>
      <c r="B1096" s="1">
        <f>DATE(2012,10,8) + TIME(16,46,47)</f>
        <v>41190.699155092596</v>
      </c>
      <c r="C1096">
        <v>2400</v>
      </c>
      <c r="D1096">
        <v>0</v>
      </c>
      <c r="E1096">
        <v>0</v>
      </c>
      <c r="F1096">
        <v>2400</v>
      </c>
      <c r="G1096">
        <v>1363.222168</v>
      </c>
      <c r="H1096">
        <v>1354.2281493999999</v>
      </c>
      <c r="I1096">
        <v>1309.7696533000001</v>
      </c>
      <c r="J1096">
        <v>1298.4764404</v>
      </c>
      <c r="K1096">
        <v>80</v>
      </c>
      <c r="L1096">
        <v>79.929939270000006</v>
      </c>
      <c r="M1096">
        <v>50</v>
      </c>
      <c r="N1096">
        <v>45.663986205999997</v>
      </c>
    </row>
    <row r="1097" spans="1:14" x14ac:dyDescent="0.25">
      <c r="A1097">
        <v>894.32092399999999</v>
      </c>
      <c r="B1097" s="1">
        <f>DATE(2012,10,11) + TIME(7,42,7)</f>
        <v>41193.320914351854</v>
      </c>
      <c r="C1097">
        <v>2400</v>
      </c>
      <c r="D1097">
        <v>0</v>
      </c>
      <c r="E1097">
        <v>0</v>
      </c>
      <c r="F1097">
        <v>2400</v>
      </c>
      <c r="G1097">
        <v>1363.1870117000001</v>
      </c>
      <c r="H1097">
        <v>1354.199707</v>
      </c>
      <c r="I1097">
        <v>1309.7407227000001</v>
      </c>
      <c r="J1097">
        <v>1298.4328613</v>
      </c>
      <c r="K1097">
        <v>80</v>
      </c>
      <c r="L1097">
        <v>79.930007935000006</v>
      </c>
      <c r="M1097">
        <v>50</v>
      </c>
      <c r="N1097">
        <v>45.878089905000003</v>
      </c>
    </row>
    <row r="1098" spans="1:14" x14ac:dyDescent="0.25">
      <c r="A1098">
        <v>896.97593700000004</v>
      </c>
      <c r="B1098" s="1">
        <f>DATE(2012,10,13) + TIME(23,25,20)</f>
        <v>41195.975925925923</v>
      </c>
      <c r="C1098">
        <v>2400</v>
      </c>
      <c r="D1098">
        <v>0</v>
      </c>
      <c r="E1098">
        <v>0</v>
      </c>
      <c r="F1098">
        <v>2400</v>
      </c>
      <c r="G1098">
        <v>1363.1519774999999</v>
      </c>
      <c r="H1098">
        <v>1354.1712646000001</v>
      </c>
      <c r="I1098">
        <v>1309.7143555</v>
      </c>
      <c r="J1098">
        <v>1298.3945312000001</v>
      </c>
      <c r="K1098">
        <v>80</v>
      </c>
      <c r="L1098">
        <v>79.930084229000002</v>
      </c>
      <c r="M1098">
        <v>50</v>
      </c>
      <c r="N1098">
        <v>46.106395720999998</v>
      </c>
    </row>
    <row r="1099" spans="1:14" x14ac:dyDescent="0.25">
      <c r="A1099">
        <v>899.64302999999995</v>
      </c>
      <c r="B1099" s="1">
        <f>DATE(2012,10,16) + TIME(15,25,57)</f>
        <v>41198.643020833333</v>
      </c>
      <c r="C1099">
        <v>2400</v>
      </c>
      <c r="D1099">
        <v>0</v>
      </c>
      <c r="E1099">
        <v>0</v>
      </c>
      <c r="F1099">
        <v>2400</v>
      </c>
      <c r="G1099">
        <v>1363.1168213000001</v>
      </c>
      <c r="H1099">
        <v>1354.1428223</v>
      </c>
      <c r="I1099">
        <v>1309.6906738</v>
      </c>
      <c r="J1099">
        <v>1298.3615723</v>
      </c>
      <c r="K1099">
        <v>80</v>
      </c>
      <c r="L1099">
        <v>79.930152892999999</v>
      </c>
      <c r="M1099">
        <v>50</v>
      </c>
      <c r="N1099">
        <v>46.347702026</v>
      </c>
    </row>
    <row r="1100" spans="1:14" x14ac:dyDescent="0.25">
      <c r="A1100">
        <v>902.32724399999995</v>
      </c>
      <c r="B1100" s="1">
        <f>DATE(2012,10,19) + TIME(7,51,13)</f>
        <v>41201.327233796299</v>
      </c>
      <c r="C1100">
        <v>2400</v>
      </c>
      <c r="D1100">
        <v>0</v>
      </c>
      <c r="E1100">
        <v>0</v>
      </c>
      <c r="F1100">
        <v>2400</v>
      </c>
      <c r="G1100">
        <v>1363.0819091999999</v>
      </c>
      <c r="H1100">
        <v>1354.1145019999999</v>
      </c>
      <c r="I1100">
        <v>1309.6699219</v>
      </c>
      <c r="J1100">
        <v>1298.3343506000001</v>
      </c>
      <c r="K1100">
        <v>80</v>
      </c>
      <c r="L1100">
        <v>79.930229186999995</v>
      </c>
      <c r="M1100">
        <v>50</v>
      </c>
      <c r="N1100">
        <v>46.600482941000003</v>
      </c>
    </row>
    <row r="1101" spans="1:14" x14ac:dyDescent="0.25">
      <c r="A1101">
        <v>905.03531199999998</v>
      </c>
      <c r="B1101" s="1">
        <f>DATE(2012,10,22) + TIME(0,50,50)</f>
        <v>41204.035300925927</v>
      </c>
      <c r="C1101">
        <v>2400</v>
      </c>
      <c r="D1101">
        <v>0</v>
      </c>
      <c r="E1101">
        <v>0</v>
      </c>
      <c r="F1101">
        <v>2400</v>
      </c>
      <c r="G1101">
        <v>1363.0471190999999</v>
      </c>
      <c r="H1101">
        <v>1354.0863036999999</v>
      </c>
      <c r="I1101">
        <v>1309.6519774999999</v>
      </c>
      <c r="J1101">
        <v>1298.3127440999999</v>
      </c>
      <c r="K1101">
        <v>80</v>
      </c>
      <c r="L1101">
        <v>79.930297851999995</v>
      </c>
      <c r="M1101">
        <v>50</v>
      </c>
      <c r="N1101">
        <v>46.863780974999997</v>
      </c>
    </row>
    <row r="1102" spans="1:14" x14ac:dyDescent="0.25">
      <c r="A1102">
        <v>907.77640799999995</v>
      </c>
      <c r="B1102" s="1">
        <f>DATE(2012,10,24) + TIME(18,38,1)</f>
        <v>41206.776400462964</v>
      </c>
      <c r="C1102">
        <v>2400</v>
      </c>
      <c r="D1102">
        <v>0</v>
      </c>
      <c r="E1102">
        <v>0</v>
      </c>
      <c r="F1102">
        <v>2400</v>
      </c>
      <c r="G1102">
        <v>1363.0124512</v>
      </c>
      <c r="H1102">
        <v>1354.0582274999999</v>
      </c>
      <c r="I1102">
        <v>1309.6368408000001</v>
      </c>
      <c r="J1102">
        <v>1298.2967529</v>
      </c>
      <c r="K1102">
        <v>80</v>
      </c>
      <c r="L1102">
        <v>79.930374146000005</v>
      </c>
      <c r="M1102">
        <v>50</v>
      </c>
      <c r="N1102">
        <v>47.136981964</v>
      </c>
    </row>
    <row r="1103" spans="1:14" x14ac:dyDescent="0.25">
      <c r="A1103">
        <v>910.57439299999999</v>
      </c>
      <c r="B1103" s="1">
        <f>DATE(2012,10,27) + TIME(13,47,7)</f>
        <v>41209.574386574073</v>
      </c>
      <c r="C1103">
        <v>2400</v>
      </c>
      <c r="D1103">
        <v>0</v>
      </c>
      <c r="E1103">
        <v>0</v>
      </c>
      <c r="F1103">
        <v>2400</v>
      </c>
      <c r="G1103">
        <v>1362.9779053</v>
      </c>
      <c r="H1103">
        <v>1354.0302733999999</v>
      </c>
      <c r="I1103">
        <v>1309.6245117000001</v>
      </c>
      <c r="J1103">
        <v>1298.2861327999999</v>
      </c>
      <c r="K1103">
        <v>80</v>
      </c>
      <c r="L1103">
        <v>79.930450438999998</v>
      </c>
      <c r="M1103">
        <v>50</v>
      </c>
      <c r="N1103">
        <v>47.420154572000001</v>
      </c>
    </row>
    <row r="1104" spans="1:14" x14ac:dyDescent="0.25">
      <c r="A1104">
        <v>913.41052000000002</v>
      </c>
      <c r="B1104" s="1">
        <f>DATE(2012,10,30) + TIME(9,51,8)</f>
        <v>41212.410509259258</v>
      </c>
      <c r="C1104">
        <v>2400</v>
      </c>
      <c r="D1104">
        <v>0</v>
      </c>
      <c r="E1104">
        <v>0</v>
      </c>
      <c r="F1104">
        <v>2400</v>
      </c>
      <c r="G1104">
        <v>1362.9429932</v>
      </c>
      <c r="H1104">
        <v>1354.0020752</v>
      </c>
      <c r="I1104">
        <v>1309.6152344</v>
      </c>
      <c r="J1104">
        <v>1298.2808838000001</v>
      </c>
      <c r="K1104">
        <v>80</v>
      </c>
      <c r="L1104">
        <v>79.930526732999994</v>
      </c>
      <c r="M1104">
        <v>50</v>
      </c>
      <c r="N1104">
        <v>47.712627411</v>
      </c>
    </row>
    <row r="1105" spans="1:14" x14ac:dyDescent="0.25">
      <c r="A1105">
        <v>915</v>
      </c>
      <c r="B1105" s="1">
        <f>DATE(2012,11,1) + TIME(0,0,0)</f>
        <v>41214</v>
      </c>
      <c r="C1105">
        <v>2400</v>
      </c>
      <c r="D1105">
        <v>0</v>
      </c>
      <c r="E1105">
        <v>0</v>
      </c>
      <c r="F1105">
        <v>2400</v>
      </c>
      <c r="G1105">
        <v>1362.9079589999999</v>
      </c>
      <c r="H1105">
        <v>1353.973999</v>
      </c>
      <c r="I1105">
        <v>1309.6184082</v>
      </c>
      <c r="J1105">
        <v>1298.2836914</v>
      </c>
      <c r="K1105">
        <v>80</v>
      </c>
      <c r="L1105">
        <v>79.930549622000001</v>
      </c>
      <c r="M1105">
        <v>50</v>
      </c>
      <c r="N1105">
        <v>47.948432922000002</v>
      </c>
    </row>
    <row r="1106" spans="1:14" x14ac:dyDescent="0.25">
      <c r="A1106">
        <v>915.000001</v>
      </c>
      <c r="B1106" s="1">
        <f>DATE(2012,11,1) + TIME(0,0,0)</f>
        <v>41214</v>
      </c>
      <c r="C1106">
        <v>0</v>
      </c>
      <c r="D1106">
        <v>2400</v>
      </c>
      <c r="E1106">
        <v>2400</v>
      </c>
      <c r="F1106">
        <v>0</v>
      </c>
      <c r="G1106">
        <v>1353.5382079999999</v>
      </c>
      <c r="H1106">
        <v>1349.8132324000001</v>
      </c>
      <c r="I1106">
        <v>1321.6691894999999</v>
      </c>
      <c r="J1106">
        <v>1310.1243896000001</v>
      </c>
      <c r="K1106">
        <v>80</v>
      </c>
      <c r="L1106">
        <v>79.930488585999996</v>
      </c>
      <c r="M1106">
        <v>50</v>
      </c>
      <c r="N1106">
        <v>47.948497772000003</v>
      </c>
    </row>
    <row r="1107" spans="1:14" x14ac:dyDescent="0.25">
      <c r="A1107">
        <v>915.00000399999999</v>
      </c>
      <c r="B1107" s="1">
        <f>DATE(2012,11,1) + TIME(0,0,0)</f>
        <v>41214</v>
      </c>
      <c r="C1107">
        <v>0</v>
      </c>
      <c r="D1107">
        <v>2400</v>
      </c>
      <c r="E1107">
        <v>2400</v>
      </c>
      <c r="F1107">
        <v>0</v>
      </c>
      <c r="G1107">
        <v>1352.4370117000001</v>
      </c>
      <c r="H1107">
        <v>1348.7116699000001</v>
      </c>
      <c r="I1107">
        <v>1322.880249</v>
      </c>
      <c r="J1107">
        <v>1311.4743652</v>
      </c>
      <c r="K1107">
        <v>80</v>
      </c>
      <c r="L1107">
        <v>79.930335998999993</v>
      </c>
      <c r="M1107">
        <v>50</v>
      </c>
      <c r="N1107">
        <v>47.948673247999999</v>
      </c>
    </row>
    <row r="1108" spans="1:14" x14ac:dyDescent="0.25">
      <c r="A1108">
        <v>915.00001299999997</v>
      </c>
      <c r="B1108" s="1">
        <f>DATE(2012,11,1) + TIME(0,0,1)</f>
        <v>41214.000011574077</v>
      </c>
      <c r="C1108">
        <v>0</v>
      </c>
      <c r="D1108">
        <v>2400</v>
      </c>
      <c r="E1108">
        <v>2400</v>
      </c>
      <c r="F1108">
        <v>0</v>
      </c>
      <c r="G1108">
        <v>1350.2137451000001</v>
      </c>
      <c r="H1108">
        <v>1346.4881591999999</v>
      </c>
      <c r="I1108">
        <v>1325.6906738</v>
      </c>
      <c r="J1108">
        <v>1314.5084228999999</v>
      </c>
      <c r="K1108">
        <v>80</v>
      </c>
      <c r="L1108">
        <v>79.930015564000001</v>
      </c>
      <c r="M1108">
        <v>50</v>
      </c>
      <c r="N1108">
        <v>47.949066162000001</v>
      </c>
    </row>
    <row r="1109" spans="1:14" x14ac:dyDescent="0.25">
      <c r="A1109">
        <v>915.00004000000001</v>
      </c>
      <c r="B1109" s="1">
        <f>DATE(2012,11,1) + TIME(0,0,3)</f>
        <v>41214.000034722223</v>
      </c>
      <c r="C1109">
        <v>0</v>
      </c>
      <c r="D1109">
        <v>2400</v>
      </c>
      <c r="E1109">
        <v>2400</v>
      </c>
      <c r="F1109">
        <v>0</v>
      </c>
      <c r="G1109">
        <v>1346.9654541</v>
      </c>
      <c r="H1109">
        <v>1343.2393798999999</v>
      </c>
      <c r="I1109">
        <v>1330.6207274999999</v>
      </c>
      <c r="J1109">
        <v>1319.572876</v>
      </c>
      <c r="K1109">
        <v>80</v>
      </c>
      <c r="L1109">
        <v>79.929550171000002</v>
      </c>
      <c r="M1109">
        <v>50</v>
      </c>
      <c r="N1109">
        <v>47.949733733999999</v>
      </c>
    </row>
    <row r="1110" spans="1:14" x14ac:dyDescent="0.25">
      <c r="A1110">
        <v>915.00012100000004</v>
      </c>
      <c r="B1110" s="1">
        <f>DATE(2012,11,1) + TIME(0,0,10)</f>
        <v>41214.000115740739</v>
      </c>
      <c r="C1110">
        <v>0</v>
      </c>
      <c r="D1110">
        <v>2400</v>
      </c>
      <c r="E1110">
        <v>2400</v>
      </c>
      <c r="F1110">
        <v>0</v>
      </c>
      <c r="G1110">
        <v>1343.3441161999999</v>
      </c>
      <c r="H1110">
        <v>1339.6148682</v>
      </c>
      <c r="I1110">
        <v>1336.9440918</v>
      </c>
      <c r="J1110">
        <v>1325.8763428</v>
      </c>
      <c r="K1110">
        <v>80</v>
      </c>
      <c r="L1110">
        <v>79.929031371999997</v>
      </c>
      <c r="M1110">
        <v>50</v>
      </c>
      <c r="N1110">
        <v>47.950630187999998</v>
      </c>
    </row>
    <row r="1111" spans="1:14" x14ac:dyDescent="0.25">
      <c r="A1111">
        <v>915.00036399999999</v>
      </c>
      <c r="B1111" s="1">
        <f>DATE(2012,11,1) + TIME(0,0,31)</f>
        <v>41214.000358796293</v>
      </c>
      <c r="C1111">
        <v>0</v>
      </c>
      <c r="D1111">
        <v>2400</v>
      </c>
      <c r="E1111">
        <v>2400</v>
      </c>
      <c r="F1111">
        <v>0</v>
      </c>
      <c r="G1111">
        <v>1339.6682129000001</v>
      </c>
      <c r="H1111">
        <v>1335.9057617000001</v>
      </c>
      <c r="I1111">
        <v>1343.6544189000001</v>
      </c>
      <c r="J1111">
        <v>1332.5351562000001</v>
      </c>
      <c r="K1111">
        <v>80</v>
      </c>
      <c r="L1111">
        <v>79.928474425999994</v>
      </c>
      <c r="M1111">
        <v>50</v>
      </c>
      <c r="N1111">
        <v>47.951789855999998</v>
      </c>
    </row>
    <row r="1112" spans="1:14" x14ac:dyDescent="0.25">
      <c r="A1112">
        <v>915.00109299999997</v>
      </c>
      <c r="B1112" s="1">
        <f>DATE(2012,11,1) + TIME(0,1,34)</f>
        <v>41214.001087962963</v>
      </c>
      <c r="C1112">
        <v>0</v>
      </c>
      <c r="D1112">
        <v>2400</v>
      </c>
      <c r="E1112">
        <v>2400</v>
      </c>
      <c r="F1112">
        <v>0</v>
      </c>
      <c r="G1112">
        <v>1335.8597411999999</v>
      </c>
      <c r="H1112">
        <v>1331.9508057</v>
      </c>
      <c r="I1112">
        <v>1350.5075684000001</v>
      </c>
      <c r="J1112">
        <v>1339.3295897999999</v>
      </c>
      <c r="K1112">
        <v>80</v>
      </c>
      <c r="L1112">
        <v>79.927833557</v>
      </c>
      <c r="M1112">
        <v>50</v>
      </c>
      <c r="N1112">
        <v>47.953628539999997</v>
      </c>
    </row>
    <row r="1113" spans="1:14" x14ac:dyDescent="0.25">
      <c r="A1113">
        <v>915.00328000000002</v>
      </c>
      <c r="B1113" s="1">
        <f>DATE(2012,11,1) + TIME(0,4,43)</f>
        <v>41214.003275462965</v>
      </c>
      <c r="C1113">
        <v>0</v>
      </c>
      <c r="D1113">
        <v>2400</v>
      </c>
      <c r="E1113">
        <v>2400</v>
      </c>
      <c r="F1113">
        <v>0</v>
      </c>
      <c r="G1113">
        <v>1331.9045410000001</v>
      </c>
      <c r="H1113">
        <v>1327.6630858999999</v>
      </c>
      <c r="I1113">
        <v>1357.2673339999999</v>
      </c>
      <c r="J1113">
        <v>1345.9870605000001</v>
      </c>
      <c r="K1113">
        <v>80</v>
      </c>
      <c r="L1113">
        <v>79.926963806000003</v>
      </c>
      <c r="M1113">
        <v>50</v>
      </c>
      <c r="N1113">
        <v>47.957439422999997</v>
      </c>
    </row>
    <row r="1114" spans="1:14" x14ac:dyDescent="0.25">
      <c r="A1114">
        <v>915.00984100000005</v>
      </c>
      <c r="B1114" s="1">
        <f>DATE(2012,11,1) + TIME(0,14,10)</f>
        <v>41214.009837962964</v>
      </c>
      <c r="C1114">
        <v>0</v>
      </c>
      <c r="D1114">
        <v>2400</v>
      </c>
      <c r="E1114">
        <v>2400</v>
      </c>
      <c r="F1114">
        <v>0</v>
      </c>
      <c r="G1114">
        <v>1328.2486572</v>
      </c>
      <c r="H1114">
        <v>1323.6461182</v>
      </c>
      <c r="I1114">
        <v>1362.9443358999999</v>
      </c>
      <c r="J1114">
        <v>1351.5433350000001</v>
      </c>
      <c r="K1114">
        <v>80</v>
      </c>
      <c r="L1114">
        <v>79.925453185999999</v>
      </c>
      <c r="M1114">
        <v>50</v>
      </c>
      <c r="N1114">
        <v>47.967132567999997</v>
      </c>
    </row>
    <row r="1115" spans="1:14" x14ac:dyDescent="0.25">
      <c r="A1115">
        <v>915.02952400000004</v>
      </c>
      <c r="B1115" s="1">
        <f>DATE(2012,11,1) + TIME(0,42,30)</f>
        <v>41214.029513888891</v>
      </c>
      <c r="C1115">
        <v>0</v>
      </c>
      <c r="D1115">
        <v>2400</v>
      </c>
      <c r="E1115">
        <v>2400</v>
      </c>
      <c r="F1115">
        <v>0</v>
      </c>
      <c r="G1115">
        <v>1325.5952147999999</v>
      </c>
      <c r="H1115">
        <v>1320.8071289</v>
      </c>
      <c r="I1115">
        <v>1366.4365233999999</v>
      </c>
      <c r="J1115">
        <v>1354.9428711</v>
      </c>
      <c r="K1115">
        <v>80</v>
      </c>
      <c r="L1115">
        <v>79.922065735000004</v>
      </c>
      <c r="M1115">
        <v>50</v>
      </c>
      <c r="N1115">
        <v>47.994407654</v>
      </c>
    </row>
    <row r="1116" spans="1:14" x14ac:dyDescent="0.25">
      <c r="A1116">
        <v>915.088573</v>
      </c>
      <c r="B1116" s="1">
        <f>DATE(2012,11,1) + TIME(2,7,32)</f>
        <v>41214.088564814818</v>
      </c>
      <c r="C1116">
        <v>0</v>
      </c>
      <c r="D1116">
        <v>2400</v>
      </c>
      <c r="E1116">
        <v>2400</v>
      </c>
      <c r="F1116">
        <v>0</v>
      </c>
      <c r="G1116">
        <v>1324.2960204999999</v>
      </c>
      <c r="H1116">
        <v>1319.4571533000001</v>
      </c>
      <c r="I1116">
        <v>1367.6862793</v>
      </c>
      <c r="J1116">
        <v>1356.1651611</v>
      </c>
      <c r="K1116">
        <v>80</v>
      </c>
      <c r="L1116">
        <v>79.912971497000001</v>
      </c>
      <c r="M1116">
        <v>50</v>
      </c>
      <c r="N1116">
        <v>48.072158813000001</v>
      </c>
    </row>
    <row r="1117" spans="1:14" x14ac:dyDescent="0.25">
      <c r="A1117">
        <v>915.18657499999995</v>
      </c>
      <c r="B1117" s="1">
        <f>DATE(2012,11,1) + TIME(4,28,40)</f>
        <v>41214.186574074076</v>
      </c>
      <c r="C1117">
        <v>0</v>
      </c>
      <c r="D1117">
        <v>2400</v>
      </c>
      <c r="E1117">
        <v>2400</v>
      </c>
      <c r="F1117">
        <v>0</v>
      </c>
      <c r="G1117">
        <v>1323.9757079999999</v>
      </c>
      <c r="H1117">
        <v>1319.1301269999999</v>
      </c>
      <c r="I1117">
        <v>1367.7706298999999</v>
      </c>
      <c r="J1117">
        <v>1356.2779541</v>
      </c>
      <c r="K1117">
        <v>80</v>
      </c>
      <c r="L1117">
        <v>79.898498535000002</v>
      </c>
      <c r="M1117">
        <v>50</v>
      </c>
      <c r="N1117">
        <v>48.192558288999997</v>
      </c>
    </row>
    <row r="1118" spans="1:14" x14ac:dyDescent="0.25">
      <c r="A1118">
        <v>915.28841999999997</v>
      </c>
      <c r="B1118" s="1">
        <f>DATE(2012,11,1) + TIME(6,55,19)</f>
        <v>41214.288414351853</v>
      </c>
      <c r="C1118">
        <v>0</v>
      </c>
      <c r="D1118">
        <v>2400</v>
      </c>
      <c r="E1118">
        <v>2400</v>
      </c>
      <c r="F1118">
        <v>0</v>
      </c>
      <c r="G1118">
        <v>1323.9134521000001</v>
      </c>
      <c r="H1118">
        <v>1319.0676269999999</v>
      </c>
      <c r="I1118">
        <v>1367.6815185999999</v>
      </c>
      <c r="J1118">
        <v>1356.2220459</v>
      </c>
      <c r="K1118">
        <v>80</v>
      </c>
      <c r="L1118">
        <v>79.883697510000005</v>
      </c>
      <c r="M1118">
        <v>50</v>
      </c>
      <c r="N1118">
        <v>48.309162139999998</v>
      </c>
    </row>
    <row r="1119" spans="1:14" x14ac:dyDescent="0.25">
      <c r="A1119">
        <v>915.394408</v>
      </c>
      <c r="B1119" s="1">
        <f>DATE(2012,11,1) + TIME(9,27,56)</f>
        <v>41214.39439814815</v>
      </c>
      <c r="C1119">
        <v>0</v>
      </c>
      <c r="D1119">
        <v>2400</v>
      </c>
      <c r="E1119">
        <v>2400</v>
      </c>
      <c r="F1119">
        <v>0</v>
      </c>
      <c r="G1119">
        <v>1323.8968506000001</v>
      </c>
      <c r="H1119">
        <v>1319.0516356999999</v>
      </c>
      <c r="I1119">
        <v>1367.5816649999999</v>
      </c>
      <c r="J1119">
        <v>1356.1556396000001</v>
      </c>
      <c r="K1119">
        <v>80</v>
      </c>
      <c r="L1119">
        <v>79.868499756000006</v>
      </c>
      <c r="M1119">
        <v>50</v>
      </c>
      <c r="N1119">
        <v>48.421985626000001</v>
      </c>
    </row>
    <row r="1120" spans="1:14" x14ac:dyDescent="0.25">
      <c r="A1120">
        <v>915.50492099999997</v>
      </c>
      <c r="B1120" s="1">
        <f>DATE(2012,11,1) + TIME(12,7,5)</f>
        <v>41214.504918981482</v>
      </c>
      <c r="C1120">
        <v>0</v>
      </c>
      <c r="D1120">
        <v>2400</v>
      </c>
      <c r="E1120">
        <v>2400</v>
      </c>
      <c r="F1120">
        <v>0</v>
      </c>
      <c r="G1120">
        <v>1323.8895264</v>
      </c>
      <c r="H1120">
        <v>1319.0449219</v>
      </c>
      <c r="I1120">
        <v>1367.4865723</v>
      </c>
      <c r="J1120">
        <v>1356.0930175999999</v>
      </c>
      <c r="K1120">
        <v>80</v>
      </c>
      <c r="L1120">
        <v>79.852882385000001</v>
      </c>
      <c r="M1120">
        <v>50</v>
      </c>
      <c r="N1120">
        <v>48.531055449999997</v>
      </c>
    </row>
    <row r="1121" spans="1:14" x14ac:dyDescent="0.25">
      <c r="A1121">
        <v>915.620406</v>
      </c>
      <c r="B1121" s="1">
        <f>DATE(2012,11,1) + TIME(14,53,23)</f>
        <v>41214.620405092595</v>
      </c>
      <c r="C1121">
        <v>0</v>
      </c>
      <c r="D1121">
        <v>2400</v>
      </c>
      <c r="E1121">
        <v>2400</v>
      </c>
      <c r="F1121">
        <v>0</v>
      </c>
      <c r="G1121">
        <v>1323.8840332</v>
      </c>
      <c r="H1121">
        <v>1319.0401611</v>
      </c>
      <c r="I1121">
        <v>1367.3962402</v>
      </c>
      <c r="J1121">
        <v>1356.0336914</v>
      </c>
      <c r="K1121">
        <v>80</v>
      </c>
      <c r="L1121">
        <v>79.836784363000007</v>
      </c>
      <c r="M1121">
        <v>50</v>
      </c>
      <c r="N1121">
        <v>48.636398315000001</v>
      </c>
    </row>
    <row r="1122" spans="1:14" x14ac:dyDescent="0.25">
      <c r="A1122">
        <v>915.74139000000002</v>
      </c>
      <c r="B1122" s="1">
        <f>DATE(2012,11,1) + TIME(17,47,36)</f>
        <v>41214.741388888891</v>
      </c>
      <c r="C1122">
        <v>0</v>
      </c>
      <c r="D1122">
        <v>2400</v>
      </c>
      <c r="E1122">
        <v>2400</v>
      </c>
      <c r="F1122">
        <v>0</v>
      </c>
      <c r="G1122">
        <v>1323.8790283000001</v>
      </c>
      <c r="H1122">
        <v>1319.0356445</v>
      </c>
      <c r="I1122">
        <v>1367.3095702999999</v>
      </c>
      <c r="J1122">
        <v>1355.9769286999999</v>
      </c>
      <c r="K1122">
        <v>80</v>
      </c>
      <c r="L1122">
        <v>79.820159911999994</v>
      </c>
      <c r="M1122">
        <v>50</v>
      </c>
      <c r="N1122">
        <v>48.738052367999998</v>
      </c>
    </row>
    <row r="1123" spans="1:14" x14ac:dyDescent="0.25">
      <c r="A1123">
        <v>915.86849700000005</v>
      </c>
      <c r="B1123" s="1">
        <f>DATE(2012,11,1) + TIME(20,50,38)</f>
        <v>41214.868495370371</v>
      </c>
      <c r="C1123">
        <v>0</v>
      </c>
      <c r="D1123">
        <v>2400</v>
      </c>
      <c r="E1123">
        <v>2400</v>
      </c>
      <c r="F1123">
        <v>0</v>
      </c>
      <c r="G1123">
        <v>1323.8740233999999</v>
      </c>
      <c r="H1123">
        <v>1319.0310059000001</v>
      </c>
      <c r="I1123">
        <v>1367.2263184000001</v>
      </c>
      <c r="J1123">
        <v>1355.9222411999999</v>
      </c>
      <c r="K1123">
        <v>80</v>
      </c>
      <c r="L1123">
        <v>79.802947997999993</v>
      </c>
      <c r="M1123">
        <v>50</v>
      </c>
      <c r="N1123">
        <v>48.836044311999999</v>
      </c>
    </row>
    <row r="1124" spans="1:14" x14ac:dyDescent="0.25">
      <c r="A1124">
        <v>916.00243899999998</v>
      </c>
      <c r="B1124" s="1">
        <f>DATE(2012,11,2) + TIME(0,3,30)</f>
        <v>41215.002430555556</v>
      </c>
      <c r="C1124">
        <v>0</v>
      </c>
      <c r="D1124">
        <v>2400</v>
      </c>
      <c r="E1124">
        <v>2400</v>
      </c>
      <c r="F1124">
        <v>0</v>
      </c>
      <c r="G1124">
        <v>1323.8688964999999</v>
      </c>
      <c r="H1124">
        <v>1319.0262451000001</v>
      </c>
      <c r="I1124">
        <v>1367.1462402</v>
      </c>
      <c r="J1124">
        <v>1355.8696289</v>
      </c>
      <c r="K1124">
        <v>80</v>
      </c>
      <c r="L1124">
        <v>79.785072326999995</v>
      </c>
      <c r="M1124">
        <v>50</v>
      </c>
      <c r="N1124">
        <v>48.930389404000003</v>
      </c>
    </row>
    <row r="1125" spans="1:14" x14ac:dyDescent="0.25">
      <c r="A1125">
        <v>916.144049</v>
      </c>
      <c r="B1125" s="1">
        <f>DATE(2012,11,2) + TIME(3,27,25)</f>
        <v>41215.14403935185</v>
      </c>
      <c r="C1125">
        <v>0</v>
      </c>
      <c r="D1125">
        <v>2400</v>
      </c>
      <c r="E1125">
        <v>2400</v>
      </c>
      <c r="F1125">
        <v>0</v>
      </c>
      <c r="G1125">
        <v>1323.8635254000001</v>
      </c>
      <c r="H1125">
        <v>1319.0211182</v>
      </c>
      <c r="I1125">
        <v>1367.0689697</v>
      </c>
      <c r="J1125">
        <v>1355.8188477000001</v>
      </c>
      <c r="K1125">
        <v>80</v>
      </c>
      <c r="L1125">
        <v>79.766464232999994</v>
      </c>
      <c r="M1125">
        <v>50</v>
      </c>
      <c r="N1125">
        <v>49.021091460999997</v>
      </c>
    </row>
    <row r="1126" spans="1:14" x14ac:dyDescent="0.25">
      <c r="A1126">
        <v>916.29431099999999</v>
      </c>
      <c r="B1126" s="1">
        <f>DATE(2012,11,2) + TIME(7,3,48)</f>
        <v>41215.294305555559</v>
      </c>
      <c r="C1126">
        <v>0</v>
      </c>
      <c r="D1126">
        <v>2400</v>
      </c>
      <c r="E1126">
        <v>2400</v>
      </c>
      <c r="F1126">
        <v>0</v>
      </c>
      <c r="G1126">
        <v>1323.8579102000001</v>
      </c>
      <c r="H1126">
        <v>1319.015625</v>
      </c>
      <c r="I1126">
        <v>1366.9943848</v>
      </c>
      <c r="J1126">
        <v>1355.7696533000001</v>
      </c>
      <c r="K1126">
        <v>80</v>
      </c>
      <c r="L1126">
        <v>79.747024535999998</v>
      </c>
      <c r="M1126">
        <v>50</v>
      </c>
      <c r="N1126">
        <v>49.108135222999998</v>
      </c>
    </row>
    <row r="1127" spans="1:14" x14ac:dyDescent="0.25">
      <c r="A1127">
        <v>916.45440099999996</v>
      </c>
      <c r="B1127" s="1">
        <f>DATE(2012,11,2) + TIME(10,54,20)</f>
        <v>41215.454398148147</v>
      </c>
      <c r="C1127">
        <v>0</v>
      </c>
      <c r="D1127">
        <v>2400</v>
      </c>
      <c r="E1127">
        <v>2400</v>
      </c>
      <c r="F1127">
        <v>0</v>
      </c>
      <c r="G1127">
        <v>1323.8520507999999</v>
      </c>
      <c r="H1127">
        <v>1319.0098877</v>
      </c>
      <c r="I1127">
        <v>1366.9223632999999</v>
      </c>
      <c r="J1127">
        <v>1355.7219238</v>
      </c>
      <c r="K1127">
        <v>80</v>
      </c>
      <c r="L1127">
        <v>79.726646423000005</v>
      </c>
      <c r="M1127">
        <v>50</v>
      </c>
      <c r="N1127">
        <v>49.191501617</v>
      </c>
    </row>
    <row r="1128" spans="1:14" x14ac:dyDescent="0.25">
      <c r="A1128">
        <v>916.62573599999996</v>
      </c>
      <c r="B1128" s="1">
        <f>DATE(2012,11,2) + TIME(15,1,3)</f>
        <v>41215.62572916667</v>
      </c>
      <c r="C1128">
        <v>0</v>
      </c>
      <c r="D1128">
        <v>2400</v>
      </c>
      <c r="E1128">
        <v>2400</v>
      </c>
      <c r="F1128">
        <v>0</v>
      </c>
      <c r="G1128">
        <v>1323.8459473</v>
      </c>
      <c r="H1128">
        <v>1319.0036620999999</v>
      </c>
      <c r="I1128">
        <v>1366.8526611</v>
      </c>
      <c r="J1128">
        <v>1355.6756591999999</v>
      </c>
      <c r="K1128">
        <v>80</v>
      </c>
      <c r="L1128">
        <v>79.705200195000003</v>
      </c>
      <c r="M1128">
        <v>50</v>
      </c>
      <c r="N1128">
        <v>49.271156310999999</v>
      </c>
    </row>
    <row r="1129" spans="1:14" x14ac:dyDescent="0.25">
      <c r="A1129">
        <v>916.81004600000006</v>
      </c>
      <c r="B1129" s="1">
        <f>DATE(2012,11,2) + TIME(19,26,27)</f>
        <v>41215.810034722221</v>
      </c>
      <c r="C1129">
        <v>0</v>
      </c>
      <c r="D1129">
        <v>2400</v>
      </c>
      <c r="E1129">
        <v>2400</v>
      </c>
      <c r="F1129">
        <v>0</v>
      </c>
      <c r="G1129">
        <v>1323.8394774999999</v>
      </c>
      <c r="H1129">
        <v>1318.9969481999999</v>
      </c>
      <c r="I1129">
        <v>1366.7850341999999</v>
      </c>
      <c r="J1129">
        <v>1355.6307373</v>
      </c>
      <c r="K1129">
        <v>80</v>
      </c>
      <c r="L1129">
        <v>79.682518005000006</v>
      </c>
      <c r="M1129">
        <v>50</v>
      </c>
      <c r="N1129">
        <v>49.347057343000003</v>
      </c>
    </row>
    <row r="1130" spans="1:14" x14ac:dyDescent="0.25">
      <c r="A1130">
        <v>917.00947199999996</v>
      </c>
      <c r="B1130" s="1">
        <f>DATE(2012,11,3) + TIME(0,13,38)</f>
        <v>41216.009467592594</v>
      </c>
      <c r="C1130">
        <v>0</v>
      </c>
      <c r="D1130">
        <v>2400</v>
      </c>
      <c r="E1130">
        <v>2400</v>
      </c>
      <c r="F1130">
        <v>0</v>
      </c>
      <c r="G1130">
        <v>1323.8326416</v>
      </c>
      <c r="H1130">
        <v>1318.9897461</v>
      </c>
      <c r="I1130">
        <v>1366.7194824000001</v>
      </c>
      <c r="J1130">
        <v>1355.5867920000001</v>
      </c>
      <c r="K1130">
        <v>80</v>
      </c>
      <c r="L1130">
        <v>79.658416747999993</v>
      </c>
      <c r="M1130">
        <v>50</v>
      </c>
      <c r="N1130">
        <v>49.419136047000002</v>
      </c>
    </row>
    <row r="1131" spans="1:14" x14ac:dyDescent="0.25">
      <c r="A1131">
        <v>917.22670300000004</v>
      </c>
      <c r="B1131" s="1">
        <f>DATE(2012,11,3) + TIME(5,26,27)</f>
        <v>41216.226701388892</v>
      </c>
      <c r="C1131">
        <v>0</v>
      </c>
      <c r="D1131">
        <v>2400</v>
      </c>
      <c r="E1131">
        <v>2400</v>
      </c>
      <c r="F1131">
        <v>0</v>
      </c>
      <c r="G1131">
        <v>1323.8251952999999</v>
      </c>
      <c r="H1131">
        <v>1318.9818115</v>
      </c>
      <c r="I1131">
        <v>1366.6555175999999</v>
      </c>
      <c r="J1131">
        <v>1355.5438231999999</v>
      </c>
      <c r="K1131">
        <v>80</v>
      </c>
      <c r="L1131">
        <v>79.632659911999994</v>
      </c>
      <c r="M1131">
        <v>50</v>
      </c>
      <c r="N1131">
        <v>49.487323760999999</v>
      </c>
    </row>
    <row r="1132" spans="1:14" x14ac:dyDescent="0.25">
      <c r="A1132">
        <v>917.46512900000005</v>
      </c>
      <c r="B1132" s="1">
        <f>DATE(2012,11,3) + TIME(11,9,47)</f>
        <v>41216.465127314812</v>
      </c>
      <c r="C1132">
        <v>0</v>
      </c>
      <c r="D1132">
        <v>2400</v>
      </c>
      <c r="E1132">
        <v>2400</v>
      </c>
      <c r="F1132">
        <v>0</v>
      </c>
      <c r="G1132">
        <v>1323.8171387</v>
      </c>
      <c r="H1132">
        <v>1318.9731445</v>
      </c>
      <c r="I1132">
        <v>1366.5932617000001</v>
      </c>
      <c r="J1132">
        <v>1355.5015868999999</v>
      </c>
      <c r="K1132">
        <v>80</v>
      </c>
      <c r="L1132">
        <v>79.604942321999999</v>
      </c>
      <c r="M1132">
        <v>50</v>
      </c>
      <c r="N1132">
        <v>49.551506042</v>
      </c>
    </row>
    <row r="1133" spans="1:14" x14ac:dyDescent="0.25">
      <c r="A1133">
        <v>917.72926299999995</v>
      </c>
      <c r="B1133" s="1">
        <f>DATE(2012,11,3) + TIME(17,30,8)</f>
        <v>41216.729259259257</v>
      </c>
      <c r="C1133">
        <v>0</v>
      </c>
      <c r="D1133">
        <v>2400</v>
      </c>
      <c r="E1133">
        <v>2400</v>
      </c>
      <c r="F1133">
        <v>0</v>
      </c>
      <c r="G1133">
        <v>1323.8084716999999</v>
      </c>
      <c r="H1133">
        <v>1318.9636230000001</v>
      </c>
      <c r="I1133">
        <v>1366.5321045000001</v>
      </c>
      <c r="J1133">
        <v>1355.4598389</v>
      </c>
      <c r="K1133">
        <v>80</v>
      </c>
      <c r="L1133">
        <v>79.574890136999997</v>
      </c>
      <c r="M1133">
        <v>50</v>
      </c>
      <c r="N1133">
        <v>49.611583709999998</v>
      </c>
    </row>
    <row r="1134" spans="1:14" x14ac:dyDescent="0.25">
      <c r="A1134">
        <v>918.02510400000006</v>
      </c>
      <c r="B1134" s="1">
        <f>DATE(2012,11,4) + TIME(0,36,8)</f>
        <v>41217.025092592594</v>
      </c>
      <c r="C1134">
        <v>0</v>
      </c>
      <c r="D1134">
        <v>2400</v>
      </c>
      <c r="E1134">
        <v>2400</v>
      </c>
      <c r="F1134">
        <v>0</v>
      </c>
      <c r="G1134">
        <v>1323.7988281</v>
      </c>
      <c r="H1134">
        <v>1318.9530029</v>
      </c>
      <c r="I1134">
        <v>1366.4720459</v>
      </c>
      <c r="J1134">
        <v>1355.418457</v>
      </c>
      <c r="K1134">
        <v>80</v>
      </c>
      <c r="L1134">
        <v>79.541992187999995</v>
      </c>
      <c r="M1134">
        <v>50</v>
      </c>
      <c r="N1134">
        <v>49.667419434000003</v>
      </c>
    </row>
    <row r="1135" spans="1:14" x14ac:dyDescent="0.25">
      <c r="A1135">
        <v>918.36089100000004</v>
      </c>
      <c r="B1135" s="1">
        <f>DATE(2012,11,4) + TIME(8,39,41)</f>
        <v>41217.360891203702</v>
      </c>
      <c r="C1135">
        <v>0</v>
      </c>
      <c r="D1135">
        <v>2400</v>
      </c>
      <c r="E1135">
        <v>2400</v>
      </c>
      <c r="F1135">
        <v>0</v>
      </c>
      <c r="G1135">
        <v>1323.7879639</v>
      </c>
      <c r="H1135">
        <v>1318.940918</v>
      </c>
      <c r="I1135">
        <v>1366.4125977000001</v>
      </c>
      <c r="J1135">
        <v>1355.3771973</v>
      </c>
      <c r="K1135">
        <v>80</v>
      </c>
      <c r="L1135">
        <v>79.505577087000006</v>
      </c>
      <c r="M1135">
        <v>50</v>
      </c>
      <c r="N1135">
        <v>49.718845367</v>
      </c>
    </row>
    <row r="1136" spans="1:14" x14ac:dyDescent="0.25">
      <c r="A1136">
        <v>918.74833799999999</v>
      </c>
      <c r="B1136" s="1">
        <f>DATE(2012,11,4) + TIME(17,57,36)</f>
        <v>41217.748333333337</v>
      </c>
      <c r="C1136">
        <v>0</v>
      </c>
      <c r="D1136">
        <v>2400</v>
      </c>
      <c r="E1136">
        <v>2400</v>
      </c>
      <c r="F1136">
        <v>0</v>
      </c>
      <c r="G1136">
        <v>1323.7757568</v>
      </c>
      <c r="H1136">
        <v>1318.927124</v>
      </c>
      <c r="I1136">
        <v>1366.3533935999999</v>
      </c>
      <c r="J1136">
        <v>1355.3356934000001</v>
      </c>
      <c r="K1136">
        <v>80</v>
      </c>
      <c r="L1136">
        <v>79.464729309000006</v>
      </c>
      <c r="M1136">
        <v>50</v>
      </c>
      <c r="N1136">
        <v>49.765674591</v>
      </c>
    </row>
    <row r="1137" spans="1:14" x14ac:dyDescent="0.25">
      <c r="A1137">
        <v>919.16362800000002</v>
      </c>
      <c r="B1137" s="1">
        <f>DATE(2012,11,5) + TIME(3,55,37)</f>
        <v>41218.163622685184</v>
      </c>
      <c r="C1137">
        <v>0</v>
      </c>
      <c r="D1137">
        <v>2400</v>
      </c>
      <c r="E1137">
        <v>2400</v>
      </c>
      <c r="F1137">
        <v>0</v>
      </c>
      <c r="G1137">
        <v>1323.7618408000001</v>
      </c>
      <c r="H1137">
        <v>1318.9111327999999</v>
      </c>
      <c r="I1137">
        <v>1366.2990723</v>
      </c>
      <c r="J1137">
        <v>1355.2967529</v>
      </c>
      <c r="K1137">
        <v>80</v>
      </c>
      <c r="L1137">
        <v>79.421630859000004</v>
      </c>
      <c r="M1137">
        <v>50</v>
      </c>
      <c r="N1137">
        <v>49.804721831999998</v>
      </c>
    </row>
    <row r="1138" spans="1:14" x14ac:dyDescent="0.25">
      <c r="A1138">
        <v>919.58333600000003</v>
      </c>
      <c r="B1138" s="1">
        <f>DATE(2012,11,5) + TIME(14,0,0)</f>
        <v>41218.583333333336</v>
      </c>
      <c r="C1138">
        <v>0</v>
      </c>
      <c r="D1138">
        <v>2400</v>
      </c>
      <c r="E1138">
        <v>2400</v>
      </c>
      <c r="F1138">
        <v>0</v>
      </c>
      <c r="G1138">
        <v>1323.7468262</v>
      </c>
      <c r="H1138">
        <v>1318.8937988</v>
      </c>
      <c r="I1138">
        <v>1366.2504882999999</v>
      </c>
      <c r="J1138">
        <v>1355.2613524999999</v>
      </c>
      <c r="K1138">
        <v>80</v>
      </c>
      <c r="L1138">
        <v>79.378318786999998</v>
      </c>
      <c r="M1138">
        <v>50</v>
      </c>
      <c r="N1138">
        <v>49.835372925000001</v>
      </c>
    </row>
    <row r="1139" spans="1:14" x14ac:dyDescent="0.25">
      <c r="A1139">
        <v>920.01297099999999</v>
      </c>
      <c r="B1139" s="1">
        <f>DATE(2012,11,6) + TIME(0,18,40)</f>
        <v>41219.012962962966</v>
      </c>
      <c r="C1139">
        <v>0</v>
      </c>
      <c r="D1139">
        <v>2400</v>
      </c>
      <c r="E1139">
        <v>2400</v>
      </c>
      <c r="F1139">
        <v>0</v>
      </c>
      <c r="G1139">
        <v>1323.7314452999999</v>
      </c>
      <c r="H1139">
        <v>1318.8760986</v>
      </c>
      <c r="I1139">
        <v>1366.2058105000001</v>
      </c>
      <c r="J1139">
        <v>1355.2285156</v>
      </c>
      <c r="K1139">
        <v>80</v>
      </c>
      <c r="L1139">
        <v>79.334335327000005</v>
      </c>
      <c r="M1139">
        <v>50</v>
      </c>
      <c r="N1139">
        <v>49.859642029</v>
      </c>
    </row>
    <row r="1140" spans="1:14" x14ac:dyDescent="0.25">
      <c r="A1140">
        <v>920.45576700000004</v>
      </c>
      <c r="B1140" s="1">
        <f>DATE(2012,11,6) + TIME(10,56,18)</f>
        <v>41219.455763888887</v>
      </c>
      <c r="C1140">
        <v>0</v>
      </c>
      <c r="D1140">
        <v>2400</v>
      </c>
      <c r="E1140">
        <v>2400</v>
      </c>
      <c r="F1140">
        <v>0</v>
      </c>
      <c r="G1140">
        <v>1323.7155762</v>
      </c>
      <c r="H1140">
        <v>1318.8575439000001</v>
      </c>
      <c r="I1140">
        <v>1366.1643065999999</v>
      </c>
      <c r="J1140">
        <v>1355.1975098</v>
      </c>
      <c r="K1140">
        <v>80</v>
      </c>
      <c r="L1140">
        <v>79.289428710999999</v>
      </c>
      <c r="M1140">
        <v>50</v>
      </c>
      <c r="N1140">
        <v>49.878871918000002</v>
      </c>
    </row>
    <row r="1141" spans="1:14" x14ac:dyDescent="0.25">
      <c r="A1141">
        <v>920.91523900000004</v>
      </c>
      <c r="B1141" s="1">
        <f>DATE(2012,11,6) + TIME(21,57,56)</f>
        <v>41219.915231481478</v>
      </c>
      <c r="C1141">
        <v>0</v>
      </c>
      <c r="D1141">
        <v>2400</v>
      </c>
      <c r="E1141">
        <v>2400</v>
      </c>
      <c r="F1141">
        <v>0</v>
      </c>
      <c r="G1141">
        <v>1323.6990966999999</v>
      </c>
      <c r="H1141">
        <v>1318.8381348</v>
      </c>
      <c r="I1141">
        <v>1366.1252440999999</v>
      </c>
      <c r="J1141">
        <v>1355.1680908000001</v>
      </c>
      <c r="K1141">
        <v>80</v>
      </c>
      <c r="L1141">
        <v>79.243309021000002</v>
      </c>
      <c r="M1141">
        <v>50</v>
      </c>
      <c r="N1141">
        <v>49.894104003999999</v>
      </c>
    </row>
    <row r="1142" spans="1:14" x14ac:dyDescent="0.25">
      <c r="A1142">
        <v>921.39517499999999</v>
      </c>
      <c r="B1142" s="1">
        <f>DATE(2012,11,7) + TIME(9,29,3)</f>
        <v>41220.395173611112</v>
      </c>
      <c r="C1142">
        <v>0</v>
      </c>
      <c r="D1142">
        <v>2400</v>
      </c>
      <c r="E1142">
        <v>2400</v>
      </c>
      <c r="F1142">
        <v>0</v>
      </c>
      <c r="G1142">
        <v>1323.6818848</v>
      </c>
      <c r="H1142">
        <v>1318.817749</v>
      </c>
      <c r="I1142">
        <v>1366.0880127</v>
      </c>
      <c r="J1142">
        <v>1355.1398925999999</v>
      </c>
      <c r="K1142">
        <v>80</v>
      </c>
      <c r="L1142">
        <v>79.195686339999995</v>
      </c>
      <c r="M1142">
        <v>50</v>
      </c>
      <c r="N1142">
        <v>49.906139373999999</v>
      </c>
    </row>
    <row r="1143" spans="1:14" x14ac:dyDescent="0.25">
      <c r="A1143">
        <v>921.899855</v>
      </c>
      <c r="B1143" s="1">
        <f>DATE(2012,11,7) + TIME(21,35,47)</f>
        <v>41220.89984953704</v>
      </c>
      <c r="C1143">
        <v>0</v>
      </c>
      <c r="D1143">
        <v>2400</v>
      </c>
      <c r="E1143">
        <v>2400</v>
      </c>
      <c r="F1143">
        <v>0</v>
      </c>
      <c r="G1143">
        <v>1323.6635742000001</v>
      </c>
      <c r="H1143">
        <v>1318.7961425999999</v>
      </c>
      <c r="I1143">
        <v>1366.0523682</v>
      </c>
      <c r="J1143">
        <v>1355.1125488</v>
      </c>
      <c r="K1143">
        <v>80</v>
      </c>
      <c r="L1143">
        <v>79.146224975999999</v>
      </c>
      <c r="M1143">
        <v>50</v>
      </c>
      <c r="N1143">
        <v>49.915615082000002</v>
      </c>
    </row>
    <row r="1144" spans="1:14" x14ac:dyDescent="0.25">
      <c r="A1144">
        <v>922.43425999999999</v>
      </c>
      <c r="B1144" s="1">
        <f>DATE(2012,11,8) + TIME(10,25,20)</f>
        <v>41221.434259259258</v>
      </c>
      <c r="C1144">
        <v>0</v>
      </c>
      <c r="D1144">
        <v>2400</v>
      </c>
      <c r="E1144">
        <v>2400</v>
      </c>
      <c r="F1144">
        <v>0</v>
      </c>
      <c r="G1144">
        <v>1323.6442870999999</v>
      </c>
      <c r="H1144">
        <v>1318.7730713000001</v>
      </c>
      <c r="I1144">
        <v>1366.0177002</v>
      </c>
      <c r="J1144">
        <v>1355.0858154</v>
      </c>
      <c r="K1144">
        <v>80</v>
      </c>
      <c r="L1144">
        <v>79.094543457</v>
      </c>
      <c r="M1144">
        <v>50</v>
      </c>
      <c r="N1144">
        <v>49.923038482999999</v>
      </c>
    </row>
    <row r="1145" spans="1:14" x14ac:dyDescent="0.25">
      <c r="A1145">
        <v>923.00435400000003</v>
      </c>
      <c r="B1145" s="1">
        <f>DATE(2012,11,9) + TIME(0,6,16)</f>
        <v>41222.004351851851</v>
      </c>
      <c r="C1145">
        <v>0</v>
      </c>
      <c r="D1145">
        <v>2400</v>
      </c>
      <c r="E1145">
        <v>2400</v>
      </c>
      <c r="F1145">
        <v>0</v>
      </c>
      <c r="G1145">
        <v>1323.6235352000001</v>
      </c>
      <c r="H1145">
        <v>1318.7481689000001</v>
      </c>
      <c r="I1145">
        <v>1365.9838867000001</v>
      </c>
      <c r="J1145">
        <v>1355.0593262</v>
      </c>
      <c r="K1145">
        <v>80</v>
      </c>
      <c r="L1145">
        <v>79.040222168</v>
      </c>
      <c r="M1145">
        <v>50</v>
      </c>
      <c r="N1145">
        <v>49.928817748999997</v>
      </c>
    </row>
    <row r="1146" spans="1:14" x14ac:dyDescent="0.25">
      <c r="A1146">
        <v>923.617436</v>
      </c>
      <c r="B1146" s="1">
        <f>DATE(2012,11,9) + TIME(14,49,6)</f>
        <v>41222.617430555554</v>
      </c>
      <c r="C1146">
        <v>0</v>
      </c>
      <c r="D1146">
        <v>2400</v>
      </c>
      <c r="E1146">
        <v>2400</v>
      </c>
      <c r="F1146">
        <v>0</v>
      </c>
      <c r="G1146">
        <v>1323.6011963000001</v>
      </c>
      <c r="H1146">
        <v>1318.7213135</v>
      </c>
      <c r="I1146">
        <v>1365.9504394999999</v>
      </c>
      <c r="J1146">
        <v>1355.0330810999999</v>
      </c>
      <c r="K1146">
        <v>80</v>
      </c>
      <c r="L1146">
        <v>78.982711792000003</v>
      </c>
      <c r="M1146">
        <v>50</v>
      </c>
      <c r="N1146">
        <v>49.933280945</v>
      </c>
    </row>
    <row r="1147" spans="1:14" x14ac:dyDescent="0.25">
      <c r="A1147">
        <v>924.25083500000005</v>
      </c>
      <c r="B1147" s="1">
        <f>DATE(2012,11,10) + TIME(6,1,12)</f>
        <v>41223.250833333332</v>
      </c>
      <c r="C1147">
        <v>0</v>
      </c>
      <c r="D1147">
        <v>2400</v>
      </c>
      <c r="E1147">
        <v>2400</v>
      </c>
      <c r="F1147">
        <v>0</v>
      </c>
      <c r="G1147">
        <v>1323.5770264</v>
      </c>
      <c r="H1147">
        <v>1318.6921387</v>
      </c>
      <c r="I1147">
        <v>1365.9173584</v>
      </c>
      <c r="J1147">
        <v>1355.0068358999999</v>
      </c>
      <c r="K1147">
        <v>80</v>
      </c>
      <c r="L1147">
        <v>78.923645019999995</v>
      </c>
      <c r="M1147">
        <v>50</v>
      </c>
      <c r="N1147">
        <v>49.936584473000003</v>
      </c>
    </row>
    <row r="1148" spans="1:14" x14ac:dyDescent="0.25">
      <c r="A1148">
        <v>924.90131799999995</v>
      </c>
      <c r="B1148" s="1">
        <f>DATE(2012,11,10) + TIME(21,37,53)</f>
        <v>41223.901307870372</v>
      </c>
      <c r="C1148">
        <v>0</v>
      </c>
      <c r="D1148">
        <v>2400</v>
      </c>
      <c r="E1148">
        <v>2400</v>
      </c>
      <c r="F1148">
        <v>0</v>
      </c>
      <c r="G1148">
        <v>1323.5516356999999</v>
      </c>
      <c r="H1148">
        <v>1318.6613769999999</v>
      </c>
      <c r="I1148">
        <v>1365.8854980000001</v>
      </c>
      <c r="J1148">
        <v>1354.9814452999999</v>
      </c>
      <c r="K1148">
        <v>80</v>
      </c>
      <c r="L1148">
        <v>78.863296508999994</v>
      </c>
      <c r="M1148">
        <v>50</v>
      </c>
      <c r="N1148">
        <v>49.939010619999998</v>
      </c>
    </row>
    <row r="1149" spans="1:14" x14ac:dyDescent="0.25">
      <c r="A1149">
        <v>925.56359999999995</v>
      </c>
      <c r="B1149" s="1">
        <f>DATE(2012,11,11) + TIME(13,31,35)</f>
        <v>41224.563599537039</v>
      </c>
      <c r="C1149">
        <v>0</v>
      </c>
      <c r="D1149">
        <v>2400</v>
      </c>
      <c r="E1149">
        <v>2400</v>
      </c>
      <c r="F1149">
        <v>0</v>
      </c>
      <c r="G1149">
        <v>1323.5252685999999</v>
      </c>
      <c r="H1149">
        <v>1318.6293945</v>
      </c>
      <c r="I1149">
        <v>1365.8548584</v>
      </c>
      <c r="J1149">
        <v>1354.9569091999999</v>
      </c>
      <c r="K1149">
        <v>80</v>
      </c>
      <c r="L1149">
        <v>78.802116393999995</v>
      </c>
      <c r="M1149">
        <v>50</v>
      </c>
      <c r="N1149">
        <v>49.940788269000002</v>
      </c>
    </row>
    <row r="1150" spans="1:14" x14ac:dyDescent="0.25">
      <c r="A1150">
        <v>926.23486400000002</v>
      </c>
      <c r="B1150" s="1">
        <f>DATE(2012,11,12) + TIME(5,38,12)</f>
        <v>41225.234861111108</v>
      </c>
      <c r="C1150">
        <v>0</v>
      </c>
      <c r="D1150">
        <v>2400</v>
      </c>
      <c r="E1150">
        <v>2400</v>
      </c>
      <c r="F1150">
        <v>0</v>
      </c>
      <c r="G1150">
        <v>1323.4980469</v>
      </c>
      <c r="H1150">
        <v>1318.5961914</v>
      </c>
      <c r="I1150">
        <v>1365.8256836</v>
      </c>
      <c r="J1150">
        <v>1354.9333495999999</v>
      </c>
      <c r="K1150">
        <v>80</v>
      </c>
      <c r="L1150">
        <v>78.740386963000006</v>
      </c>
      <c r="M1150">
        <v>50</v>
      </c>
      <c r="N1150">
        <v>49.942085265999999</v>
      </c>
    </row>
    <row r="1151" spans="1:14" x14ac:dyDescent="0.25">
      <c r="A1151">
        <v>926.91658800000005</v>
      </c>
      <c r="B1151" s="1">
        <f>DATE(2012,11,12) + TIME(21,59,53)</f>
        <v>41225.916585648149</v>
      </c>
      <c r="C1151">
        <v>0</v>
      </c>
      <c r="D1151">
        <v>2400</v>
      </c>
      <c r="E1151">
        <v>2400</v>
      </c>
      <c r="F1151">
        <v>0</v>
      </c>
      <c r="G1151">
        <v>1323.4700928</v>
      </c>
      <c r="H1151">
        <v>1318.5618896000001</v>
      </c>
      <c r="I1151">
        <v>1365.7977295000001</v>
      </c>
      <c r="J1151">
        <v>1354.9106445</v>
      </c>
      <c r="K1151">
        <v>80</v>
      </c>
      <c r="L1151">
        <v>78.678062439000001</v>
      </c>
      <c r="M1151">
        <v>50</v>
      </c>
      <c r="N1151">
        <v>49.94304657</v>
      </c>
    </row>
    <row r="1152" spans="1:14" x14ac:dyDescent="0.25">
      <c r="A1152">
        <v>927.61018799999999</v>
      </c>
      <c r="B1152" s="1">
        <f>DATE(2012,11,13) + TIME(14,38,40)</f>
        <v>41226.610185185185</v>
      </c>
      <c r="C1152">
        <v>0</v>
      </c>
      <c r="D1152">
        <v>2400</v>
      </c>
      <c r="E1152">
        <v>2400</v>
      </c>
      <c r="F1152">
        <v>0</v>
      </c>
      <c r="G1152">
        <v>1323.4414062000001</v>
      </c>
      <c r="H1152">
        <v>1318.5266113</v>
      </c>
      <c r="I1152">
        <v>1365.770874</v>
      </c>
      <c r="J1152">
        <v>1354.8887939000001</v>
      </c>
      <c r="K1152">
        <v>80</v>
      </c>
      <c r="L1152">
        <v>78.615119934000006</v>
      </c>
      <c r="M1152">
        <v>50</v>
      </c>
      <c r="N1152">
        <v>49.943767547999997</v>
      </c>
    </row>
    <row r="1153" spans="1:14" x14ac:dyDescent="0.25">
      <c r="A1153">
        <v>928.31704500000001</v>
      </c>
      <c r="B1153" s="1">
        <f>DATE(2012,11,14) + TIME(7,36,32)</f>
        <v>41227.317037037035</v>
      </c>
      <c r="C1153">
        <v>0</v>
      </c>
      <c r="D1153">
        <v>2400</v>
      </c>
      <c r="E1153">
        <v>2400</v>
      </c>
      <c r="F1153">
        <v>0</v>
      </c>
      <c r="G1153">
        <v>1323.4117432</v>
      </c>
      <c r="H1153">
        <v>1318.4899902</v>
      </c>
      <c r="I1153">
        <v>1365.7449951000001</v>
      </c>
      <c r="J1153">
        <v>1354.8676757999999</v>
      </c>
      <c r="K1153">
        <v>80</v>
      </c>
      <c r="L1153">
        <v>78.551490783999995</v>
      </c>
      <c r="M1153">
        <v>50</v>
      </c>
      <c r="N1153">
        <v>49.944309234999999</v>
      </c>
    </row>
    <row r="1154" spans="1:14" x14ac:dyDescent="0.25">
      <c r="A1154">
        <v>929.03815999999995</v>
      </c>
      <c r="B1154" s="1">
        <f>DATE(2012,11,15) + TIME(0,54,57)</f>
        <v>41228.038159722222</v>
      </c>
      <c r="C1154">
        <v>0</v>
      </c>
      <c r="D1154">
        <v>2400</v>
      </c>
      <c r="E1154">
        <v>2400</v>
      </c>
      <c r="F1154">
        <v>0</v>
      </c>
      <c r="G1154">
        <v>1323.3812256000001</v>
      </c>
      <c r="H1154">
        <v>1318.4521483999999</v>
      </c>
      <c r="I1154">
        <v>1365.7199707</v>
      </c>
      <c r="J1154">
        <v>1354.8470459</v>
      </c>
      <c r="K1154">
        <v>80</v>
      </c>
      <c r="L1154">
        <v>78.487152100000003</v>
      </c>
      <c r="M1154">
        <v>50</v>
      </c>
      <c r="N1154">
        <v>49.944728851000001</v>
      </c>
    </row>
    <row r="1155" spans="1:14" x14ac:dyDescent="0.25">
      <c r="A1155">
        <v>929.77508399999999</v>
      </c>
      <c r="B1155" s="1">
        <f>DATE(2012,11,15) + TIME(18,36,7)</f>
        <v>41228.775081018517</v>
      </c>
      <c r="C1155">
        <v>0</v>
      </c>
      <c r="D1155">
        <v>2400</v>
      </c>
      <c r="E1155">
        <v>2400</v>
      </c>
      <c r="F1155">
        <v>0</v>
      </c>
      <c r="G1155">
        <v>1323.3496094</v>
      </c>
      <c r="H1155">
        <v>1318.4130858999999</v>
      </c>
      <c r="I1155">
        <v>1365.6956786999999</v>
      </c>
      <c r="J1155">
        <v>1354.8270264</v>
      </c>
      <c r="K1155">
        <v>80</v>
      </c>
      <c r="L1155">
        <v>78.422012328999998</v>
      </c>
      <c r="M1155">
        <v>50</v>
      </c>
      <c r="N1155">
        <v>49.945053100999999</v>
      </c>
    </row>
    <row r="1156" spans="1:14" x14ac:dyDescent="0.25">
      <c r="A1156">
        <v>930.52934500000003</v>
      </c>
      <c r="B1156" s="1">
        <f>DATE(2012,11,16) + TIME(12,42,15)</f>
        <v>41229.529340277775</v>
      </c>
      <c r="C1156">
        <v>0</v>
      </c>
      <c r="D1156">
        <v>2400</v>
      </c>
      <c r="E1156">
        <v>2400</v>
      </c>
      <c r="F1156">
        <v>0</v>
      </c>
      <c r="G1156">
        <v>1323.3170166</v>
      </c>
      <c r="H1156">
        <v>1318.3724365</v>
      </c>
      <c r="I1156">
        <v>1365.6719971</v>
      </c>
      <c r="J1156">
        <v>1354.8073730000001</v>
      </c>
      <c r="K1156">
        <v>80</v>
      </c>
      <c r="L1156">
        <v>78.355995178000001</v>
      </c>
      <c r="M1156">
        <v>50</v>
      </c>
      <c r="N1156">
        <v>49.9453125</v>
      </c>
    </row>
    <row r="1157" spans="1:14" x14ac:dyDescent="0.25">
      <c r="A1157">
        <v>931.30239200000005</v>
      </c>
      <c r="B1157" s="1">
        <f>DATE(2012,11,17) + TIME(7,15,26)</f>
        <v>41230.302384259259</v>
      </c>
      <c r="C1157">
        <v>0</v>
      </c>
      <c r="D1157">
        <v>2400</v>
      </c>
      <c r="E1157">
        <v>2400</v>
      </c>
      <c r="F1157">
        <v>0</v>
      </c>
      <c r="G1157">
        <v>1323.2833252</v>
      </c>
      <c r="H1157">
        <v>1318.3303223</v>
      </c>
      <c r="I1157">
        <v>1365.6489257999999</v>
      </c>
      <c r="J1157">
        <v>1354.7882079999999</v>
      </c>
      <c r="K1157">
        <v>80</v>
      </c>
      <c r="L1157">
        <v>78.289016724000007</v>
      </c>
      <c r="M1157">
        <v>50</v>
      </c>
      <c r="N1157">
        <v>49.945522308000001</v>
      </c>
    </row>
    <row r="1158" spans="1:14" x14ac:dyDescent="0.25">
      <c r="A1158">
        <v>932.09571700000004</v>
      </c>
      <c r="B1158" s="1">
        <f>DATE(2012,11,18) + TIME(2,17,49)</f>
        <v>41231.095706018517</v>
      </c>
      <c r="C1158">
        <v>0</v>
      </c>
      <c r="D1158">
        <v>2400</v>
      </c>
      <c r="E1158">
        <v>2400</v>
      </c>
      <c r="F1158">
        <v>0</v>
      </c>
      <c r="G1158">
        <v>1323.2482910000001</v>
      </c>
      <c r="H1158">
        <v>1318.2866211</v>
      </c>
      <c r="I1158">
        <v>1365.6263428</v>
      </c>
      <c r="J1158">
        <v>1354.7692870999999</v>
      </c>
      <c r="K1158">
        <v>80</v>
      </c>
      <c r="L1158">
        <v>78.220985412999994</v>
      </c>
      <c r="M1158">
        <v>50</v>
      </c>
      <c r="N1158">
        <v>49.945693970000001</v>
      </c>
    </row>
    <row r="1159" spans="1:14" x14ac:dyDescent="0.25">
      <c r="A1159">
        <v>932.910887</v>
      </c>
      <c r="B1159" s="1">
        <f>DATE(2012,11,18) + TIME(21,51,40)</f>
        <v>41231.910879629628</v>
      </c>
      <c r="C1159">
        <v>0</v>
      </c>
      <c r="D1159">
        <v>2400</v>
      </c>
      <c r="E1159">
        <v>2400</v>
      </c>
      <c r="F1159">
        <v>0</v>
      </c>
      <c r="G1159">
        <v>1323.2119141000001</v>
      </c>
      <c r="H1159">
        <v>1318.2410889</v>
      </c>
      <c r="I1159">
        <v>1365.6042480000001</v>
      </c>
      <c r="J1159">
        <v>1354.7506103999999</v>
      </c>
      <c r="K1159">
        <v>80</v>
      </c>
      <c r="L1159">
        <v>78.151817321999999</v>
      </c>
      <c r="M1159">
        <v>50</v>
      </c>
      <c r="N1159">
        <v>49.945835113999998</v>
      </c>
    </row>
    <row r="1160" spans="1:14" x14ac:dyDescent="0.25">
      <c r="A1160">
        <v>933.74956699999996</v>
      </c>
      <c r="B1160" s="1">
        <f>DATE(2012,11,19) + TIME(17,59,22)</f>
        <v>41232.749560185184</v>
      </c>
      <c r="C1160">
        <v>0</v>
      </c>
      <c r="D1160">
        <v>2400</v>
      </c>
      <c r="E1160">
        <v>2400</v>
      </c>
      <c r="F1160">
        <v>0</v>
      </c>
      <c r="G1160">
        <v>1323.1741943</v>
      </c>
      <c r="H1160">
        <v>1318.1937256000001</v>
      </c>
      <c r="I1160">
        <v>1365.5825195</v>
      </c>
      <c r="J1160">
        <v>1354.7321777</v>
      </c>
      <c r="K1160">
        <v>80</v>
      </c>
      <c r="L1160">
        <v>78.081420898000005</v>
      </c>
      <c r="M1160">
        <v>50</v>
      </c>
      <c r="N1160">
        <v>49.945957184000001</v>
      </c>
    </row>
    <row r="1161" spans="1:14" x14ac:dyDescent="0.25">
      <c r="A1161">
        <v>934.61351500000001</v>
      </c>
      <c r="B1161" s="1">
        <f>DATE(2012,11,20) + TIME(14,43,27)</f>
        <v>41233.613506944443</v>
      </c>
      <c r="C1161">
        <v>0</v>
      </c>
      <c r="D1161">
        <v>2400</v>
      </c>
      <c r="E1161">
        <v>2400</v>
      </c>
      <c r="F1161">
        <v>0</v>
      </c>
      <c r="G1161">
        <v>1323.1350098</v>
      </c>
      <c r="H1161">
        <v>1318.1442870999999</v>
      </c>
      <c r="I1161">
        <v>1365.5611572</v>
      </c>
      <c r="J1161">
        <v>1354.7139893000001</v>
      </c>
      <c r="K1161">
        <v>80</v>
      </c>
      <c r="L1161">
        <v>78.009689331000004</v>
      </c>
      <c r="M1161">
        <v>50</v>
      </c>
      <c r="N1161">
        <v>49.946063995000003</v>
      </c>
    </row>
    <row r="1162" spans="1:14" x14ac:dyDescent="0.25">
      <c r="A1162">
        <v>935.50460499999997</v>
      </c>
      <c r="B1162" s="1">
        <f>DATE(2012,11,21) + TIME(12,6,37)</f>
        <v>41234.504594907405</v>
      </c>
      <c r="C1162">
        <v>0</v>
      </c>
      <c r="D1162">
        <v>2400</v>
      </c>
      <c r="E1162">
        <v>2400</v>
      </c>
      <c r="F1162">
        <v>0</v>
      </c>
      <c r="G1162">
        <v>1323.0941161999999</v>
      </c>
      <c r="H1162">
        <v>1318.0927733999999</v>
      </c>
      <c r="I1162">
        <v>1365.5400391000001</v>
      </c>
      <c r="J1162">
        <v>1354.6959228999999</v>
      </c>
      <c r="K1162">
        <v>80</v>
      </c>
      <c r="L1162">
        <v>77.936515807999996</v>
      </c>
      <c r="M1162">
        <v>50</v>
      </c>
      <c r="N1162">
        <v>49.946155548</v>
      </c>
    </row>
    <row r="1163" spans="1:14" x14ac:dyDescent="0.25">
      <c r="A1163">
        <v>936.42483300000004</v>
      </c>
      <c r="B1163" s="1">
        <f>DATE(2012,11,22) + TIME(10,11,45)</f>
        <v>41235.424826388888</v>
      </c>
      <c r="C1163">
        <v>0</v>
      </c>
      <c r="D1163">
        <v>2400</v>
      </c>
      <c r="E1163">
        <v>2400</v>
      </c>
      <c r="F1163">
        <v>0</v>
      </c>
      <c r="G1163">
        <v>1323.0515137</v>
      </c>
      <c r="H1163">
        <v>1318.0388184000001</v>
      </c>
      <c r="I1163">
        <v>1365.5191649999999</v>
      </c>
      <c r="J1163">
        <v>1354.6779785000001</v>
      </c>
      <c r="K1163">
        <v>80</v>
      </c>
      <c r="L1163">
        <v>77.861801146999994</v>
      </c>
      <c r="M1163">
        <v>50</v>
      </c>
      <c r="N1163">
        <v>49.946239470999998</v>
      </c>
    </row>
    <row r="1164" spans="1:14" x14ac:dyDescent="0.25">
      <c r="A1164">
        <v>937.37616000000003</v>
      </c>
      <c r="B1164" s="1">
        <f>DATE(2012,11,23) + TIME(9,1,40)</f>
        <v>41236.376157407409</v>
      </c>
      <c r="C1164">
        <v>0</v>
      </c>
      <c r="D1164">
        <v>2400</v>
      </c>
      <c r="E1164">
        <v>2400</v>
      </c>
      <c r="F1164">
        <v>0</v>
      </c>
      <c r="G1164">
        <v>1323.0069579999999</v>
      </c>
      <c r="H1164">
        <v>1317.9825439000001</v>
      </c>
      <c r="I1164">
        <v>1365.4986572</v>
      </c>
      <c r="J1164">
        <v>1354.6600341999999</v>
      </c>
      <c r="K1164">
        <v>80</v>
      </c>
      <c r="L1164">
        <v>77.785430907999995</v>
      </c>
      <c r="M1164">
        <v>50</v>
      </c>
      <c r="N1164">
        <v>49.946315765000001</v>
      </c>
    </row>
    <row r="1165" spans="1:14" x14ac:dyDescent="0.25">
      <c r="A1165">
        <v>938.36084200000005</v>
      </c>
      <c r="B1165" s="1">
        <f>DATE(2012,11,24) + TIME(8,39,36)</f>
        <v>41237.360833333332</v>
      </c>
      <c r="C1165">
        <v>0</v>
      </c>
      <c r="D1165">
        <v>2400</v>
      </c>
      <c r="E1165">
        <v>2400</v>
      </c>
      <c r="F1165">
        <v>0</v>
      </c>
      <c r="G1165">
        <v>1322.9604492000001</v>
      </c>
      <c r="H1165">
        <v>1317.9234618999999</v>
      </c>
      <c r="I1165">
        <v>1365.4781493999999</v>
      </c>
      <c r="J1165">
        <v>1354.6422118999999</v>
      </c>
      <c r="K1165">
        <v>80</v>
      </c>
      <c r="L1165">
        <v>77.707283020000006</v>
      </c>
      <c r="M1165">
        <v>50</v>
      </c>
      <c r="N1165">
        <v>49.946388245000001</v>
      </c>
    </row>
    <row r="1166" spans="1:14" x14ac:dyDescent="0.25">
      <c r="A1166">
        <v>939.37381000000005</v>
      </c>
      <c r="B1166" s="1">
        <f>DATE(2012,11,25) + TIME(8,58,17)</f>
        <v>41238.373807870368</v>
      </c>
      <c r="C1166">
        <v>0</v>
      </c>
      <c r="D1166">
        <v>2400</v>
      </c>
      <c r="E1166">
        <v>2400</v>
      </c>
      <c r="F1166">
        <v>0</v>
      </c>
      <c r="G1166">
        <v>1322.9118652</v>
      </c>
      <c r="H1166">
        <v>1317.8616943</v>
      </c>
      <c r="I1166">
        <v>1365.4578856999999</v>
      </c>
      <c r="J1166">
        <v>1354.6243896000001</v>
      </c>
      <c r="K1166">
        <v>80</v>
      </c>
      <c r="L1166">
        <v>77.627639771000005</v>
      </c>
      <c r="M1166">
        <v>50</v>
      </c>
      <c r="N1166">
        <v>49.946453093999999</v>
      </c>
    </row>
    <row r="1167" spans="1:14" x14ac:dyDescent="0.25">
      <c r="A1167">
        <v>940.40528099999995</v>
      </c>
      <c r="B1167" s="1">
        <f>DATE(2012,11,26) + TIME(9,43,36)</f>
        <v>41239.405277777776</v>
      </c>
      <c r="C1167">
        <v>0</v>
      </c>
      <c r="D1167">
        <v>2400</v>
      </c>
      <c r="E1167">
        <v>2400</v>
      </c>
      <c r="F1167">
        <v>0</v>
      </c>
      <c r="G1167">
        <v>1322.8612060999999</v>
      </c>
      <c r="H1167">
        <v>1317.7973632999999</v>
      </c>
      <c r="I1167">
        <v>1365.4378661999999</v>
      </c>
      <c r="J1167">
        <v>1354.6068115</v>
      </c>
      <c r="K1167">
        <v>80</v>
      </c>
      <c r="L1167">
        <v>77.547058105000005</v>
      </c>
      <c r="M1167">
        <v>50</v>
      </c>
      <c r="N1167">
        <v>49.946514129999997</v>
      </c>
    </row>
    <row r="1168" spans="1:14" x14ac:dyDescent="0.25">
      <c r="A1168">
        <v>941.45728399999996</v>
      </c>
      <c r="B1168" s="1">
        <f>DATE(2012,11,27) + TIME(10,58,29)</f>
        <v>41240.457280092596</v>
      </c>
      <c r="C1168">
        <v>0</v>
      </c>
      <c r="D1168">
        <v>2400</v>
      </c>
      <c r="E1168">
        <v>2400</v>
      </c>
      <c r="F1168">
        <v>0</v>
      </c>
      <c r="G1168">
        <v>1322.809082</v>
      </c>
      <c r="H1168">
        <v>1317.730957</v>
      </c>
      <c r="I1168">
        <v>1365.4183350000001</v>
      </c>
      <c r="J1168">
        <v>1354.5893555</v>
      </c>
      <c r="K1168">
        <v>80</v>
      </c>
      <c r="L1168">
        <v>77.465545653999996</v>
      </c>
      <c r="M1168">
        <v>50</v>
      </c>
      <c r="N1168">
        <v>49.946571349999999</v>
      </c>
    </row>
    <row r="1169" spans="1:14" x14ac:dyDescent="0.25">
      <c r="A1169">
        <v>942.53171999999995</v>
      </c>
      <c r="B1169" s="1">
        <f>DATE(2012,11,28) + TIME(12,45,40)</f>
        <v>41241.531712962962</v>
      </c>
      <c r="C1169">
        <v>0</v>
      </c>
      <c r="D1169">
        <v>2400</v>
      </c>
      <c r="E1169">
        <v>2400</v>
      </c>
      <c r="F1169">
        <v>0</v>
      </c>
      <c r="G1169">
        <v>1322.7553711</v>
      </c>
      <c r="H1169">
        <v>1317.6622314000001</v>
      </c>
      <c r="I1169">
        <v>1365.3992920000001</v>
      </c>
      <c r="J1169">
        <v>1354.5722656</v>
      </c>
      <c r="K1169">
        <v>80</v>
      </c>
      <c r="L1169">
        <v>77.383094787999994</v>
      </c>
      <c r="M1169">
        <v>50</v>
      </c>
      <c r="N1169">
        <v>49.946624755999999</v>
      </c>
    </row>
    <row r="1170" spans="1:14" x14ac:dyDescent="0.25">
      <c r="A1170">
        <v>943.63057700000002</v>
      </c>
      <c r="B1170" s="1">
        <f>DATE(2012,11,29) + TIME(15,8,1)</f>
        <v>41242.630567129629</v>
      </c>
      <c r="C1170">
        <v>0</v>
      </c>
      <c r="D1170">
        <v>2400</v>
      </c>
      <c r="E1170">
        <v>2400</v>
      </c>
      <c r="F1170">
        <v>0</v>
      </c>
      <c r="G1170">
        <v>1322.6998291</v>
      </c>
      <c r="H1170">
        <v>1317.5911865</v>
      </c>
      <c r="I1170">
        <v>1365.3804932</v>
      </c>
      <c r="J1170">
        <v>1354.5552978999999</v>
      </c>
      <c r="K1170">
        <v>80</v>
      </c>
      <c r="L1170">
        <v>77.299636840999995</v>
      </c>
      <c r="M1170">
        <v>50</v>
      </c>
      <c r="N1170">
        <v>49.946678161999998</v>
      </c>
    </row>
    <row r="1171" spans="1:14" x14ac:dyDescent="0.25">
      <c r="A1171">
        <v>944.75588600000003</v>
      </c>
      <c r="B1171" s="1">
        <f>DATE(2012,11,30) + TIME(18,8,28)</f>
        <v>41243.755879629629</v>
      </c>
      <c r="C1171">
        <v>0</v>
      </c>
      <c r="D1171">
        <v>2400</v>
      </c>
      <c r="E1171">
        <v>2400</v>
      </c>
      <c r="F1171">
        <v>0</v>
      </c>
      <c r="G1171">
        <v>1322.6424560999999</v>
      </c>
      <c r="H1171">
        <v>1317.5177002</v>
      </c>
      <c r="I1171">
        <v>1365.3620605000001</v>
      </c>
      <c r="J1171">
        <v>1354.5384521000001</v>
      </c>
      <c r="K1171">
        <v>80</v>
      </c>
      <c r="L1171">
        <v>77.215110779</v>
      </c>
      <c r="M1171">
        <v>50</v>
      </c>
      <c r="N1171">
        <v>49.946731567</v>
      </c>
    </row>
    <row r="1172" spans="1:14" x14ac:dyDescent="0.25">
      <c r="A1172">
        <v>945</v>
      </c>
      <c r="B1172" s="1">
        <f>DATE(2012,12,1) + TIME(0,0,0)</f>
        <v>41244</v>
      </c>
      <c r="C1172">
        <v>0</v>
      </c>
      <c r="D1172">
        <v>2400</v>
      </c>
      <c r="E1172">
        <v>2400</v>
      </c>
      <c r="F1172">
        <v>0</v>
      </c>
      <c r="G1172">
        <v>1322.5892334</v>
      </c>
      <c r="H1172">
        <v>1317.4526367000001</v>
      </c>
      <c r="I1172">
        <v>1365.3431396000001</v>
      </c>
      <c r="J1172">
        <v>1354.5217285000001</v>
      </c>
      <c r="K1172">
        <v>80</v>
      </c>
      <c r="L1172">
        <v>77.189842224000003</v>
      </c>
      <c r="M1172">
        <v>50</v>
      </c>
      <c r="N1172">
        <v>49.946739196999999</v>
      </c>
    </row>
    <row r="1173" spans="1:14" x14ac:dyDescent="0.25">
      <c r="A1173">
        <v>946.15387899999996</v>
      </c>
      <c r="B1173" s="1">
        <f>DATE(2012,12,2) + TIME(3,41,35)</f>
        <v>41245.153877314813</v>
      </c>
      <c r="C1173">
        <v>0</v>
      </c>
      <c r="D1173">
        <v>2400</v>
      </c>
      <c r="E1173">
        <v>2400</v>
      </c>
      <c r="F1173">
        <v>0</v>
      </c>
      <c r="G1173">
        <v>1322.5682373</v>
      </c>
      <c r="H1173">
        <v>1317.421875</v>
      </c>
      <c r="I1173">
        <v>1365.3400879000001</v>
      </c>
      <c r="J1173">
        <v>1354.5181885</v>
      </c>
      <c r="K1173">
        <v>80</v>
      </c>
      <c r="L1173">
        <v>77.106750488000003</v>
      </c>
      <c r="M1173">
        <v>50</v>
      </c>
      <c r="N1173">
        <v>49.946792602999999</v>
      </c>
    </row>
    <row r="1174" spans="1:14" x14ac:dyDescent="0.25">
      <c r="A1174">
        <v>947.34583199999997</v>
      </c>
      <c r="B1174" s="1">
        <f>DATE(2012,12,3) + TIME(8,17,59)</f>
        <v>41246.345821759256</v>
      </c>
      <c r="C1174">
        <v>0</v>
      </c>
      <c r="D1174">
        <v>2400</v>
      </c>
      <c r="E1174">
        <v>2400</v>
      </c>
      <c r="F1174">
        <v>0</v>
      </c>
      <c r="G1174">
        <v>1322.5075684000001</v>
      </c>
      <c r="H1174">
        <v>1317.3439940999999</v>
      </c>
      <c r="I1174">
        <v>1365.3223877</v>
      </c>
      <c r="J1174">
        <v>1354.5018310999999</v>
      </c>
      <c r="K1174">
        <v>80</v>
      </c>
      <c r="L1174">
        <v>77.021247864000003</v>
      </c>
      <c r="M1174">
        <v>50</v>
      </c>
      <c r="N1174">
        <v>49.946846008000001</v>
      </c>
    </row>
    <row r="1175" spans="1:14" x14ac:dyDescent="0.25">
      <c r="A1175">
        <v>948.57114300000001</v>
      </c>
      <c r="B1175" s="1">
        <f>DATE(2012,12,4) + TIME(13,42,26)</f>
        <v>41247.571134259262</v>
      </c>
      <c r="C1175">
        <v>0</v>
      </c>
      <c r="D1175">
        <v>2400</v>
      </c>
      <c r="E1175">
        <v>2400</v>
      </c>
      <c r="F1175">
        <v>0</v>
      </c>
      <c r="G1175">
        <v>1322.4438477000001</v>
      </c>
      <c r="H1175">
        <v>1317.2619629000001</v>
      </c>
      <c r="I1175">
        <v>1365.3046875</v>
      </c>
      <c r="J1175">
        <v>1354.4853516000001</v>
      </c>
      <c r="K1175">
        <v>80</v>
      </c>
      <c r="L1175">
        <v>76.933753967000001</v>
      </c>
      <c r="M1175">
        <v>50</v>
      </c>
      <c r="N1175">
        <v>49.946899414000001</v>
      </c>
    </row>
    <row r="1176" spans="1:14" x14ac:dyDescent="0.25">
      <c r="A1176">
        <v>949.83225900000002</v>
      </c>
      <c r="B1176" s="1">
        <f>DATE(2012,12,5) + TIME(19,58,27)</f>
        <v>41248.832256944443</v>
      </c>
      <c r="C1176">
        <v>0</v>
      </c>
      <c r="D1176">
        <v>2400</v>
      </c>
      <c r="E1176">
        <v>2400</v>
      </c>
      <c r="F1176">
        <v>0</v>
      </c>
      <c r="G1176">
        <v>1322.3774414</v>
      </c>
      <c r="H1176">
        <v>1317.1765137</v>
      </c>
      <c r="I1176">
        <v>1365.2872314000001</v>
      </c>
      <c r="J1176">
        <v>1354.4689940999999</v>
      </c>
      <c r="K1176">
        <v>80</v>
      </c>
      <c r="L1176">
        <v>76.844390868999994</v>
      </c>
      <c r="M1176">
        <v>50</v>
      </c>
      <c r="N1176">
        <v>49.94695282</v>
      </c>
    </row>
    <row r="1177" spans="1:14" x14ac:dyDescent="0.25">
      <c r="A1177">
        <v>951.13190699999996</v>
      </c>
      <c r="B1177" s="1">
        <f>DATE(2012,12,7) + TIME(3,9,56)</f>
        <v>41250.131898148145</v>
      </c>
      <c r="C1177">
        <v>0</v>
      </c>
      <c r="D1177">
        <v>2400</v>
      </c>
      <c r="E1177">
        <v>2400</v>
      </c>
      <c r="F1177">
        <v>0</v>
      </c>
      <c r="G1177">
        <v>1322.3083495999999</v>
      </c>
      <c r="H1177">
        <v>1317.0872803</v>
      </c>
      <c r="I1177">
        <v>1365.2698975000001</v>
      </c>
      <c r="J1177">
        <v>1354.4525146000001</v>
      </c>
      <c r="K1177">
        <v>80</v>
      </c>
      <c r="L1177">
        <v>76.753173828000001</v>
      </c>
      <c r="M1177">
        <v>50</v>
      </c>
      <c r="N1177">
        <v>49.947010040000002</v>
      </c>
    </row>
    <row r="1178" spans="1:14" x14ac:dyDescent="0.25">
      <c r="A1178">
        <v>952.47271000000001</v>
      </c>
      <c r="B1178" s="1">
        <f>DATE(2012,12,8) + TIME(11,20,42)</f>
        <v>41251.472708333335</v>
      </c>
      <c r="C1178">
        <v>0</v>
      </c>
      <c r="D1178">
        <v>2400</v>
      </c>
      <c r="E1178">
        <v>2400</v>
      </c>
      <c r="F1178">
        <v>0</v>
      </c>
      <c r="G1178">
        <v>1322.2364502</v>
      </c>
      <c r="H1178">
        <v>1316.9943848</v>
      </c>
      <c r="I1178">
        <v>1365.2526855000001</v>
      </c>
      <c r="J1178">
        <v>1354.4361572</v>
      </c>
      <c r="K1178">
        <v>80</v>
      </c>
      <c r="L1178">
        <v>76.660079956000004</v>
      </c>
      <c r="M1178">
        <v>50</v>
      </c>
      <c r="N1178">
        <v>49.947067261000001</v>
      </c>
    </row>
    <row r="1179" spans="1:14" x14ac:dyDescent="0.25">
      <c r="A1179">
        <v>953.84142599999996</v>
      </c>
      <c r="B1179" s="1">
        <f>DATE(2012,12,9) + TIME(20,11,39)</f>
        <v>41252.841423611113</v>
      </c>
      <c r="C1179">
        <v>0</v>
      </c>
      <c r="D1179">
        <v>2400</v>
      </c>
      <c r="E1179">
        <v>2400</v>
      </c>
      <c r="F1179">
        <v>0</v>
      </c>
      <c r="G1179">
        <v>1322.1616211</v>
      </c>
      <c r="H1179">
        <v>1316.8974608999999</v>
      </c>
      <c r="I1179">
        <v>1365.2355957</v>
      </c>
      <c r="J1179">
        <v>1354.4196777</v>
      </c>
      <c r="K1179">
        <v>80</v>
      </c>
      <c r="L1179">
        <v>76.565727233999993</v>
      </c>
      <c r="M1179">
        <v>50</v>
      </c>
      <c r="N1179">
        <v>49.947124481000003</v>
      </c>
    </row>
    <row r="1180" spans="1:14" x14ac:dyDescent="0.25">
      <c r="A1180">
        <v>955.24086399999999</v>
      </c>
      <c r="B1180" s="1">
        <f>DATE(2012,12,11) + TIME(5,46,50)</f>
        <v>41254.240856481483</v>
      </c>
      <c r="C1180">
        <v>0</v>
      </c>
      <c r="D1180">
        <v>2400</v>
      </c>
      <c r="E1180">
        <v>2400</v>
      </c>
      <c r="F1180">
        <v>0</v>
      </c>
      <c r="G1180">
        <v>1322.0843506000001</v>
      </c>
      <c r="H1180">
        <v>1316.7973632999999</v>
      </c>
      <c r="I1180">
        <v>1365.21875</v>
      </c>
      <c r="J1180">
        <v>1354.4033202999999</v>
      </c>
      <c r="K1180">
        <v>80</v>
      </c>
      <c r="L1180">
        <v>76.470176696999999</v>
      </c>
      <c r="M1180">
        <v>50</v>
      </c>
      <c r="N1180">
        <v>49.947185515999998</v>
      </c>
    </row>
    <row r="1181" spans="1:14" x14ac:dyDescent="0.25">
      <c r="A1181">
        <v>956.673677</v>
      </c>
      <c r="B1181" s="1">
        <f>DATE(2012,12,12) + TIME(16,10,5)</f>
        <v>41255.673668981479</v>
      </c>
      <c r="C1181">
        <v>0</v>
      </c>
      <c r="D1181">
        <v>2400</v>
      </c>
      <c r="E1181">
        <v>2400</v>
      </c>
      <c r="F1181">
        <v>0</v>
      </c>
      <c r="G1181">
        <v>1322.0046387</v>
      </c>
      <c r="H1181">
        <v>1316.6938477000001</v>
      </c>
      <c r="I1181">
        <v>1365.2022704999999</v>
      </c>
      <c r="J1181">
        <v>1354.3870850000001</v>
      </c>
      <c r="K1181">
        <v>80</v>
      </c>
      <c r="L1181">
        <v>76.373435974000003</v>
      </c>
      <c r="M1181">
        <v>50</v>
      </c>
      <c r="N1181">
        <v>49.947246552000003</v>
      </c>
    </row>
    <row r="1182" spans="1:14" x14ac:dyDescent="0.25">
      <c r="A1182">
        <v>958.14262699999995</v>
      </c>
      <c r="B1182" s="1">
        <f>DATE(2012,12,14) + TIME(3,25,22)</f>
        <v>41257.14261574074</v>
      </c>
      <c r="C1182">
        <v>0</v>
      </c>
      <c r="D1182">
        <v>2400</v>
      </c>
      <c r="E1182">
        <v>2400</v>
      </c>
      <c r="F1182">
        <v>0</v>
      </c>
      <c r="G1182">
        <v>1321.9223632999999</v>
      </c>
      <c r="H1182">
        <v>1316.5866699000001</v>
      </c>
      <c r="I1182">
        <v>1365.1859131000001</v>
      </c>
      <c r="J1182">
        <v>1354.3709716999999</v>
      </c>
      <c r="K1182">
        <v>80</v>
      </c>
      <c r="L1182">
        <v>76.275459290000001</v>
      </c>
      <c r="M1182">
        <v>50</v>
      </c>
      <c r="N1182">
        <v>49.947307586999997</v>
      </c>
    </row>
    <row r="1183" spans="1:14" x14ac:dyDescent="0.25">
      <c r="A1183">
        <v>959.65059900000006</v>
      </c>
      <c r="B1183" s="1">
        <f>DATE(2012,12,15) + TIME(15,36,51)</f>
        <v>41258.650590277779</v>
      </c>
      <c r="C1183">
        <v>0</v>
      </c>
      <c r="D1183">
        <v>2400</v>
      </c>
      <c r="E1183">
        <v>2400</v>
      </c>
      <c r="F1183">
        <v>0</v>
      </c>
      <c r="G1183">
        <v>1321.8371582</v>
      </c>
      <c r="H1183">
        <v>1316.4757079999999</v>
      </c>
      <c r="I1183">
        <v>1365.1697998</v>
      </c>
      <c r="J1183">
        <v>1354.3548584</v>
      </c>
      <c r="K1183">
        <v>80</v>
      </c>
      <c r="L1183">
        <v>76.176155089999995</v>
      </c>
      <c r="M1183">
        <v>50</v>
      </c>
      <c r="N1183">
        <v>49.947372436999999</v>
      </c>
    </row>
    <row r="1184" spans="1:14" x14ac:dyDescent="0.25">
      <c r="A1184">
        <v>961.200335</v>
      </c>
      <c r="B1184" s="1">
        <f>DATE(2012,12,17) + TIME(4,48,28)</f>
        <v>41260.200324074074</v>
      </c>
      <c r="C1184">
        <v>0</v>
      </c>
      <c r="D1184">
        <v>2400</v>
      </c>
      <c r="E1184">
        <v>2400</v>
      </c>
      <c r="F1184">
        <v>0</v>
      </c>
      <c r="G1184">
        <v>1321.7489014</v>
      </c>
      <c r="H1184">
        <v>1316.3608397999999</v>
      </c>
      <c r="I1184">
        <v>1365.1536865</v>
      </c>
      <c r="J1184">
        <v>1354.3387451000001</v>
      </c>
      <c r="K1184">
        <v>80</v>
      </c>
      <c r="L1184">
        <v>76.075439453000001</v>
      </c>
      <c r="M1184">
        <v>50</v>
      </c>
      <c r="N1184">
        <v>49.947437286000003</v>
      </c>
    </row>
    <row r="1185" spans="1:14" x14ac:dyDescent="0.25">
      <c r="A1185">
        <v>962.79486499999996</v>
      </c>
      <c r="B1185" s="1">
        <f>DATE(2012,12,18) + TIME(19,4,36)</f>
        <v>41261.794861111113</v>
      </c>
      <c r="C1185">
        <v>0</v>
      </c>
      <c r="D1185">
        <v>2400</v>
      </c>
      <c r="E1185">
        <v>2400</v>
      </c>
      <c r="F1185">
        <v>0</v>
      </c>
      <c r="G1185">
        <v>1321.6575928</v>
      </c>
      <c r="H1185">
        <v>1316.2415771000001</v>
      </c>
      <c r="I1185">
        <v>1365.1378173999999</v>
      </c>
      <c r="J1185">
        <v>1354.3226318</v>
      </c>
      <c r="K1185">
        <v>80</v>
      </c>
      <c r="L1185">
        <v>75.973205566000004</v>
      </c>
      <c r="M1185">
        <v>50</v>
      </c>
      <c r="N1185">
        <v>49.947505950999997</v>
      </c>
    </row>
    <row r="1186" spans="1:14" x14ac:dyDescent="0.25">
      <c r="A1186">
        <v>964.43556100000001</v>
      </c>
      <c r="B1186" s="1">
        <f>DATE(2012,12,20) + TIME(10,27,12)</f>
        <v>41263.435555555552</v>
      </c>
      <c r="C1186">
        <v>0</v>
      </c>
      <c r="D1186">
        <v>2400</v>
      </c>
      <c r="E1186">
        <v>2400</v>
      </c>
      <c r="F1186">
        <v>0</v>
      </c>
      <c r="G1186">
        <v>1321.5628661999999</v>
      </c>
      <c r="H1186">
        <v>1316.1176757999999</v>
      </c>
      <c r="I1186">
        <v>1365.1220702999999</v>
      </c>
      <c r="J1186">
        <v>1354.3065185999999</v>
      </c>
      <c r="K1186">
        <v>80</v>
      </c>
      <c r="L1186">
        <v>75.869392395000006</v>
      </c>
      <c r="M1186">
        <v>50</v>
      </c>
      <c r="N1186">
        <v>49.94757843</v>
      </c>
    </row>
    <row r="1187" spans="1:14" x14ac:dyDescent="0.25">
      <c r="A1187">
        <v>966.11202800000001</v>
      </c>
      <c r="B1187" s="1">
        <f>DATE(2012,12,22) + TIME(2,41,19)</f>
        <v>41265.112025462964</v>
      </c>
      <c r="C1187">
        <v>0</v>
      </c>
      <c r="D1187">
        <v>2400</v>
      </c>
      <c r="E1187">
        <v>2400</v>
      </c>
      <c r="F1187">
        <v>0</v>
      </c>
      <c r="G1187">
        <v>1321.4647216999999</v>
      </c>
      <c r="H1187">
        <v>1315.9892577999999</v>
      </c>
      <c r="I1187">
        <v>1365.1064452999999</v>
      </c>
      <c r="J1187">
        <v>1354.2904053</v>
      </c>
      <c r="K1187">
        <v>80</v>
      </c>
      <c r="L1187">
        <v>75.764358521000005</v>
      </c>
      <c r="M1187">
        <v>50</v>
      </c>
      <c r="N1187">
        <v>49.947650908999996</v>
      </c>
    </row>
    <row r="1188" spans="1:14" x14ac:dyDescent="0.25">
      <c r="A1188">
        <v>967.82778199999996</v>
      </c>
      <c r="B1188" s="1">
        <f>DATE(2012,12,23) + TIME(19,52,0)</f>
        <v>41266.827777777777</v>
      </c>
      <c r="C1188">
        <v>0</v>
      </c>
      <c r="D1188">
        <v>2400</v>
      </c>
      <c r="E1188">
        <v>2400</v>
      </c>
      <c r="F1188">
        <v>0</v>
      </c>
      <c r="G1188">
        <v>1321.3634033000001</v>
      </c>
      <c r="H1188">
        <v>1315.8565673999999</v>
      </c>
      <c r="I1188">
        <v>1365.0909423999999</v>
      </c>
      <c r="J1188">
        <v>1354.2742920000001</v>
      </c>
      <c r="K1188">
        <v>80</v>
      </c>
      <c r="L1188">
        <v>75.658157349000007</v>
      </c>
      <c r="M1188">
        <v>50</v>
      </c>
      <c r="N1188">
        <v>49.947723388999997</v>
      </c>
    </row>
    <row r="1189" spans="1:14" x14ac:dyDescent="0.25">
      <c r="A1189">
        <v>969.58614699999998</v>
      </c>
      <c r="B1189" s="1">
        <f>DATE(2012,12,25) + TIME(14,4,3)</f>
        <v>41268.586145833331</v>
      </c>
      <c r="C1189">
        <v>0</v>
      </c>
      <c r="D1189">
        <v>2400</v>
      </c>
      <c r="E1189">
        <v>2400</v>
      </c>
      <c r="F1189">
        <v>0</v>
      </c>
      <c r="G1189">
        <v>1321.2589111</v>
      </c>
      <c r="H1189">
        <v>1315.7194824000001</v>
      </c>
      <c r="I1189">
        <v>1365.0756836</v>
      </c>
      <c r="J1189">
        <v>1354.2583007999999</v>
      </c>
      <c r="K1189">
        <v>80</v>
      </c>
      <c r="L1189">
        <v>75.550727843999994</v>
      </c>
      <c r="M1189">
        <v>50</v>
      </c>
      <c r="N1189">
        <v>49.947799683</v>
      </c>
    </row>
    <row r="1190" spans="1:14" x14ac:dyDescent="0.25">
      <c r="A1190">
        <v>971.39062699999999</v>
      </c>
      <c r="B1190" s="1">
        <f>DATE(2012,12,27) + TIME(9,22,30)</f>
        <v>41270.390625</v>
      </c>
      <c r="C1190">
        <v>0</v>
      </c>
      <c r="D1190">
        <v>2400</v>
      </c>
      <c r="E1190">
        <v>2400</v>
      </c>
      <c r="F1190">
        <v>0</v>
      </c>
      <c r="G1190">
        <v>1321.1511230000001</v>
      </c>
      <c r="H1190">
        <v>1315.5778809000001</v>
      </c>
      <c r="I1190">
        <v>1365.0605469</v>
      </c>
      <c r="J1190">
        <v>1354.2421875</v>
      </c>
      <c r="K1190">
        <v>80</v>
      </c>
      <c r="L1190">
        <v>75.442001343000001</v>
      </c>
      <c r="M1190">
        <v>50</v>
      </c>
      <c r="N1190">
        <v>49.947879790999998</v>
      </c>
    </row>
    <row r="1191" spans="1:14" x14ac:dyDescent="0.25">
      <c r="A1191">
        <v>973.24423300000001</v>
      </c>
      <c r="B1191" s="1">
        <f>DATE(2012,12,29) + TIME(5,51,41)</f>
        <v>41272.24422453704</v>
      </c>
      <c r="C1191">
        <v>0</v>
      </c>
      <c r="D1191">
        <v>2400</v>
      </c>
      <c r="E1191">
        <v>2400</v>
      </c>
      <c r="F1191">
        <v>0</v>
      </c>
      <c r="G1191">
        <v>1321.0396728999999</v>
      </c>
      <c r="H1191">
        <v>1315.4312743999999</v>
      </c>
      <c r="I1191">
        <v>1365.0455322</v>
      </c>
      <c r="J1191">
        <v>1354.2261963000001</v>
      </c>
      <c r="K1191">
        <v>80</v>
      </c>
      <c r="L1191">
        <v>75.331863403</v>
      </c>
      <c r="M1191">
        <v>50</v>
      </c>
      <c r="N1191">
        <v>49.947959900000001</v>
      </c>
    </row>
    <row r="1192" spans="1:14" x14ac:dyDescent="0.25">
      <c r="A1192">
        <v>975.15109800000005</v>
      </c>
      <c r="B1192" s="1">
        <f>DATE(2012,12,31) + TIME(3,37,34)</f>
        <v>41274.151087962964</v>
      </c>
      <c r="C1192">
        <v>0</v>
      </c>
      <c r="D1192">
        <v>2400</v>
      </c>
      <c r="E1192">
        <v>2400</v>
      </c>
      <c r="F1192">
        <v>0</v>
      </c>
      <c r="G1192">
        <v>1320.9243164</v>
      </c>
      <c r="H1192">
        <v>1315.2794189000001</v>
      </c>
      <c r="I1192">
        <v>1365.0306396000001</v>
      </c>
      <c r="J1192">
        <v>1354.2102050999999</v>
      </c>
      <c r="K1192">
        <v>80</v>
      </c>
      <c r="L1192">
        <v>75.220191955999994</v>
      </c>
      <c r="M1192">
        <v>50</v>
      </c>
      <c r="N1192">
        <v>49.948043822999999</v>
      </c>
    </row>
    <row r="1193" spans="1:14" x14ac:dyDescent="0.25">
      <c r="A1193">
        <v>976</v>
      </c>
      <c r="B1193" s="1">
        <f>DATE(2013,1,1) + TIME(0,0,0)</f>
        <v>41275</v>
      </c>
      <c r="C1193">
        <v>0</v>
      </c>
      <c r="D1193">
        <v>2400</v>
      </c>
      <c r="E1193">
        <v>2400</v>
      </c>
      <c r="F1193">
        <v>0</v>
      </c>
      <c r="G1193">
        <v>1320.8127440999999</v>
      </c>
      <c r="H1193">
        <v>1315.1356201000001</v>
      </c>
      <c r="I1193">
        <v>1365.0151367000001</v>
      </c>
      <c r="J1193">
        <v>1354.1940918</v>
      </c>
      <c r="K1193">
        <v>80</v>
      </c>
      <c r="L1193">
        <v>75.151527404999996</v>
      </c>
      <c r="M1193">
        <v>50</v>
      </c>
      <c r="N1193">
        <v>49.948078156000001</v>
      </c>
    </row>
    <row r="1194" spans="1:14" x14ac:dyDescent="0.25">
      <c r="A1194">
        <v>977.95227799999998</v>
      </c>
      <c r="B1194" s="1">
        <f>DATE(2013,1,2) + TIME(22,51,16)</f>
        <v>41276.952268518522</v>
      </c>
      <c r="C1194">
        <v>0</v>
      </c>
      <c r="D1194">
        <v>2400</v>
      </c>
      <c r="E1194">
        <v>2400</v>
      </c>
      <c r="F1194">
        <v>0</v>
      </c>
      <c r="G1194">
        <v>1320.7434082</v>
      </c>
      <c r="H1194">
        <v>1315.0393065999999</v>
      </c>
      <c r="I1194">
        <v>1365.0093993999999</v>
      </c>
      <c r="J1194">
        <v>1354.1867675999999</v>
      </c>
      <c r="K1194">
        <v>80</v>
      </c>
      <c r="L1194">
        <v>75.048339843999997</v>
      </c>
      <c r="M1194">
        <v>50</v>
      </c>
      <c r="N1194">
        <v>49.948165893999999</v>
      </c>
    </row>
    <row r="1195" spans="1:14" x14ac:dyDescent="0.25">
      <c r="A1195">
        <v>979.97103400000003</v>
      </c>
      <c r="B1195" s="1">
        <f>DATE(2013,1,4) + TIME(23,18,17)</f>
        <v>41278.971030092594</v>
      </c>
      <c r="C1195">
        <v>0</v>
      </c>
      <c r="D1195">
        <v>2400</v>
      </c>
      <c r="E1195">
        <v>2400</v>
      </c>
      <c r="F1195">
        <v>0</v>
      </c>
      <c r="G1195">
        <v>1320.6242675999999</v>
      </c>
      <c r="H1195">
        <v>1314.8826904</v>
      </c>
      <c r="I1195">
        <v>1364.9948730000001</v>
      </c>
      <c r="J1195">
        <v>1354.1711425999999</v>
      </c>
      <c r="K1195">
        <v>80</v>
      </c>
      <c r="L1195">
        <v>74.938728333</v>
      </c>
      <c r="M1195">
        <v>50</v>
      </c>
      <c r="N1195">
        <v>49.948253631999997</v>
      </c>
    </row>
    <row r="1196" spans="1:14" x14ac:dyDescent="0.25">
      <c r="A1196">
        <v>982.03967999999998</v>
      </c>
      <c r="B1196" s="1">
        <f>DATE(2013,1,7) + TIME(0,57,8)</f>
        <v>41281.039675925924</v>
      </c>
      <c r="C1196">
        <v>0</v>
      </c>
      <c r="D1196">
        <v>2400</v>
      </c>
      <c r="E1196">
        <v>2400</v>
      </c>
      <c r="F1196">
        <v>0</v>
      </c>
      <c r="G1196">
        <v>1320.4979248</v>
      </c>
      <c r="H1196">
        <v>1314.7160644999999</v>
      </c>
      <c r="I1196">
        <v>1364.9803466999999</v>
      </c>
      <c r="J1196">
        <v>1354.1552733999999</v>
      </c>
      <c r="K1196">
        <v>80</v>
      </c>
      <c r="L1196">
        <v>74.825141907000003</v>
      </c>
      <c r="M1196">
        <v>50</v>
      </c>
      <c r="N1196">
        <v>49.948345183999997</v>
      </c>
    </row>
    <row r="1197" spans="1:14" x14ac:dyDescent="0.25">
      <c r="A1197">
        <v>984.16266700000006</v>
      </c>
      <c r="B1197" s="1">
        <f>DATE(2013,1,9) + TIME(3,54,14)</f>
        <v>41283.162662037037</v>
      </c>
      <c r="C1197">
        <v>0</v>
      </c>
      <c r="D1197">
        <v>2400</v>
      </c>
      <c r="E1197">
        <v>2400</v>
      </c>
      <c r="F1197">
        <v>0</v>
      </c>
      <c r="G1197">
        <v>1320.3664550999999</v>
      </c>
      <c r="H1197">
        <v>1314.5421143000001</v>
      </c>
      <c r="I1197">
        <v>1364.9659423999999</v>
      </c>
      <c r="J1197">
        <v>1354.1394043</v>
      </c>
      <c r="K1197">
        <v>80</v>
      </c>
      <c r="L1197">
        <v>74.708854674999998</v>
      </c>
      <c r="M1197">
        <v>50</v>
      </c>
      <c r="N1197">
        <v>49.948436737000002</v>
      </c>
    </row>
    <row r="1198" spans="1:14" x14ac:dyDescent="0.25">
      <c r="A1198">
        <v>986.34395500000005</v>
      </c>
      <c r="B1198" s="1">
        <f>DATE(2013,1,11) + TIME(8,15,17)</f>
        <v>41285.343946759262</v>
      </c>
      <c r="C1198">
        <v>0</v>
      </c>
      <c r="D1198">
        <v>2400</v>
      </c>
      <c r="E1198">
        <v>2400</v>
      </c>
      <c r="F1198">
        <v>0</v>
      </c>
      <c r="G1198">
        <v>1320.2301024999999</v>
      </c>
      <c r="H1198">
        <v>1314.3613281</v>
      </c>
      <c r="I1198">
        <v>1364.9515381000001</v>
      </c>
      <c r="J1198">
        <v>1354.1234131000001</v>
      </c>
      <c r="K1198">
        <v>80</v>
      </c>
      <c r="L1198">
        <v>74.590408324999999</v>
      </c>
      <c r="M1198">
        <v>50</v>
      </c>
      <c r="N1198">
        <v>49.948528289999999</v>
      </c>
    </row>
    <row r="1199" spans="1:14" x14ac:dyDescent="0.25">
      <c r="A1199">
        <v>988.57842700000003</v>
      </c>
      <c r="B1199" s="1">
        <f>DATE(2013,1,13) + TIME(13,52,56)</f>
        <v>41287.578425925924</v>
      </c>
      <c r="C1199">
        <v>0</v>
      </c>
      <c r="D1199">
        <v>2400</v>
      </c>
      <c r="E1199">
        <v>2400</v>
      </c>
      <c r="F1199">
        <v>0</v>
      </c>
      <c r="G1199">
        <v>1320.0889893000001</v>
      </c>
      <c r="H1199">
        <v>1314.1741943</v>
      </c>
      <c r="I1199">
        <v>1364.9372559000001</v>
      </c>
      <c r="J1199">
        <v>1354.1074219</v>
      </c>
      <c r="K1199">
        <v>80</v>
      </c>
      <c r="L1199">
        <v>74.470199585000003</v>
      </c>
      <c r="M1199">
        <v>50</v>
      </c>
      <c r="N1199">
        <v>49.948627471999998</v>
      </c>
    </row>
    <row r="1200" spans="1:14" x14ac:dyDescent="0.25">
      <c r="A1200">
        <v>990.86289499999998</v>
      </c>
      <c r="B1200" s="1">
        <f>DATE(2013,1,15) + TIME(20,42,34)</f>
        <v>41289.862893518519</v>
      </c>
      <c r="C1200">
        <v>0</v>
      </c>
      <c r="D1200">
        <v>2400</v>
      </c>
      <c r="E1200">
        <v>2400</v>
      </c>
      <c r="F1200">
        <v>0</v>
      </c>
      <c r="G1200">
        <v>1319.9436035000001</v>
      </c>
      <c r="H1200">
        <v>1313.9808350000001</v>
      </c>
      <c r="I1200">
        <v>1364.9229736</v>
      </c>
      <c r="J1200">
        <v>1354.0914307</v>
      </c>
      <c r="K1200">
        <v>80</v>
      </c>
      <c r="L1200">
        <v>74.348533630000006</v>
      </c>
      <c r="M1200">
        <v>50</v>
      </c>
      <c r="N1200">
        <v>49.948722838999998</v>
      </c>
    </row>
    <row r="1201" spans="1:14" x14ac:dyDescent="0.25">
      <c r="A1201">
        <v>993.20227299999999</v>
      </c>
      <c r="B1201" s="1">
        <f>DATE(2013,1,18) + TIME(4,51,16)</f>
        <v>41292.202268518522</v>
      </c>
      <c r="C1201">
        <v>0</v>
      </c>
      <c r="D1201">
        <v>2400</v>
      </c>
      <c r="E1201">
        <v>2400</v>
      </c>
      <c r="F1201">
        <v>0</v>
      </c>
      <c r="G1201">
        <v>1319.7939452999999</v>
      </c>
      <c r="H1201">
        <v>1313.7817382999999</v>
      </c>
      <c r="I1201">
        <v>1364.9089355000001</v>
      </c>
      <c r="J1201">
        <v>1354.0755615</v>
      </c>
      <c r="K1201">
        <v>80</v>
      </c>
      <c r="L1201">
        <v>74.225463867000002</v>
      </c>
      <c r="M1201">
        <v>50</v>
      </c>
      <c r="N1201">
        <v>49.948822020999998</v>
      </c>
    </row>
    <row r="1202" spans="1:14" x14ac:dyDescent="0.25">
      <c r="A1202">
        <v>995.60139700000002</v>
      </c>
      <c r="B1202" s="1">
        <f>DATE(2013,1,20) + TIME(14,26,0)</f>
        <v>41294.601388888892</v>
      </c>
      <c r="C1202">
        <v>0</v>
      </c>
      <c r="D1202">
        <v>2400</v>
      </c>
      <c r="E1202">
        <v>2400</v>
      </c>
      <c r="F1202">
        <v>0</v>
      </c>
      <c r="G1202">
        <v>1319.6400146000001</v>
      </c>
      <c r="H1202">
        <v>1313.5764160000001</v>
      </c>
      <c r="I1202">
        <v>1364.8948975000001</v>
      </c>
      <c r="J1202">
        <v>1354.0595702999999</v>
      </c>
      <c r="K1202">
        <v>80</v>
      </c>
      <c r="L1202">
        <v>74.100883483999993</v>
      </c>
      <c r="M1202">
        <v>50</v>
      </c>
      <c r="N1202">
        <v>49.948925017999997</v>
      </c>
    </row>
    <row r="1203" spans="1:14" x14ac:dyDescent="0.25">
      <c r="A1203">
        <v>998.06421899999998</v>
      </c>
      <c r="B1203" s="1">
        <f>DATE(2013,1,23) + TIME(1,32,28)</f>
        <v>41297.064212962963</v>
      </c>
      <c r="C1203">
        <v>0</v>
      </c>
      <c r="D1203">
        <v>2400</v>
      </c>
      <c r="E1203">
        <v>2400</v>
      </c>
      <c r="F1203">
        <v>0</v>
      </c>
      <c r="G1203">
        <v>1319.4813231999999</v>
      </c>
      <c r="H1203">
        <v>1313.3647461</v>
      </c>
      <c r="I1203">
        <v>1364.8808594</v>
      </c>
      <c r="J1203">
        <v>1354.0437012</v>
      </c>
      <c r="K1203">
        <v>80</v>
      </c>
      <c r="L1203">
        <v>73.974624633999994</v>
      </c>
      <c r="M1203">
        <v>50</v>
      </c>
      <c r="N1203">
        <v>49.949028015000003</v>
      </c>
    </row>
    <row r="1204" spans="1:14" x14ac:dyDescent="0.25">
      <c r="A1204">
        <v>1000.5867009999999</v>
      </c>
      <c r="B1204" s="1">
        <f>DATE(2013,1,25) + TIME(14,4,50)</f>
        <v>41299.586689814816</v>
      </c>
      <c r="C1204">
        <v>0</v>
      </c>
      <c r="D1204">
        <v>2400</v>
      </c>
      <c r="E1204">
        <v>2400</v>
      </c>
      <c r="F1204">
        <v>0</v>
      </c>
      <c r="G1204">
        <v>1319.3178711</v>
      </c>
      <c r="H1204">
        <v>1313.1462402</v>
      </c>
      <c r="I1204">
        <v>1364.8668213000001</v>
      </c>
      <c r="J1204">
        <v>1354.027832</v>
      </c>
      <c r="K1204">
        <v>80</v>
      </c>
      <c r="L1204">
        <v>73.846687317000004</v>
      </c>
      <c r="M1204">
        <v>50</v>
      </c>
      <c r="N1204">
        <v>49.949134827000002</v>
      </c>
    </row>
    <row r="1205" spans="1:14" x14ac:dyDescent="0.25">
      <c r="A1205">
        <v>1003.164753</v>
      </c>
      <c r="B1205" s="1">
        <f>DATE(2013,1,28) + TIME(3,57,14)</f>
        <v>41302.16474537037</v>
      </c>
      <c r="C1205">
        <v>0</v>
      </c>
      <c r="D1205">
        <v>2400</v>
      </c>
      <c r="E1205">
        <v>2400</v>
      </c>
      <c r="F1205">
        <v>0</v>
      </c>
      <c r="G1205">
        <v>1319.1496582</v>
      </c>
      <c r="H1205">
        <v>1312.9211425999999</v>
      </c>
      <c r="I1205">
        <v>1364.8529053</v>
      </c>
      <c r="J1205">
        <v>1354.0119629000001</v>
      </c>
      <c r="K1205">
        <v>80</v>
      </c>
      <c r="L1205">
        <v>73.717163085999999</v>
      </c>
      <c r="M1205">
        <v>50</v>
      </c>
      <c r="N1205">
        <v>49.949241637999997</v>
      </c>
    </row>
    <row r="1206" spans="1:14" x14ac:dyDescent="0.25">
      <c r="A1206">
        <v>1005.794268</v>
      </c>
      <c r="B1206" s="1">
        <f>DATE(2013,1,30) + TIME(19,3,44)</f>
        <v>41304.794259259259</v>
      </c>
      <c r="C1206">
        <v>0</v>
      </c>
      <c r="D1206">
        <v>2400</v>
      </c>
      <c r="E1206">
        <v>2400</v>
      </c>
      <c r="F1206">
        <v>0</v>
      </c>
      <c r="G1206">
        <v>1318.9770507999999</v>
      </c>
      <c r="H1206">
        <v>1312.6898193</v>
      </c>
      <c r="I1206">
        <v>1364.8389893000001</v>
      </c>
      <c r="J1206">
        <v>1353.9960937999999</v>
      </c>
      <c r="K1206">
        <v>80</v>
      </c>
      <c r="L1206">
        <v>73.586174010999997</v>
      </c>
      <c r="M1206">
        <v>50</v>
      </c>
      <c r="N1206">
        <v>49.949348450000002</v>
      </c>
    </row>
    <row r="1207" spans="1:14" x14ac:dyDescent="0.25">
      <c r="A1207">
        <v>1007</v>
      </c>
      <c r="B1207" s="1">
        <f>DATE(2013,2,1) + TIME(0,0,0)</f>
        <v>41306</v>
      </c>
      <c r="C1207">
        <v>0</v>
      </c>
      <c r="D1207">
        <v>2400</v>
      </c>
      <c r="E1207">
        <v>2400</v>
      </c>
      <c r="F1207">
        <v>0</v>
      </c>
      <c r="G1207">
        <v>1318.8106689000001</v>
      </c>
      <c r="H1207">
        <v>1312.4707031</v>
      </c>
      <c r="I1207">
        <v>1364.8244629000001</v>
      </c>
      <c r="J1207">
        <v>1353.9802245999999</v>
      </c>
      <c r="K1207">
        <v>80</v>
      </c>
      <c r="L1207">
        <v>73.497116089000002</v>
      </c>
      <c r="M1207">
        <v>50</v>
      </c>
      <c r="N1207">
        <v>49.949398041000002</v>
      </c>
    </row>
    <row r="1208" spans="1:14" x14ac:dyDescent="0.25">
      <c r="A1208">
        <v>1009.682175</v>
      </c>
      <c r="B1208" s="1">
        <f>DATE(2013,2,3) + TIME(16,22,19)</f>
        <v>41308.682164351849</v>
      </c>
      <c r="C1208">
        <v>0</v>
      </c>
      <c r="D1208">
        <v>2400</v>
      </c>
      <c r="E1208">
        <v>2400</v>
      </c>
      <c r="F1208">
        <v>0</v>
      </c>
      <c r="G1208">
        <v>1318.7034911999999</v>
      </c>
      <c r="H1208">
        <v>1312.3198242000001</v>
      </c>
      <c r="I1208">
        <v>1364.8190918</v>
      </c>
      <c r="J1208">
        <v>1353.9727783000001</v>
      </c>
      <c r="K1208">
        <v>80</v>
      </c>
      <c r="L1208">
        <v>73.38218689</v>
      </c>
      <c r="M1208">
        <v>50</v>
      </c>
      <c r="N1208">
        <v>49.949512482000003</v>
      </c>
    </row>
    <row r="1209" spans="1:14" x14ac:dyDescent="0.25">
      <c r="A1209">
        <v>1012.454034</v>
      </c>
      <c r="B1209" s="1">
        <f>DATE(2013,2,6) + TIME(10,53,48)</f>
        <v>41311.454027777778</v>
      </c>
      <c r="C1209">
        <v>0</v>
      </c>
      <c r="D1209">
        <v>2400</v>
      </c>
      <c r="E1209">
        <v>2400</v>
      </c>
      <c r="F1209">
        <v>0</v>
      </c>
      <c r="G1209">
        <v>1318.5317382999999</v>
      </c>
      <c r="H1209">
        <v>1312.0902100000001</v>
      </c>
      <c r="I1209">
        <v>1364.8054199000001</v>
      </c>
      <c r="J1209">
        <v>1353.9576416</v>
      </c>
      <c r="K1209">
        <v>80</v>
      </c>
      <c r="L1209">
        <v>73.254814147999994</v>
      </c>
      <c r="M1209">
        <v>50</v>
      </c>
      <c r="N1209">
        <v>49.949623107999997</v>
      </c>
    </row>
    <row r="1210" spans="1:14" x14ac:dyDescent="0.25">
      <c r="A1210">
        <v>1015.279895</v>
      </c>
      <c r="B1210" s="1">
        <f>DATE(2013,2,9) + TIME(6,43,2)</f>
        <v>41314.27988425926</v>
      </c>
      <c r="C1210">
        <v>0</v>
      </c>
      <c r="D1210">
        <v>2400</v>
      </c>
      <c r="E1210">
        <v>2400</v>
      </c>
      <c r="F1210">
        <v>0</v>
      </c>
      <c r="G1210">
        <v>1318.3481445</v>
      </c>
      <c r="H1210">
        <v>1311.8436279</v>
      </c>
      <c r="I1210">
        <v>1364.791626</v>
      </c>
      <c r="J1210">
        <v>1353.9421387</v>
      </c>
      <c r="K1210">
        <v>80</v>
      </c>
      <c r="L1210">
        <v>73.120948791999993</v>
      </c>
      <c r="M1210">
        <v>50</v>
      </c>
      <c r="N1210">
        <v>49.949733733999999</v>
      </c>
    </row>
    <row r="1211" spans="1:14" x14ac:dyDescent="0.25">
      <c r="A1211">
        <v>1018.159311</v>
      </c>
      <c r="B1211" s="1">
        <f>DATE(2013,2,12) + TIME(3,49,24)</f>
        <v>41317.159305555557</v>
      </c>
      <c r="C1211">
        <v>0</v>
      </c>
      <c r="D1211">
        <v>2400</v>
      </c>
      <c r="E1211">
        <v>2400</v>
      </c>
      <c r="F1211">
        <v>0</v>
      </c>
      <c r="G1211">
        <v>1318.1578368999999</v>
      </c>
      <c r="H1211">
        <v>1311.5870361</v>
      </c>
      <c r="I1211">
        <v>1364.777832</v>
      </c>
      <c r="J1211">
        <v>1353.9266356999999</v>
      </c>
      <c r="K1211">
        <v>80</v>
      </c>
      <c r="L1211">
        <v>72.983406067000004</v>
      </c>
      <c r="M1211">
        <v>50</v>
      </c>
      <c r="N1211">
        <v>49.949848175</v>
      </c>
    </row>
    <row r="1212" spans="1:14" x14ac:dyDescent="0.25">
      <c r="A1212">
        <v>1021.099115</v>
      </c>
      <c r="B1212" s="1">
        <f>DATE(2013,2,15) + TIME(2,22,43)</f>
        <v>41320.099108796298</v>
      </c>
      <c r="C1212">
        <v>0</v>
      </c>
      <c r="D1212">
        <v>2400</v>
      </c>
      <c r="E1212">
        <v>2400</v>
      </c>
      <c r="F1212">
        <v>0</v>
      </c>
      <c r="G1212">
        <v>1317.9626464999999</v>
      </c>
      <c r="H1212">
        <v>1311.3231201000001</v>
      </c>
      <c r="I1212">
        <v>1364.7640381000001</v>
      </c>
      <c r="J1212">
        <v>1353.9112548999999</v>
      </c>
      <c r="K1212">
        <v>80</v>
      </c>
      <c r="L1212">
        <v>72.843070983999993</v>
      </c>
      <c r="M1212">
        <v>50</v>
      </c>
      <c r="N1212">
        <v>49.949962616000001</v>
      </c>
    </row>
    <row r="1213" spans="1:14" x14ac:dyDescent="0.25">
      <c r="A1213">
        <v>1024.1064879999999</v>
      </c>
      <c r="B1213" s="1">
        <f>DATE(2013,2,18) + TIME(2,33,20)</f>
        <v>41323.106481481482</v>
      </c>
      <c r="C1213">
        <v>0</v>
      </c>
      <c r="D1213">
        <v>2400</v>
      </c>
      <c r="E1213">
        <v>2400</v>
      </c>
      <c r="F1213">
        <v>0</v>
      </c>
      <c r="G1213">
        <v>1317.7626952999999</v>
      </c>
      <c r="H1213">
        <v>1311.0524902</v>
      </c>
      <c r="I1213">
        <v>1364.7502440999999</v>
      </c>
      <c r="J1213">
        <v>1353.8959961</v>
      </c>
      <c r="K1213">
        <v>80</v>
      </c>
      <c r="L1213">
        <v>72.699943542</v>
      </c>
      <c r="M1213">
        <v>50</v>
      </c>
      <c r="N1213">
        <v>49.950077057000001</v>
      </c>
    </row>
    <row r="1214" spans="1:14" x14ac:dyDescent="0.25">
      <c r="A1214">
        <v>1027.1675949999999</v>
      </c>
      <c r="B1214" s="1">
        <f>DATE(2013,2,21) + TIME(4,1,20)</f>
        <v>41326.167592592596</v>
      </c>
      <c r="C1214">
        <v>0</v>
      </c>
      <c r="D1214">
        <v>2400</v>
      </c>
      <c r="E1214">
        <v>2400</v>
      </c>
      <c r="F1214">
        <v>0</v>
      </c>
      <c r="G1214">
        <v>1317.5582274999999</v>
      </c>
      <c r="H1214">
        <v>1310.7750243999999</v>
      </c>
      <c r="I1214">
        <v>1364.7364502</v>
      </c>
      <c r="J1214">
        <v>1353.8807373</v>
      </c>
      <c r="K1214">
        <v>80</v>
      </c>
      <c r="L1214">
        <v>72.554039001000007</v>
      </c>
      <c r="M1214">
        <v>50</v>
      </c>
      <c r="N1214">
        <v>49.950195311999998</v>
      </c>
    </row>
    <row r="1215" spans="1:14" x14ac:dyDescent="0.25">
      <c r="A1215">
        <v>1030.2893160000001</v>
      </c>
      <c r="B1215" s="1">
        <f>DATE(2013,2,24) + TIME(6,56,36)</f>
        <v>41329.289305555554</v>
      </c>
      <c r="C1215">
        <v>0</v>
      </c>
      <c r="D1215">
        <v>2400</v>
      </c>
      <c r="E1215">
        <v>2400</v>
      </c>
      <c r="F1215">
        <v>0</v>
      </c>
      <c r="G1215">
        <v>1317.3496094</v>
      </c>
      <c r="H1215">
        <v>1310.4915771000001</v>
      </c>
      <c r="I1215">
        <v>1364.7226562000001</v>
      </c>
      <c r="J1215">
        <v>1353.8654785000001</v>
      </c>
      <c r="K1215">
        <v>80</v>
      </c>
      <c r="L1215">
        <v>72.405250549000002</v>
      </c>
      <c r="M1215">
        <v>50</v>
      </c>
      <c r="N1215">
        <v>49.950313567999999</v>
      </c>
    </row>
    <row r="1216" spans="1:14" x14ac:dyDescent="0.25">
      <c r="A1216">
        <v>1033.4791090000001</v>
      </c>
      <c r="B1216" s="1">
        <f>DATE(2013,2,27) + TIME(11,29,54)</f>
        <v>41332.479097222225</v>
      </c>
      <c r="C1216">
        <v>0</v>
      </c>
      <c r="D1216">
        <v>2400</v>
      </c>
      <c r="E1216">
        <v>2400</v>
      </c>
      <c r="F1216">
        <v>0</v>
      </c>
      <c r="G1216">
        <v>1317.1369629000001</v>
      </c>
      <c r="H1216">
        <v>1310.2021483999999</v>
      </c>
      <c r="I1216">
        <v>1364.7087402</v>
      </c>
      <c r="J1216">
        <v>1353.8503418</v>
      </c>
      <c r="K1216">
        <v>80</v>
      </c>
      <c r="L1216">
        <v>72.253143311000002</v>
      </c>
      <c r="M1216">
        <v>50</v>
      </c>
      <c r="N1216">
        <v>49.950431823999999</v>
      </c>
    </row>
    <row r="1217" spans="1:14" x14ac:dyDescent="0.25">
      <c r="A1217">
        <v>1035</v>
      </c>
      <c r="B1217" s="1">
        <f>DATE(2013,3,1) + TIME(0,0,0)</f>
        <v>41334</v>
      </c>
      <c r="C1217">
        <v>0</v>
      </c>
      <c r="D1217">
        <v>2400</v>
      </c>
      <c r="E1217">
        <v>2400</v>
      </c>
      <c r="F1217">
        <v>0</v>
      </c>
      <c r="G1217">
        <v>1316.9310303</v>
      </c>
      <c r="H1217">
        <v>1309.9265137</v>
      </c>
      <c r="I1217">
        <v>1364.6940918</v>
      </c>
      <c r="J1217">
        <v>1353.8352050999999</v>
      </c>
      <c r="K1217">
        <v>80</v>
      </c>
      <c r="L1217">
        <v>72.140296935999999</v>
      </c>
      <c r="M1217">
        <v>50</v>
      </c>
      <c r="N1217">
        <v>49.950485229000002</v>
      </c>
    </row>
    <row r="1218" spans="1:14" x14ac:dyDescent="0.25">
      <c r="A1218">
        <v>1038.2539609999999</v>
      </c>
      <c r="B1218" s="1">
        <f>DATE(2013,3,4) + TIME(6,5,42)</f>
        <v>41337.253958333335</v>
      </c>
      <c r="C1218">
        <v>0</v>
      </c>
      <c r="D1218">
        <v>2400</v>
      </c>
      <c r="E1218">
        <v>2400</v>
      </c>
      <c r="F1218">
        <v>0</v>
      </c>
      <c r="G1218">
        <v>1316.7951660000001</v>
      </c>
      <c r="H1218">
        <v>1309.7319336</v>
      </c>
      <c r="I1218">
        <v>1364.6883545000001</v>
      </c>
      <c r="J1218">
        <v>1353.8276367000001</v>
      </c>
      <c r="K1218">
        <v>80</v>
      </c>
      <c r="L1218">
        <v>72.009521484000004</v>
      </c>
      <c r="M1218">
        <v>50</v>
      </c>
      <c r="N1218">
        <v>49.950607300000001</v>
      </c>
    </row>
    <row r="1219" spans="1:14" x14ac:dyDescent="0.25">
      <c r="A1219">
        <v>1041.6031849999999</v>
      </c>
      <c r="B1219" s="1">
        <f>DATE(2013,3,7) + TIME(14,28,35)</f>
        <v>41340.603182870371</v>
      </c>
      <c r="C1219">
        <v>0</v>
      </c>
      <c r="D1219">
        <v>2400</v>
      </c>
      <c r="E1219">
        <v>2400</v>
      </c>
      <c r="F1219">
        <v>0</v>
      </c>
      <c r="G1219">
        <v>1316.5882568</v>
      </c>
      <c r="H1219">
        <v>1309.4514160000001</v>
      </c>
      <c r="I1219">
        <v>1364.6741943</v>
      </c>
      <c r="J1219">
        <v>1353.8132324000001</v>
      </c>
      <c r="K1219">
        <v>80</v>
      </c>
      <c r="L1219">
        <v>71.856971740999995</v>
      </c>
      <c r="M1219">
        <v>50</v>
      </c>
      <c r="N1219">
        <v>49.950725554999998</v>
      </c>
    </row>
    <row r="1220" spans="1:14" x14ac:dyDescent="0.25">
      <c r="A1220">
        <v>1045.0253379999999</v>
      </c>
      <c r="B1220" s="1">
        <f>DATE(2013,3,11) + TIME(0,36,29)</f>
        <v>41344.025335648148</v>
      </c>
      <c r="C1220">
        <v>0</v>
      </c>
      <c r="D1220">
        <v>2400</v>
      </c>
      <c r="E1220">
        <v>2400</v>
      </c>
      <c r="F1220">
        <v>0</v>
      </c>
      <c r="G1220">
        <v>1316.3664550999999</v>
      </c>
      <c r="H1220">
        <v>1309.1483154</v>
      </c>
      <c r="I1220">
        <v>1364.6597899999999</v>
      </c>
      <c r="J1220">
        <v>1353.7985839999999</v>
      </c>
      <c r="K1220">
        <v>80</v>
      </c>
      <c r="L1220">
        <v>71.693122864000003</v>
      </c>
      <c r="M1220">
        <v>50</v>
      </c>
      <c r="N1220">
        <v>49.950847625999998</v>
      </c>
    </row>
    <row r="1221" spans="1:14" x14ac:dyDescent="0.25">
      <c r="A1221">
        <v>1048.515204</v>
      </c>
      <c r="B1221" s="1">
        <f>DATE(2013,3,14) + TIME(12,21,53)</f>
        <v>41347.515196759261</v>
      </c>
      <c r="C1221">
        <v>0</v>
      </c>
      <c r="D1221">
        <v>2400</v>
      </c>
      <c r="E1221">
        <v>2400</v>
      </c>
      <c r="F1221">
        <v>0</v>
      </c>
      <c r="G1221">
        <v>1316.1370850000001</v>
      </c>
      <c r="H1221">
        <v>1308.8336182</v>
      </c>
      <c r="I1221">
        <v>1364.6453856999999</v>
      </c>
      <c r="J1221">
        <v>1353.7836914</v>
      </c>
      <c r="K1221">
        <v>80</v>
      </c>
      <c r="L1221">
        <v>71.521713257000002</v>
      </c>
      <c r="M1221">
        <v>50</v>
      </c>
      <c r="N1221">
        <v>49.950965881000002</v>
      </c>
    </row>
    <row r="1222" spans="1:14" x14ac:dyDescent="0.25">
      <c r="A1222">
        <v>1052.0737710000001</v>
      </c>
      <c r="B1222" s="1">
        <f>DATE(2013,3,18) + TIME(1,46,13)</f>
        <v>41351.073761574073</v>
      </c>
      <c r="C1222">
        <v>0</v>
      </c>
      <c r="D1222">
        <v>2400</v>
      </c>
      <c r="E1222">
        <v>2400</v>
      </c>
      <c r="F1222">
        <v>0</v>
      </c>
      <c r="G1222">
        <v>1315.902832</v>
      </c>
      <c r="H1222">
        <v>1308.5113524999999</v>
      </c>
      <c r="I1222">
        <v>1364.6307373</v>
      </c>
      <c r="J1222">
        <v>1353.7689209</v>
      </c>
      <c r="K1222">
        <v>80</v>
      </c>
      <c r="L1222">
        <v>71.343704224000007</v>
      </c>
      <c r="M1222">
        <v>50</v>
      </c>
      <c r="N1222">
        <v>49.951087952000002</v>
      </c>
    </row>
    <row r="1223" spans="1:14" x14ac:dyDescent="0.25">
      <c r="A1223">
        <v>1055.7110130000001</v>
      </c>
      <c r="B1223" s="1">
        <f>DATE(2013,3,21) + TIME(17,3,51)</f>
        <v>41354.711006944446</v>
      </c>
      <c r="C1223">
        <v>0</v>
      </c>
      <c r="D1223">
        <v>2400</v>
      </c>
      <c r="E1223">
        <v>2400</v>
      </c>
      <c r="F1223">
        <v>0</v>
      </c>
      <c r="G1223">
        <v>1315.6646728999999</v>
      </c>
      <c r="H1223">
        <v>1308.1828613</v>
      </c>
      <c r="I1223">
        <v>1364.6159668</v>
      </c>
      <c r="J1223">
        <v>1353.7541504000001</v>
      </c>
      <c r="K1223">
        <v>80</v>
      </c>
      <c r="L1223">
        <v>71.158843993999994</v>
      </c>
      <c r="M1223">
        <v>50</v>
      </c>
      <c r="N1223">
        <v>49.951210021999998</v>
      </c>
    </row>
    <row r="1224" spans="1:14" x14ac:dyDescent="0.25">
      <c r="A1224">
        <v>1059.427809</v>
      </c>
      <c r="B1224" s="1">
        <f>DATE(2013,3,25) + TIME(10,16,2)</f>
        <v>41358.427800925929</v>
      </c>
      <c r="C1224">
        <v>0</v>
      </c>
      <c r="D1224">
        <v>2400</v>
      </c>
      <c r="E1224">
        <v>2400</v>
      </c>
      <c r="F1224">
        <v>0</v>
      </c>
      <c r="G1224">
        <v>1315.4226074000001</v>
      </c>
      <c r="H1224">
        <v>1307.8481445</v>
      </c>
      <c r="I1224">
        <v>1364.6008300999999</v>
      </c>
      <c r="J1224">
        <v>1353.7395019999999</v>
      </c>
      <c r="K1224">
        <v>80</v>
      </c>
      <c r="L1224">
        <v>70.966415405000006</v>
      </c>
      <c r="M1224">
        <v>50</v>
      </c>
      <c r="N1224">
        <v>49.951332092000001</v>
      </c>
    </row>
    <row r="1225" spans="1:14" x14ac:dyDescent="0.25">
      <c r="A1225">
        <v>1063.21839</v>
      </c>
      <c r="B1225" s="1">
        <f>DATE(2013,3,29) + TIME(5,14,28)</f>
        <v>41362.21837962963</v>
      </c>
      <c r="C1225">
        <v>0</v>
      </c>
      <c r="D1225">
        <v>2400</v>
      </c>
      <c r="E1225">
        <v>2400</v>
      </c>
      <c r="F1225">
        <v>0</v>
      </c>
      <c r="G1225">
        <v>1315.1768798999999</v>
      </c>
      <c r="H1225">
        <v>1307.5075684000001</v>
      </c>
      <c r="I1225">
        <v>1364.5855713000001</v>
      </c>
      <c r="J1225">
        <v>1353.7247314000001</v>
      </c>
      <c r="K1225">
        <v>80</v>
      </c>
      <c r="L1225">
        <v>70.765830993999998</v>
      </c>
      <c r="M1225">
        <v>50</v>
      </c>
      <c r="N1225">
        <v>49.951454163000001</v>
      </c>
    </row>
    <row r="1226" spans="1:14" x14ac:dyDescent="0.25">
      <c r="A1226">
        <v>1066</v>
      </c>
      <c r="B1226" s="1">
        <f>DATE(2013,4,1) + TIME(0,0,0)</f>
        <v>41365</v>
      </c>
      <c r="C1226">
        <v>0</v>
      </c>
      <c r="D1226">
        <v>2400</v>
      </c>
      <c r="E1226">
        <v>2400</v>
      </c>
      <c r="F1226">
        <v>0</v>
      </c>
      <c r="G1226">
        <v>1314.9324951000001</v>
      </c>
      <c r="H1226">
        <v>1307.1708983999999</v>
      </c>
      <c r="I1226">
        <v>1364.5697021000001</v>
      </c>
      <c r="J1226">
        <v>1353.7098389</v>
      </c>
      <c r="K1226">
        <v>80</v>
      </c>
      <c r="L1226">
        <v>70.577217102000006</v>
      </c>
      <c r="M1226">
        <v>50</v>
      </c>
      <c r="N1226">
        <v>49.951541900999999</v>
      </c>
    </row>
    <row r="1227" spans="1:14" x14ac:dyDescent="0.25">
      <c r="A1227">
        <v>1069.8760870000001</v>
      </c>
      <c r="B1227" s="1">
        <f>DATE(2013,4,4) + TIME(21,1,33)</f>
        <v>41368.876076388886</v>
      </c>
      <c r="C1227">
        <v>0</v>
      </c>
      <c r="D1227">
        <v>2400</v>
      </c>
      <c r="E1227">
        <v>2400</v>
      </c>
      <c r="F1227">
        <v>0</v>
      </c>
      <c r="G1227">
        <v>1314.7301024999999</v>
      </c>
      <c r="H1227">
        <v>1306.8829346</v>
      </c>
      <c r="I1227">
        <v>1364.5587158000001</v>
      </c>
      <c r="J1227">
        <v>1353.6989745999999</v>
      </c>
      <c r="K1227">
        <v>80</v>
      </c>
      <c r="L1227">
        <v>70.389007567999997</v>
      </c>
      <c r="M1227">
        <v>50</v>
      </c>
      <c r="N1227">
        <v>49.951667786000002</v>
      </c>
    </row>
    <row r="1228" spans="1:14" x14ac:dyDescent="0.25">
      <c r="A1228">
        <v>1073.9039170000001</v>
      </c>
      <c r="B1228" s="1">
        <f>DATE(2013,4,8) + TIME(21,41,38)</f>
        <v>41372.903912037036</v>
      </c>
      <c r="C1228">
        <v>0</v>
      </c>
      <c r="D1228">
        <v>2400</v>
      </c>
      <c r="E1228">
        <v>2400</v>
      </c>
      <c r="F1228">
        <v>0</v>
      </c>
      <c r="G1228">
        <v>1314.4906006000001</v>
      </c>
      <c r="H1228">
        <v>1306.5507812000001</v>
      </c>
      <c r="I1228">
        <v>1364.5427245999999</v>
      </c>
      <c r="J1228">
        <v>1353.6846923999999</v>
      </c>
      <c r="K1228">
        <v>80</v>
      </c>
      <c r="L1228">
        <v>70.171409607000001</v>
      </c>
      <c r="M1228">
        <v>50</v>
      </c>
      <c r="N1228">
        <v>49.951789855999998</v>
      </c>
    </row>
    <row r="1229" spans="1:14" x14ac:dyDescent="0.25">
      <c r="A1229">
        <v>1078.0222679999999</v>
      </c>
      <c r="B1229" s="1">
        <f>DATE(2013,4,13) + TIME(0,32,3)</f>
        <v>41377.022256944445</v>
      </c>
      <c r="C1229">
        <v>0</v>
      </c>
      <c r="D1229">
        <v>2400</v>
      </c>
      <c r="E1229">
        <v>2400</v>
      </c>
      <c r="F1229">
        <v>0</v>
      </c>
      <c r="G1229">
        <v>1314.2371826000001</v>
      </c>
      <c r="H1229">
        <v>1306.1970214999999</v>
      </c>
      <c r="I1229">
        <v>1364.5262451000001</v>
      </c>
      <c r="J1229">
        <v>1353.6699219</v>
      </c>
      <c r="K1229">
        <v>80</v>
      </c>
      <c r="L1229">
        <v>69.935180664000001</v>
      </c>
      <c r="M1229">
        <v>50</v>
      </c>
      <c r="N1229">
        <v>49.951911926000001</v>
      </c>
    </row>
    <row r="1230" spans="1:14" x14ac:dyDescent="0.25">
      <c r="A1230">
        <v>1082.246535</v>
      </c>
      <c r="B1230" s="1">
        <f>DATE(2013,4,17) + TIME(5,55,0)</f>
        <v>41381.246527777781</v>
      </c>
      <c r="C1230">
        <v>0</v>
      </c>
      <c r="D1230">
        <v>2400</v>
      </c>
      <c r="E1230">
        <v>2400</v>
      </c>
      <c r="F1230">
        <v>0</v>
      </c>
      <c r="G1230">
        <v>1313.9781493999999</v>
      </c>
      <c r="H1230">
        <v>1305.8336182</v>
      </c>
      <c r="I1230">
        <v>1364.5092772999999</v>
      </c>
      <c r="J1230">
        <v>1353.6550293</v>
      </c>
      <c r="K1230">
        <v>80</v>
      </c>
      <c r="L1230">
        <v>69.684150696000003</v>
      </c>
      <c r="M1230">
        <v>50</v>
      </c>
      <c r="N1230">
        <v>49.952037810999997</v>
      </c>
    </row>
    <row r="1231" spans="1:14" x14ac:dyDescent="0.25">
      <c r="A1231">
        <v>1086.5662580000001</v>
      </c>
      <c r="B1231" s="1">
        <f>DATE(2013,4,21) + TIME(13,35,24)</f>
        <v>41385.566250000003</v>
      </c>
      <c r="C1231">
        <v>0</v>
      </c>
      <c r="D1231">
        <v>2400</v>
      </c>
      <c r="E1231">
        <v>2400</v>
      </c>
      <c r="F1231">
        <v>0</v>
      </c>
      <c r="G1231">
        <v>1313.7152100000001</v>
      </c>
      <c r="H1231">
        <v>1305.4637451000001</v>
      </c>
      <c r="I1231">
        <v>1364.4919434000001</v>
      </c>
      <c r="J1231">
        <v>1353.6400146000001</v>
      </c>
      <c r="K1231">
        <v>80</v>
      </c>
      <c r="L1231">
        <v>69.418693542</v>
      </c>
      <c r="M1231">
        <v>50</v>
      </c>
      <c r="N1231">
        <v>49.952163696</v>
      </c>
    </row>
    <row r="1232" spans="1:14" x14ac:dyDescent="0.25">
      <c r="A1232">
        <v>1090.9936720000001</v>
      </c>
      <c r="B1232" s="1">
        <f>DATE(2013,4,25) + TIME(23,50,53)</f>
        <v>41389.993668981479</v>
      </c>
      <c r="C1232">
        <v>0</v>
      </c>
      <c r="D1232">
        <v>2400</v>
      </c>
      <c r="E1232">
        <v>2400</v>
      </c>
      <c r="F1232">
        <v>0</v>
      </c>
      <c r="G1232">
        <v>1313.4499512</v>
      </c>
      <c r="H1232">
        <v>1305.0891113</v>
      </c>
      <c r="I1232">
        <v>1364.4741211</v>
      </c>
      <c r="J1232">
        <v>1353.6248779</v>
      </c>
      <c r="K1232">
        <v>80</v>
      </c>
      <c r="L1232">
        <v>69.138465881000002</v>
      </c>
      <c r="M1232">
        <v>50</v>
      </c>
      <c r="N1232">
        <v>49.952289581000002</v>
      </c>
    </row>
    <row r="1233" spans="1:14" x14ac:dyDescent="0.25">
      <c r="A1233">
        <v>1095.5148509999999</v>
      </c>
      <c r="B1233" s="1">
        <f>DATE(2013,4,30) + TIME(12,21,23)</f>
        <v>41394.514849537038</v>
      </c>
      <c r="C1233">
        <v>0</v>
      </c>
      <c r="D1233">
        <v>2400</v>
      </c>
      <c r="E1233">
        <v>2400</v>
      </c>
      <c r="F1233">
        <v>0</v>
      </c>
      <c r="G1233">
        <v>1313.1826172000001</v>
      </c>
      <c r="H1233">
        <v>1304.7104492000001</v>
      </c>
      <c r="I1233">
        <v>1364.4558105000001</v>
      </c>
      <c r="J1233">
        <v>1353.6094971</v>
      </c>
      <c r="K1233">
        <v>80</v>
      </c>
      <c r="L1233">
        <v>68.842666625999996</v>
      </c>
      <c r="M1233">
        <v>50</v>
      </c>
      <c r="N1233">
        <v>49.952415465999998</v>
      </c>
    </row>
    <row r="1234" spans="1:14" x14ac:dyDescent="0.25">
      <c r="A1234">
        <v>1096</v>
      </c>
      <c r="B1234" s="1">
        <f>DATE(2013,5,1) + TIME(0,0,0)</f>
        <v>41395</v>
      </c>
      <c r="C1234">
        <v>0</v>
      </c>
      <c r="D1234">
        <v>2400</v>
      </c>
      <c r="E1234">
        <v>2400</v>
      </c>
      <c r="F1234">
        <v>0</v>
      </c>
      <c r="G1234">
        <v>1312.9412841999999</v>
      </c>
      <c r="H1234">
        <v>1304.3969727000001</v>
      </c>
      <c r="I1234">
        <v>1364.4359131000001</v>
      </c>
      <c r="J1234">
        <v>1353.5935059000001</v>
      </c>
      <c r="K1234">
        <v>80</v>
      </c>
      <c r="L1234">
        <v>68.73828125</v>
      </c>
      <c r="M1234">
        <v>50</v>
      </c>
      <c r="N1234">
        <v>49.952423095999997</v>
      </c>
    </row>
    <row r="1235" spans="1:14" x14ac:dyDescent="0.25">
      <c r="A1235">
        <v>1096.0000010000001</v>
      </c>
      <c r="B1235" s="1">
        <f>DATE(2013,5,1) + TIME(0,0,0)</f>
        <v>41395</v>
      </c>
      <c r="C1235">
        <v>2400</v>
      </c>
      <c r="D1235">
        <v>0</v>
      </c>
      <c r="E1235">
        <v>0</v>
      </c>
      <c r="F1235">
        <v>2400</v>
      </c>
      <c r="G1235">
        <v>1324.2917480000001</v>
      </c>
      <c r="H1235">
        <v>1313.5213623</v>
      </c>
      <c r="I1235">
        <v>1353.1563721</v>
      </c>
      <c r="J1235">
        <v>1344.8287353999999</v>
      </c>
      <c r="K1235">
        <v>80</v>
      </c>
      <c r="L1235">
        <v>68.738372803000004</v>
      </c>
      <c r="M1235">
        <v>50</v>
      </c>
      <c r="N1235">
        <v>49.952369689999998</v>
      </c>
    </row>
    <row r="1236" spans="1:14" x14ac:dyDescent="0.25">
      <c r="A1236">
        <v>1096.000004</v>
      </c>
      <c r="B1236" s="1">
        <f>DATE(2013,5,1) + TIME(0,0,0)</f>
        <v>41395</v>
      </c>
      <c r="C1236">
        <v>2400</v>
      </c>
      <c r="D1236">
        <v>0</v>
      </c>
      <c r="E1236">
        <v>0</v>
      </c>
      <c r="F1236">
        <v>2400</v>
      </c>
      <c r="G1236">
        <v>1325.534668</v>
      </c>
      <c r="H1236">
        <v>1314.9995117000001</v>
      </c>
      <c r="I1236">
        <v>1351.9904785000001</v>
      </c>
      <c r="J1236">
        <v>1343.6622314000001</v>
      </c>
      <c r="K1236">
        <v>80</v>
      </c>
      <c r="L1236">
        <v>68.738601685000006</v>
      </c>
      <c r="M1236">
        <v>50</v>
      </c>
      <c r="N1236">
        <v>49.952220916999998</v>
      </c>
    </row>
    <row r="1237" spans="1:14" x14ac:dyDescent="0.25">
      <c r="A1237">
        <v>1096.0000130000001</v>
      </c>
      <c r="B1237" s="1">
        <f>DATE(2013,5,1) + TIME(0,0,1)</f>
        <v>41395.000011574077</v>
      </c>
      <c r="C1237">
        <v>2400</v>
      </c>
      <c r="D1237">
        <v>0</v>
      </c>
      <c r="E1237">
        <v>0</v>
      </c>
      <c r="F1237">
        <v>2400</v>
      </c>
      <c r="G1237">
        <v>1328.2557373</v>
      </c>
      <c r="H1237">
        <v>1318.0430908000001</v>
      </c>
      <c r="I1237">
        <v>1349.375</v>
      </c>
      <c r="J1237">
        <v>1341.0458983999999</v>
      </c>
      <c r="K1237">
        <v>80</v>
      </c>
      <c r="L1237">
        <v>68.739105225000003</v>
      </c>
      <c r="M1237">
        <v>50</v>
      </c>
      <c r="N1237">
        <v>49.951892852999997</v>
      </c>
    </row>
    <row r="1238" spans="1:14" x14ac:dyDescent="0.25">
      <c r="A1238">
        <v>1096.0000399999999</v>
      </c>
      <c r="B1238" s="1">
        <f>DATE(2013,5,1) + TIME(0,0,3)</f>
        <v>41395.000034722223</v>
      </c>
      <c r="C1238">
        <v>2400</v>
      </c>
      <c r="D1238">
        <v>0</v>
      </c>
      <c r="E1238">
        <v>0</v>
      </c>
      <c r="F1238">
        <v>2400</v>
      </c>
      <c r="G1238">
        <v>1332.7207031</v>
      </c>
      <c r="H1238">
        <v>1322.6536865</v>
      </c>
      <c r="I1238">
        <v>1345.0030518000001</v>
      </c>
      <c r="J1238">
        <v>1336.6748047000001</v>
      </c>
      <c r="K1238">
        <v>80</v>
      </c>
      <c r="L1238">
        <v>68.739990234000004</v>
      </c>
      <c r="M1238">
        <v>50</v>
      </c>
      <c r="N1238">
        <v>49.951339722</v>
      </c>
    </row>
    <row r="1239" spans="1:14" x14ac:dyDescent="0.25">
      <c r="A1239">
        <v>1096.000121</v>
      </c>
      <c r="B1239" s="1">
        <f>DATE(2013,5,1) + TIME(0,0,10)</f>
        <v>41395.000115740739</v>
      </c>
      <c r="C1239">
        <v>2400</v>
      </c>
      <c r="D1239">
        <v>0</v>
      </c>
      <c r="E1239">
        <v>0</v>
      </c>
      <c r="F1239">
        <v>2400</v>
      </c>
      <c r="G1239">
        <v>1338.1917725000001</v>
      </c>
      <c r="H1239">
        <v>1328.0290527</v>
      </c>
      <c r="I1239">
        <v>1339.6638184000001</v>
      </c>
      <c r="J1239">
        <v>1331.3405762</v>
      </c>
      <c r="K1239">
        <v>80</v>
      </c>
      <c r="L1239">
        <v>68.741500853999995</v>
      </c>
      <c r="M1239">
        <v>50</v>
      </c>
      <c r="N1239">
        <v>49.950660706000001</v>
      </c>
    </row>
    <row r="1240" spans="1:14" x14ac:dyDescent="0.25">
      <c r="A1240">
        <v>1096.000364</v>
      </c>
      <c r="B1240" s="1">
        <f>DATE(2013,5,1) + TIME(0,0,31)</f>
        <v>41395.000358796293</v>
      </c>
      <c r="C1240">
        <v>2400</v>
      </c>
      <c r="D1240">
        <v>0</v>
      </c>
      <c r="E1240">
        <v>0</v>
      </c>
      <c r="F1240">
        <v>2400</v>
      </c>
      <c r="G1240">
        <v>1343.9367675999999</v>
      </c>
      <c r="H1240">
        <v>1333.6292725000001</v>
      </c>
      <c r="I1240">
        <v>1334.1623535000001</v>
      </c>
      <c r="J1240">
        <v>1325.8468018000001</v>
      </c>
      <c r="K1240">
        <v>80</v>
      </c>
      <c r="L1240">
        <v>68.744621276999993</v>
      </c>
      <c r="M1240">
        <v>50</v>
      </c>
      <c r="N1240">
        <v>49.949943542</v>
      </c>
    </row>
    <row r="1241" spans="1:14" x14ac:dyDescent="0.25">
      <c r="A1241">
        <v>1096.0010930000001</v>
      </c>
      <c r="B1241" s="1">
        <f>DATE(2013,5,1) + TIME(0,1,34)</f>
        <v>41395.001087962963</v>
      </c>
      <c r="C1241">
        <v>2400</v>
      </c>
      <c r="D1241">
        <v>0</v>
      </c>
      <c r="E1241">
        <v>0</v>
      </c>
      <c r="F1241">
        <v>2400</v>
      </c>
      <c r="G1241">
        <v>1349.8659668</v>
      </c>
      <c r="H1241">
        <v>1339.4051514</v>
      </c>
      <c r="I1241">
        <v>1328.6431885</v>
      </c>
      <c r="J1241">
        <v>1320.3107910000001</v>
      </c>
      <c r="K1241">
        <v>80</v>
      </c>
      <c r="L1241">
        <v>68.752578735</v>
      </c>
      <c r="M1241">
        <v>50</v>
      </c>
      <c r="N1241">
        <v>49.949172974</v>
      </c>
    </row>
    <row r="1242" spans="1:14" x14ac:dyDescent="0.25">
      <c r="A1242">
        <v>1096.0032799999999</v>
      </c>
      <c r="B1242" s="1">
        <f>DATE(2013,5,1) + TIME(0,4,43)</f>
        <v>41395.003275462965</v>
      </c>
      <c r="C1242">
        <v>2400</v>
      </c>
      <c r="D1242">
        <v>0</v>
      </c>
      <c r="E1242">
        <v>0</v>
      </c>
      <c r="F1242">
        <v>2400</v>
      </c>
      <c r="G1242">
        <v>1355.9147949000001</v>
      </c>
      <c r="H1242">
        <v>1345.2987060999999</v>
      </c>
      <c r="I1242">
        <v>1323.1453856999999</v>
      </c>
      <c r="J1242">
        <v>1314.6735839999999</v>
      </c>
      <c r="K1242">
        <v>80</v>
      </c>
      <c r="L1242">
        <v>68.775192261000001</v>
      </c>
      <c r="M1242">
        <v>50</v>
      </c>
      <c r="N1242">
        <v>49.948253631999997</v>
      </c>
    </row>
    <row r="1243" spans="1:14" x14ac:dyDescent="0.25">
      <c r="A1243">
        <v>1096.0098410000001</v>
      </c>
      <c r="B1243" s="1">
        <f>DATE(2013,5,1) + TIME(0,14,10)</f>
        <v>41395.009837962964</v>
      </c>
      <c r="C1243">
        <v>2400</v>
      </c>
      <c r="D1243">
        <v>0</v>
      </c>
      <c r="E1243">
        <v>0</v>
      </c>
      <c r="F1243">
        <v>2400</v>
      </c>
      <c r="G1243">
        <v>1361.2995605000001</v>
      </c>
      <c r="H1243">
        <v>1350.6228027</v>
      </c>
      <c r="I1243">
        <v>1318.2369385</v>
      </c>
      <c r="J1243">
        <v>1309.4798584</v>
      </c>
      <c r="K1243">
        <v>80</v>
      </c>
      <c r="L1243">
        <v>68.841369628999999</v>
      </c>
      <c r="M1243">
        <v>50</v>
      </c>
      <c r="N1243">
        <v>49.946929932000003</v>
      </c>
    </row>
    <row r="1244" spans="1:14" x14ac:dyDescent="0.25">
      <c r="A1244">
        <v>1096.029524</v>
      </c>
      <c r="B1244" s="1">
        <f>DATE(2013,5,1) + TIME(0,42,30)</f>
        <v>41395.029513888891</v>
      </c>
      <c r="C1244">
        <v>2400</v>
      </c>
      <c r="D1244">
        <v>0</v>
      </c>
      <c r="E1244">
        <v>0</v>
      </c>
      <c r="F1244">
        <v>2400</v>
      </c>
      <c r="G1244">
        <v>1364.9312743999999</v>
      </c>
      <c r="H1244">
        <v>1354.3149414</v>
      </c>
      <c r="I1244">
        <v>1314.8798827999999</v>
      </c>
      <c r="J1244">
        <v>1305.8533935999999</v>
      </c>
      <c r="K1244">
        <v>80</v>
      </c>
      <c r="L1244">
        <v>69.034217834000003</v>
      </c>
      <c r="M1244">
        <v>50</v>
      </c>
      <c r="N1244">
        <v>49.944362640000001</v>
      </c>
    </row>
    <row r="1245" spans="1:14" x14ac:dyDescent="0.25">
      <c r="A1245">
        <v>1096.0815230000001</v>
      </c>
      <c r="B1245" s="1">
        <f>DATE(2013,5,1) + TIME(1,57,23)</f>
        <v>41395.081516203703</v>
      </c>
      <c r="C1245">
        <v>2400</v>
      </c>
      <c r="D1245">
        <v>0</v>
      </c>
      <c r="E1245">
        <v>0</v>
      </c>
      <c r="F1245">
        <v>2400</v>
      </c>
      <c r="G1245">
        <v>1366.4465332</v>
      </c>
      <c r="H1245">
        <v>1355.9254149999999</v>
      </c>
      <c r="I1245">
        <v>1313.503418</v>
      </c>
      <c r="J1245">
        <v>1304.3565673999999</v>
      </c>
      <c r="K1245">
        <v>80</v>
      </c>
      <c r="L1245">
        <v>69.518814086999996</v>
      </c>
      <c r="M1245">
        <v>50</v>
      </c>
      <c r="N1245">
        <v>49.938591002999999</v>
      </c>
    </row>
    <row r="1246" spans="1:14" x14ac:dyDescent="0.25">
      <c r="A1246">
        <v>1096.134215</v>
      </c>
      <c r="B1246" s="1">
        <f>DATE(2013,5,1) + TIME(3,13,16)</f>
        <v>41395.134212962963</v>
      </c>
      <c r="C1246">
        <v>2400</v>
      </c>
      <c r="D1246">
        <v>0</v>
      </c>
      <c r="E1246">
        <v>0</v>
      </c>
      <c r="F1246">
        <v>2400</v>
      </c>
      <c r="G1246">
        <v>1366.7730713000001</v>
      </c>
      <c r="H1246">
        <v>1356.2963867000001</v>
      </c>
      <c r="I1246">
        <v>1313.2602539</v>
      </c>
      <c r="J1246">
        <v>1304.0900879000001</v>
      </c>
      <c r="K1246">
        <v>80</v>
      </c>
      <c r="L1246">
        <v>69.988616942999997</v>
      </c>
      <c r="M1246">
        <v>50</v>
      </c>
      <c r="N1246">
        <v>49.932929993000002</v>
      </c>
    </row>
    <row r="1247" spans="1:14" x14ac:dyDescent="0.25">
      <c r="A1247">
        <v>1096.187895</v>
      </c>
      <c r="B1247" s="1">
        <f>DATE(2013,5,1) + TIME(4,30,34)</f>
        <v>41395.187893518516</v>
      </c>
      <c r="C1247">
        <v>2400</v>
      </c>
      <c r="D1247">
        <v>0</v>
      </c>
      <c r="E1247">
        <v>0</v>
      </c>
      <c r="F1247">
        <v>2400</v>
      </c>
      <c r="G1247">
        <v>1366.8287353999999</v>
      </c>
      <c r="H1247">
        <v>1356.3912353999999</v>
      </c>
      <c r="I1247">
        <v>1313.2252197</v>
      </c>
      <c r="J1247">
        <v>1304.0498047000001</v>
      </c>
      <c r="K1247">
        <v>80</v>
      </c>
      <c r="L1247">
        <v>70.445999146000005</v>
      </c>
      <c r="M1247">
        <v>50</v>
      </c>
      <c r="N1247">
        <v>49.927242278999998</v>
      </c>
    </row>
    <row r="1248" spans="1:14" x14ac:dyDescent="0.25">
      <c r="A1248">
        <v>1096.24262</v>
      </c>
      <c r="B1248" s="1">
        <f>DATE(2013,5,1) + TIME(5,49,22)</f>
        <v>41395.242615740739</v>
      </c>
      <c r="C1248">
        <v>2400</v>
      </c>
      <c r="D1248">
        <v>0</v>
      </c>
      <c r="E1248">
        <v>0</v>
      </c>
      <c r="F1248">
        <v>2400</v>
      </c>
      <c r="G1248">
        <v>1366.8160399999999</v>
      </c>
      <c r="H1248">
        <v>1356.4155272999999</v>
      </c>
      <c r="I1248">
        <v>1313.2260742000001</v>
      </c>
      <c r="J1248">
        <v>1304.0490723</v>
      </c>
      <c r="K1248">
        <v>80</v>
      </c>
      <c r="L1248">
        <v>70.891487122000001</v>
      </c>
      <c r="M1248">
        <v>50</v>
      </c>
      <c r="N1248">
        <v>49.921504974000001</v>
      </c>
    </row>
    <row r="1249" spans="1:14" x14ac:dyDescent="0.25">
      <c r="A1249">
        <v>1096.2984510000001</v>
      </c>
      <c r="B1249" s="1">
        <f>DATE(2013,5,1) + TIME(7,9,46)</f>
        <v>41395.298449074071</v>
      </c>
      <c r="C1249">
        <v>2400</v>
      </c>
      <c r="D1249">
        <v>0</v>
      </c>
      <c r="E1249">
        <v>0</v>
      </c>
      <c r="F1249">
        <v>2400</v>
      </c>
      <c r="G1249">
        <v>1366.7858887</v>
      </c>
      <c r="H1249">
        <v>1356.4202881000001</v>
      </c>
      <c r="I1249">
        <v>1313.2303466999999</v>
      </c>
      <c r="J1249">
        <v>1304.0524902</v>
      </c>
      <c r="K1249">
        <v>80</v>
      </c>
      <c r="L1249">
        <v>71.325248717999997</v>
      </c>
      <c r="M1249">
        <v>50</v>
      </c>
      <c r="N1249">
        <v>49.91570282</v>
      </c>
    </row>
    <row r="1250" spans="1:14" x14ac:dyDescent="0.25">
      <c r="A1250">
        <v>1096.355446</v>
      </c>
      <c r="B1250" s="1">
        <f>DATE(2013,5,1) + TIME(8,31,50)</f>
        <v>41395.355439814812</v>
      </c>
      <c r="C1250">
        <v>2400</v>
      </c>
      <c r="D1250">
        <v>0</v>
      </c>
      <c r="E1250">
        <v>0</v>
      </c>
      <c r="F1250">
        <v>2400</v>
      </c>
      <c r="G1250">
        <v>1366.7524414</v>
      </c>
      <c r="H1250">
        <v>1356.4196777</v>
      </c>
      <c r="I1250">
        <v>1313.2335204999999</v>
      </c>
      <c r="J1250">
        <v>1304.0548096</v>
      </c>
      <c r="K1250">
        <v>80</v>
      </c>
      <c r="L1250">
        <v>71.747375488000003</v>
      </c>
      <c r="M1250">
        <v>50</v>
      </c>
      <c r="N1250">
        <v>49.90983963</v>
      </c>
    </row>
    <row r="1251" spans="1:14" x14ac:dyDescent="0.25">
      <c r="A1251">
        <v>1096.413661</v>
      </c>
      <c r="B1251" s="1">
        <f>DATE(2013,5,1) + TIME(9,55,40)</f>
        <v>41395.413657407407</v>
      </c>
      <c r="C1251">
        <v>2400</v>
      </c>
      <c r="D1251">
        <v>0</v>
      </c>
      <c r="E1251">
        <v>0</v>
      </c>
      <c r="F1251">
        <v>2400</v>
      </c>
      <c r="G1251">
        <v>1366.7200928</v>
      </c>
      <c r="H1251">
        <v>1356.418457</v>
      </c>
      <c r="I1251">
        <v>1313.2354736</v>
      </c>
      <c r="J1251">
        <v>1304.0559082</v>
      </c>
      <c r="K1251">
        <v>80</v>
      </c>
      <c r="L1251">
        <v>72.157928467000005</v>
      </c>
      <c r="M1251">
        <v>50</v>
      </c>
      <c r="N1251">
        <v>49.903907775999997</v>
      </c>
    </row>
    <row r="1252" spans="1:14" x14ac:dyDescent="0.25">
      <c r="A1252">
        <v>1096.473105</v>
      </c>
      <c r="B1252" s="1">
        <f>DATE(2013,5,1) + TIME(11,21,16)</f>
        <v>41395.473101851851</v>
      </c>
      <c r="C1252">
        <v>2400</v>
      </c>
      <c r="D1252">
        <v>0</v>
      </c>
      <c r="E1252">
        <v>0</v>
      </c>
      <c r="F1252">
        <v>2400</v>
      </c>
      <c r="G1252">
        <v>1366.6904297000001</v>
      </c>
      <c r="H1252">
        <v>1356.4179687999999</v>
      </c>
      <c r="I1252">
        <v>1313.2366943</v>
      </c>
      <c r="J1252">
        <v>1304.0562743999999</v>
      </c>
      <c r="K1252">
        <v>80</v>
      </c>
      <c r="L1252">
        <v>72.556625366000006</v>
      </c>
      <c r="M1252">
        <v>50</v>
      </c>
      <c r="N1252">
        <v>49.897911071999999</v>
      </c>
    </row>
    <row r="1253" spans="1:14" x14ac:dyDescent="0.25">
      <c r="A1253">
        <v>1096.533844</v>
      </c>
      <c r="B1253" s="1">
        <f>DATE(2013,5,1) + TIME(12,48,44)</f>
        <v>41395.533842592595</v>
      </c>
      <c r="C1253">
        <v>2400</v>
      </c>
      <c r="D1253">
        <v>0</v>
      </c>
      <c r="E1253">
        <v>0</v>
      </c>
      <c r="F1253">
        <v>2400</v>
      </c>
      <c r="G1253">
        <v>1366.6636963000001</v>
      </c>
      <c r="H1253">
        <v>1356.4185791</v>
      </c>
      <c r="I1253">
        <v>1313.237793</v>
      </c>
      <c r="J1253">
        <v>1304.0562743999999</v>
      </c>
      <c r="K1253">
        <v>80</v>
      </c>
      <c r="L1253">
        <v>72.943580627000003</v>
      </c>
      <c r="M1253">
        <v>50</v>
      </c>
      <c r="N1253">
        <v>49.891841888000002</v>
      </c>
    </row>
    <row r="1254" spans="1:14" x14ac:dyDescent="0.25">
      <c r="A1254">
        <v>1096.5959479999999</v>
      </c>
      <c r="B1254" s="1">
        <f>DATE(2013,5,1) + TIME(14,18,9)</f>
        <v>41395.595937500002</v>
      </c>
      <c r="C1254">
        <v>2400</v>
      </c>
      <c r="D1254">
        <v>0</v>
      </c>
      <c r="E1254">
        <v>0</v>
      </c>
      <c r="F1254">
        <v>2400</v>
      </c>
      <c r="G1254">
        <v>1366.6398925999999</v>
      </c>
      <c r="H1254">
        <v>1356.4205322</v>
      </c>
      <c r="I1254">
        <v>1313.2387695</v>
      </c>
      <c r="J1254">
        <v>1304.0561522999999</v>
      </c>
      <c r="K1254">
        <v>80</v>
      </c>
      <c r="L1254">
        <v>73.318893433</v>
      </c>
      <c r="M1254">
        <v>50</v>
      </c>
      <c r="N1254">
        <v>49.885692595999998</v>
      </c>
    </row>
    <row r="1255" spans="1:14" x14ac:dyDescent="0.25">
      <c r="A1255">
        <v>1096.6594909999999</v>
      </c>
      <c r="B1255" s="1">
        <f>DATE(2013,5,1) + TIME(15,49,40)</f>
        <v>41395.659490740742</v>
      </c>
      <c r="C1255">
        <v>2400</v>
      </c>
      <c r="D1255">
        <v>0</v>
      </c>
      <c r="E1255">
        <v>0</v>
      </c>
      <c r="F1255">
        <v>2400</v>
      </c>
      <c r="G1255">
        <v>1366.6190185999999</v>
      </c>
      <c r="H1255">
        <v>1356.4237060999999</v>
      </c>
      <c r="I1255">
        <v>1313.239624</v>
      </c>
      <c r="J1255">
        <v>1304.0559082</v>
      </c>
      <c r="K1255">
        <v>80</v>
      </c>
      <c r="L1255">
        <v>73.682655334000003</v>
      </c>
      <c r="M1255">
        <v>50</v>
      </c>
      <c r="N1255">
        <v>49.879463196000003</v>
      </c>
    </row>
    <row r="1256" spans="1:14" x14ac:dyDescent="0.25">
      <c r="A1256">
        <v>1096.7245519999999</v>
      </c>
      <c r="B1256" s="1">
        <f>DATE(2013,5,1) + TIME(17,23,21)</f>
        <v>41395.724548611113</v>
      </c>
      <c r="C1256">
        <v>2400</v>
      </c>
      <c r="D1256">
        <v>0</v>
      </c>
      <c r="E1256">
        <v>0</v>
      </c>
      <c r="F1256">
        <v>2400</v>
      </c>
      <c r="G1256">
        <v>1366.6008300999999</v>
      </c>
      <c r="H1256">
        <v>1356.4279785000001</v>
      </c>
      <c r="I1256">
        <v>1313.2404785000001</v>
      </c>
      <c r="J1256">
        <v>1304.0555420000001</v>
      </c>
      <c r="K1256">
        <v>80</v>
      </c>
      <c r="L1256">
        <v>74.034942627000007</v>
      </c>
      <c r="M1256">
        <v>50</v>
      </c>
      <c r="N1256">
        <v>49.873149871999999</v>
      </c>
    </row>
    <row r="1257" spans="1:14" x14ac:dyDescent="0.25">
      <c r="A1257">
        <v>1096.791215</v>
      </c>
      <c r="B1257" s="1">
        <f>DATE(2013,5,1) + TIME(18,59,20)</f>
        <v>41395.791203703702</v>
      </c>
      <c r="C1257">
        <v>2400</v>
      </c>
      <c r="D1257">
        <v>0</v>
      </c>
      <c r="E1257">
        <v>0</v>
      </c>
      <c r="F1257">
        <v>2400</v>
      </c>
      <c r="G1257">
        <v>1366.5852050999999</v>
      </c>
      <c r="H1257">
        <v>1356.4333495999999</v>
      </c>
      <c r="I1257">
        <v>1313.2414550999999</v>
      </c>
      <c r="J1257">
        <v>1304.0551757999999</v>
      </c>
      <c r="K1257">
        <v>80</v>
      </c>
      <c r="L1257">
        <v>74.375846863000007</v>
      </c>
      <c r="M1257">
        <v>50</v>
      </c>
      <c r="N1257">
        <v>49.866741179999998</v>
      </c>
    </row>
    <row r="1258" spans="1:14" x14ac:dyDescent="0.25">
      <c r="A1258">
        <v>1096.85952</v>
      </c>
      <c r="B1258" s="1">
        <f>DATE(2013,5,1) + TIME(20,37,42)</f>
        <v>41395.859513888892</v>
      </c>
      <c r="C1258">
        <v>2400</v>
      </c>
      <c r="D1258">
        <v>0</v>
      </c>
      <c r="E1258">
        <v>0</v>
      </c>
      <c r="F1258">
        <v>2400</v>
      </c>
      <c r="G1258">
        <v>1366.5721435999999</v>
      </c>
      <c r="H1258">
        <v>1356.4399414</v>
      </c>
      <c r="I1258">
        <v>1313.2423096</v>
      </c>
      <c r="J1258">
        <v>1304.0548096</v>
      </c>
      <c r="K1258">
        <v>80</v>
      </c>
      <c r="L1258">
        <v>74.705200195000003</v>
      </c>
      <c r="M1258">
        <v>50</v>
      </c>
      <c r="N1258">
        <v>49.860237122000001</v>
      </c>
    </row>
    <row r="1259" spans="1:14" x14ac:dyDescent="0.25">
      <c r="A1259">
        <v>1096.9295509999999</v>
      </c>
      <c r="B1259" s="1">
        <f>DATE(2013,5,1) + TIME(22,18,33)</f>
        <v>41395.929548611108</v>
      </c>
      <c r="C1259">
        <v>2400</v>
      </c>
      <c r="D1259">
        <v>0</v>
      </c>
      <c r="E1259">
        <v>0</v>
      </c>
      <c r="F1259">
        <v>2400</v>
      </c>
      <c r="G1259">
        <v>1366.5614014</v>
      </c>
      <c r="H1259">
        <v>1356.4472656</v>
      </c>
      <c r="I1259">
        <v>1313.2431641000001</v>
      </c>
      <c r="J1259">
        <v>1304.0543213000001</v>
      </c>
      <c r="K1259">
        <v>80</v>
      </c>
      <c r="L1259">
        <v>75.023048400999997</v>
      </c>
      <c r="M1259">
        <v>50</v>
      </c>
      <c r="N1259">
        <v>49.853633881</v>
      </c>
    </row>
    <row r="1260" spans="1:14" x14ac:dyDescent="0.25">
      <c r="A1260">
        <v>1097.001407</v>
      </c>
      <c r="B1260" s="1">
        <f>DATE(2013,5,2) + TIME(0,2,1)</f>
        <v>41396.001400462963</v>
      </c>
      <c r="C1260">
        <v>2400</v>
      </c>
      <c r="D1260">
        <v>0</v>
      </c>
      <c r="E1260">
        <v>0</v>
      </c>
      <c r="F1260">
        <v>2400</v>
      </c>
      <c r="G1260">
        <v>1366.5526123</v>
      </c>
      <c r="H1260">
        <v>1356.4554443</v>
      </c>
      <c r="I1260">
        <v>1313.2440185999999</v>
      </c>
      <c r="J1260">
        <v>1304.0537108999999</v>
      </c>
      <c r="K1260">
        <v>80</v>
      </c>
      <c r="L1260">
        <v>75.329299926999994</v>
      </c>
      <c r="M1260">
        <v>50</v>
      </c>
      <c r="N1260">
        <v>49.846927643000001</v>
      </c>
    </row>
    <row r="1261" spans="1:14" x14ac:dyDescent="0.25">
      <c r="A1261">
        <v>1097.0751929999999</v>
      </c>
      <c r="B1261" s="1">
        <f>DATE(2013,5,2) + TIME(1,48,16)</f>
        <v>41396.075185185182</v>
      </c>
      <c r="C1261">
        <v>2400</v>
      </c>
      <c r="D1261">
        <v>0</v>
      </c>
      <c r="E1261">
        <v>0</v>
      </c>
      <c r="F1261">
        <v>2400</v>
      </c>
      <c r="G1261">
        <v>1366.5458983999999</v>
      </c>
      <c r="H1261">
        <v>1356.4643555</v>
      </c>
      <c r="I1261">
        <v>1313.2448730000001</v>
      </c>
      <c r="J1261">
        <v>1304.0531006000001</v>
      </c>
      <c r="K1261">
        <v>80</v>
      </c>
      <c r="L1261">
        <v>75.624237061000002</v>
      </c>
      <c r="M1261">
        <v>50</v>
      </c>
      <c r="N1261">
        <v>49.840106964</v>
      </c>
    </row>
    <row r="1262" spans="1:14" x14ac:dyDescent="0.25">
      <c r="A1262">
        <v>1097.1510189999999</v>
      </c>
      <c r="B1262" s="1">
        <f>DATE(2013,5,2) + TIME(3,37,28)</f>
        <v>41396.151018518518</v>
      </c>
      <c r="C1262">
        <v>2400</v>
      </c>
      <c r="D1262">
        <v>0</v>
      </c>
      <c r="E1262">
        <v>0</v>
      </c>
      <c r="F1262">
        <v>2400</v>
      </c>
      <c r="G1262">
        <v>1366.5410156</v>
      </c>
      <c r="H1262">
        <v>1356.4738769999999</v>
      </c>
      <c r="I1262">
        <v>1313.2458495999999</v>
      </c>
      <c r="J1262">
        <v>1304.0524902</v>
      </c>
      <c r="K1262">
        <v>80</v>
      </c>
      <c r="L1262">
        <v>75.907951354999994</v>
      </c>
      <c r="M1262">
        <v>50</v>
      </c>
      <c r="N1262">
        <v>49.833164214999996</v>
      </c>
    </row>
    <row r="1263" spans="1:14" x14ac:dyDescent="0.25">
      <c r="A1263">
        <v>1097.2289900000001</v>
      </c>
      <c r="B1263" s="1">
        <f>DATE(2013,5,2) + TIME(5,29,44)</f>
        <v>41396.228981481479</v>
      </c>
      <c r="C1263">
        <v>2400</v>
      </c>
      <c r="D1263">
        <v>0</v>
      </c>
      <c r="E1263">
        <v>0</v>
      </c>
      <c r="F1263">
        <v>2400</v>
      </c>
      <c r="G1263">
        <v>1366.5377197</v>
      </c>
      <c r="H1263">
        <v>1356.4838867000001</v>
      </c>
      <c r="I1263">
        <v>1313.2467041</v>
      </c>
      <c r="J1263">
        <v>1304.0518798999999</v>
      </c>
      <c r="K1263">
        <v>80</v>
      </c>
      <c r="L1263">
        <v>76.180473328000005</v>
      </c>
      <c r="M1263">
        <v>50</v>
      </c>
      <c r="N1263">
        <v>49.826095580999997</v>
      </c>
    </row>
    <row r="1264" spans="1:14" x14ac:dyDescent="0.25">
      <c r="A1264">
        <v>1097.309248</v>
      </c>
      <c r="B1264" s="1">
        <f>DATE(2013,5,2) + TIME(7,25,18)</f>
        <v>41396.309236111112</v>
      </c>
      <c r="C1264">
        <v>2400</v>
      </c>
      <c r="D1264">
        <v>0</v>
      </c>
      <c r="E1264">
        <v>0</v>
      </c>
      <c r="F1264">
        <v>2400</v>
      </c>
      <c r="G1264">
        <v>1366.5360106999999</v>
      </c>
      <c r="H1264">
        <v>1356.4943848</v>
      </c>
      <c r="I1264">
        <v>1313.2475586</v>
      </c>
      <c r="J1264">
        <v>1304.0511475000001</v>
      </c>
      <c r="K1264">
        <v>80</v>
      </c>
      <c r="L1264">
        <v>76.441947936999995</v>
      </c>
      <c r="M1264">
        <v>50</v>
      </c>
      <c r="N1264">
        <v>49.818893433</v>
      </c>
    </row>
    <row r="1265" spans="1:14" x14ac:dyDescent="0.25">
      <c r="A1265">
        <v>1097.391932</v>
      </c>
      <c r="B1265" s="1">
        <f>DATE(2013,5,2) + TIME(9,24,22)</f>
        <v>41396.391921296294</v>
      </c>
      <c r="C1265">
        <v>2400</v>
      </c>
      <c r="D1265">
        <v>0</v>
      </c>
      <c r="E1265">
        <v>0</v>
      </c>
      <c r="F1265">
        <v>2400</v>
      </c>
      <c r="G1265">
        <v>1366.5356445</v>
      </c>
      <c r="H1265">
        <v>1356.505249</v>
      </c>
      <c r="I1265">
        <v>1313.2484131000001</v>
      </c>
      <c r="J1265">
        <v>1304.0504149999999</v>
      </c>
      <c r="K1265">
        <v>80</v>
      </c>
      <c r="L1265">
        <v>76.692451477000006</v>
      </c>
      <c r="M1265">
        <v>50</v>
      </c>
      <c r="N1265">
        <v>49.811546325999998</v>
      </c>
    </row>
    <row r="1266" spans="1:14" x14ac:dyDescent="0.25">
      <c r="A1266">
        <v>1097.4771909999999</v>
      </c>
      <c r="B1266" s="1">
        <f>DATE(2013,5,2) + TIME(11,27,9)</f>
        <v>41396.477187500001</v>
      </c>
      <c r="C1266">
        <v>2400</v>
      </c>
      <c r="D1266">
        <v>0</v>
      </c>
      <c r="E1266">
        <v>0</v>
      </c>
      <c r="F1266">
        <v>2400</v>
      </c>
      <c r="G1266">
        <v>1366.536499</v>
      </c>
      <c r="H1266">
        <v>1356.5163574000001</v>
      </c>
      <c r="I1266">
        <v>1313.2492675999999</v>
      </c>
      <c r="J1266">
        <v>1304.0495605000001</v>
      </c>
      <c r="K1266">
        <v>80</v>
      </c>
      <c r="L1266">
        <v>76.932090759000005</v>
      </c>
      <c r="M1266">
        <v>50</v>
      </c>
      <c r="N1266">
        <v>49.804046630999999</v>
      </c>
    </row>
    <row r="1267" spans="1:14" x14ac:dyDescent="0.25">
      <c r="A1267">
        <v>1097.565188</v>
      </c>
      <c r="B1267" s="1">
        <f>DATE(2013,5,2) + TIME(13,33,52)</f>
        <v>41396.565185185187</v>
      </c>
      <c r="C1267">
        <v>2400</v>
      </c>
      <c r="D1267">
        <v>0</v>
      </c>
      <c r="E1267">
        <v>0</v>
      </c>
      <c r="F1267">
        <v>2400</v>
      </c>
      <c r="G1267">
        <v>1366.5384521000001</v>
      </c>
      <c r="H1267">
        <v>1356.5275879000001</v>
      </c>
      <c r="I1267">
        <v>1313.2501221</v>
      </c>
      <c r="J1267">
        <v>1304.0487060999999</v>
      </c>
      <c r="K1267">
        <v>80</v>
      </c>
      <c r="L1267">
        <v>77.160942078000005</v>
      </c>
      <c r="M1267">
        <v>50</v>
      </c>
      <c r="N1267">
        <v>49.796382903999998</v>
      </c>
    </row>
    <row r="1268" spans="1:14" x14ac:dyDescent="0.25">
      <c r="A1268">
        <v>1097.6560959999999</v>
      </c>
      <c r="B1268" s="1">
        <f>DATE(2013,5,2) + TIME(15,44,46)</f>
        <v>41396.656087962961</v>
      </c>
      <c r="C1268">
        <v>2400</v>
      </c>
      <c r="D1268">
        <v>0</v>
      </c>
      <c r="E1268">
        <v>0</v>
      </c>
      <c r="F1268">
        <v>2400</v>
      </c>
      <c r="G1268">
        <v>1366.5413818</v>
      </c>
      <c r="H1268">
        <v>1356.5389404</v>
      </c>
      <c r="I1268">
        <v>1313.2509766000001</v>
      </c>
      <c r="J1268">
        <v>1304.0478516000001</v>
      </c>
      <c r="K1268">
        <v>80</v>
      </c>
      <c r="L1268">
        <v>77.379112243999998</v>
      </c>
      <c r="M1268">
        <v>50</v>
      </c>
      <c r="N1268">
        <v>49.788543701000002</v>
      </c>
    </row>
    <row r="1269" spans="1:14" x14ac:dyDescent="0.25">
      <c r="A1269">
        <v>1097.7501050000001</v>
      </c>
      <c r="B1269" s="1">
        <f>DATE(2013,5,2) + TIME(18,0,9)</f>
        <v>41396.750104166669</v>
      </c>
      <c r="C1269">
        <v>2400</v>
      </c>
      <c r="D1269">
        <v>0</v>
      </c>
      <c r="E1269">
        <v>0</v>
      </c>
      <c r="F1269">
        <v>2400</v>
      </c>
      <c r="G1269">
        <v>1366.5451660000001</v>
      </c>
      <c r="H1269">
        <v>1356.5504149999999</v>
      </c>
      <c r="I1269">
        <v>1313.2517089999999</v>
      </c>
      <c r="J1269">
        <v>1304.046875</v>
      </c>
      <c r="K1269">
        <v>80</v>
      </c>
      <c r="L1269">
        <v>77.586708068999997</v>
      </c>
      <c r="M1269">
        <v>50</v>
      </c>
      <c r="N1269">
        <v>49.780517578000001</v>
      </c>
    </row>
    <row r="1270" spans="1:14" x14ac:dyDescent="0.25">
      <c r="A1270">
        <v>1097.8474189999999</v>
      </c>
      <c r="B1270" s="1">
        <f>DATE(2013,5,2) + TIME(20,20,16)</f>
        <v>41396.847407407404</v>
      </c>
      <c r="C1270">
        <v>2400</v>
      </c>
      <c r="D1270">
        <v>0</v>
      </c>
      <c r="E1270">
        <v>0</v>
      </c>
      <c r="F1270">
        <v>2400</v>
      </c>
      <c r="G1270">
        <v>1366.5496826000001</v>
      </c>
      <c r="H1270">
        <v>1356.5617675999999</v>
      </c>
      <c r="I1270">
        <v>1313.2525635</v>
      </c>
      <c r="J1270">
        <v>1304.0460204999999</v>
      </c>
      <c r="K1270">
        <v>80</v>
      </c>
      <c r="L1270">
        <v>77.783836364999999</v>
      </c>
      <c r="M1270">
        <v>50</v>
      </c>
      <c r="N1270">
        <v>49.772293091000002</v>
      </c>
    </row>
    <row r="1271" spans="1:14" x14ac:dyDescent="0.25">
      <c r="A1271">
        <v>1097.948263</v>
      </c>
      <c r="B1271" s="1">
        <f>DATE(2013,5,2) + TIME(22,45,29)</f>
        <v>41396.948252314818</v>
      </c>
      <c r="C1271">
        <v>2400</v>
      </c>
      <c r="D1271">
        <v>0</v>
      </c>
      <c r="E1271">
        <v>0</v>
      </c>
      <c r="F1271">
        <v>2400</v>
      </c>
      <c r="G1271">
        <v>1366.5548096</v>
      </c>
      <c r="H1271">
        <v>1356.572876</v>
      </c>
      <c r="I1271">
        <v>1313.2532959</v>
      </c>
      <c r="J1271">
        <v>1304.0449219</v>
      </c>
      <c r="K1271">
        <v>80</v>
      </c>
      <c r="L1271">
        <v>77.970611571999996</v>
      </c>
      <c r="M1271">
        <v>50</v>
      </c>
      <c r="N1271">
        <v>49.763858794999997</v>
      </c>
    </row>
    <row r="1272" spans="1:14" x14ac:dyDescent="0.25">
      <c r="A1272">
        <v>1098.0528830000001</v>
      </c>
      <c r="B1272" s="1">
        <f>DATE(2013,5,3) + TIME(1,16,9)</f>
        <v>41397.052881944444</v>
      </c>
      <c r="C1272">
        <v>2400</v>
      </c>
      <c r="D1272">
        <v>0</v>
      </c>
      <c r="E1272">
        <v>0</v>
      </c>
      <c r="F1272">
        <v>2400</v>
      </c>
      <c r="G1272">
        <v>1366.5603027</v>
      </c>
      <c r="H1272">
        <v>1356.5838623</v>
      </c>
      <c r="I1272">
        <v>1313.2541504000001</v>
      </c>
      <c r="J1272">
        <v>1304.0439452999999</v>
      </c>
      <c r="K1272">
        <v>80</v>
      </c>
      <c r="L1272">
        <v>78.147178650000001</v>
      </c>
      <c r="M1272">
        <v>50</v>
      </c>
      <c r="N1272">
        <v>49.755195618000002</v>
      </c>
    </row>
    <row r="1273" spans="1:14" x14ac:dyDescent="0.25">
      <c r="A1273">
        <v>1098.1615750000001</v>
      </c>
      <c r="B1273" s="1">
        <f>DATE(2013,5,3) + TIME(3,52,40)</f>
        <v>41397.161574074074</v>
      </c>
      <c r="C1273">
        <v>2400</v>
      </c>
      <c r="D1273">
        <v>0</v>
      </c>
      <c r="E1273">
        <v>0</v>
      </c>
      <c r="F1273">
        <v>2400</v>
      </c>
      <c r="G1273">
        <v>1366.5661620999999</v>
      </c>
      <c r="H1273">
        <v>1356.5946045000001</v>
      </c>
      <c r="I1273">
        <v>1313.2547606999999</v>
      </c>
      <c r="J1273">
        <v>1304.0428466999999</v>
      </c>
      <c r="K1273">
        <v>80</v>
      </c>
      <c r="L1273">
        <v>78.313705443999993</v>
      </c>
      <c r="M1273">
        <v>50</v>
      </c>
      <c r="N1273">
        <v>49.746288300000003</v>
      </c>
    </row>
    <row r="1274" spans="1:14" x14ac:dyDescent="0.25">
      <c r="A1274">
        <v>1098.274631</v>
      </c>
      <c r="B1274" s="1">
        <f>DATE(2013,5,3) + TIME(6,35,28)</f>
        <v>41397.274629629632</v>
      </c>
      <c r="C1274">
        <v>2400</v>
      </c>
      <c r="D1274">
        <v>0</v>
      </c>
      <c r="E1274">
        <v>0</v>
      </c>
      <c r="F1274">
        <v>2400</v>
      </c>
      <c r="G1274">
        <v>1366.5722656</v>
      </c>
      <c r="H1274">
        <v>1356.6048584</v>
      </c>
      <c r="I1274">
        <v>1313.2554932</v>
      </c>
      <c r="J1274">
        <v>1304.041626</v>
      </c>
      <c r="K1274">
        <v>80</v>
      </c>
      <c r="L1274">
        <v>78.470329285000005</v>
      </c>
      <c r="M1274">
        <v>50</v>
      </c>
      <c r="N1274">
        <v>49.737117767000001</v>
      </c>
    </row>
    <row r="1275" spans="1:14" x14ac:dyDescent="0.25">
      <c r="A1275">
        <v>1098.392355</v>
      </c>
      <c r="B1275" s="1">
        <f>DATE(2013,5,3) + TIME(9,24,59)</f>
        <v>41397.39234953704</v>
      </c>
      <c r="C1275">
        <v>2400</v>
      </c>
      <c r="D1275">
        <v>0</v>
      </c>
      <c r="E1275">
        <v>0</v>
      </c>
      <c r="F1275">
        <v>2400</v>
      </c>
      <c r="G1275">
        <v>1366.5784911999999</v>
      </c>
      <c r="H1275">
        <v>1356.6147461</v>
      </c>
      <c r="I1275">
        <v>1313.2562256000001</v>
      </c>
      <c r="J1275">
        <v>1304.0405272999999</v>
      </c>
      <c r="K1275">
        <v>80</v>
      </c>
      <c r="L1275">
        <v>78.6171875</v>
      </c>
      <c r="M1275">
        <v>50</v>
      </c>
      <c r="N1275">
        <v>49.727664947999997</v>
      </c>
    </row>
    <row r="1276" spans="1:14" x14ac:dyDescent="0.25">
      <c r="A1276">
        <v>1098.5151069999999</v>
      </c>
      <c r="B1276" s="1">
        <f>DATE(2013,5,3) + TIME(12,21,45)</f>
        <v>41397.515104166669</v>
      </c>
      <c r="C1276">
        <v>2400</v>
      </c>
      <c r="D1276">
        <v>0</v>
      </c>
      <c r="E1276">
        <v>0</v>
      </c>
      <c r="F1276">
        <v>2400</v>
      </c>
      <c r="G1276">
        <v>1366.5847168</v>
      </c>
      <c r="H1276">
        <v>1356.6240233999999</v>
      </c>
      <c r="I1276">
        <v>1313.2568358999999</v>
      </c>
      <c r="J1276">
        <v>1304.0393065999999</v>
      </c>
      <c r="K1276">
        <v>80</v>
      </c>
      <c r="L1276">
        <v>78.754463196000003</v>
      </c>
      <c r="M1276">
        <v>50</v>
      </c>
      <c r="N1276">
        <v>49.717910766999999</v>
      </c>
    </row>
    <row r="1277" spans="1:14" x14ac:dyDescent="0.25">
      <c r="A1277">
        <v>1098.643284</v>
      </c>
      <c r="B1277" s="1">
        <f>DATE(2013,5,3) + TIME(15,26,19)</f>
        <v>41397.643275462964</v>
      </c>
      <c r="C1277">
        <v>2400</v>
      </c>
      <c r="D1277">
        <v>0</v>
      </c>
      <c r="E1277">
        <v>0</v>
      </c>
      <c r="F1277">
        <v>2400</v>
      </c>
      <c r="G1277">
        <v>1366.5905762</v>
      </c>
      <c r="H1277">
        <v>1356.6326904</v>
      </c>
      <c r="I1277">
        <v>1313.2574463000001</v>
      </c>
      <c r="J1277">
        <v>1304.0379639</v>
      </c>
      <c r="K1277">
        <v>80</v>
      </c>
      <c r="L1277">
        <v>78.882347107000001</v>
      </c>
      <c r="M1277">
        <v>50</v>
      </c>
      <c r="N1277">
        <v>49.707836151000002</v>
      </c>
    </row>
    <row r="1278" spans="1:14" x14ac:dyDescent="0.25">
      <c r="A1278">
        <v>1098.7773299999999</v>
      </c>
      <c r="B1278" s="1">
        <f>DATE(2013,5,3) + TIME(18,39,21)</f>
        <v>41397.777326388888</v>
      </c>
      <c r="C1278">
        <v>2400</v>
      </c>
      <c r="D1278">
        <v>0</v>
      </c>
      <c r="E1278">
        <v>0</v>
      </c>
      <c r="F1278">
        <v>2400</v>
      </c>
      <c r="G1278">
        <v>1366.5963135</v>
      </c>
      <c r="H1278">
        <v>1356.640625</v>
      </c>
      <c r="I1278">
        <v>1313.2579346</v>
      </c>
      <c r="J1278">
        <v>1304.0367432</v>
      </c>
      <c r="K1278">
        <v>80</v>
      </c>
      <c r="L1278">
        <v>79.001052856000001</v>
      </c>
      <c r="M1278">
        <v>50</v>
      </c>
      <c r="N1278">
        <v>49.697406768999997</v>
      </c>
    </row>
    <row r="1279" spans="1:14" x14ac:dyDescent="0.25">
      <c r="A1279">
        <v>1098.9177380000001</v>
      </c>
      <c r="B1279" s="1">
        <f>DATE(2013,5,3) + TIME(22,1,32)</f>
        <v>41397.917731481481</v>
      </c>
      <c r="C1279">
        <v>2400</v>
      </c>
      <c r="D1279">
        <v>0</v>
      </c>
      <c r="E1279">
        <v>0</v>
      </c>
      <c r="F1279">
        <v>2400</v>
      </c>
      <c r="G1279">
        <v>1366.6015625</v>
      </c>
      <c r="H1279">
        <v>1356.6478271000001</v>
      </c>
      <c r="I1279">
        <v>1313.2585449000001</v>
      </c>
      <c r="J1279">
        <v>1304.0352783000001</v>
      </c>
      <c r="K1279">
        <v>80</v>
      </c>
      <c r="L1279">
        <v>79.110809325999995</v>
      </c>
      <c r="M1279">
        <v>50</v>
      </c>
      <c r="N1279">
        <v>49.686599731000001</v>
      </c>
    </row>
    <row r="1280" spans="1:14" x14ac:dyDescent="0.25">
      <c r="A1280">
        <v>1099.065065</v>
      </c>
      <c r="B1280" s="1">
        <f>DATE(2013,5,4) + TIME(1,33,41)</f>
        <v>41398.065057870372</v>
      </c>
      <c r="C1280">
        <v>2400</v>
      </c>
      <c r="D1280">
        <v>0</v>
      </c>
      <c r="E1280">
        <v>0</v>
      </c>
      <c r="F1280">
        <v>2400</v>
      </c>
      <c r="G1280">
        <v>1366.6062012</v>
      </c>
      <c r="H1280">
        <v>1356.6540527</v>
      </c>
      <c r="I1280">
        <v>1313.2589111</v>
      </c>
      <c r="J1280">
        <v>1304.0339355000001</v>
      </c>
      <c r="K1280">
        <v>80</v>
      </c>
      <c r="L1280">
        <v>79.211853027000004</v>
      </c>
      <c r="M1280">
        <v>50</v>
      </c>
      <c r="N1280">
        <v>49.675380707000002</v>
      </c>
    </row>
    <row r="1281" spans="1:14" x14ac:dyDescent="0.25">
      <c r="A1281">
        <v>1099.2199330000001</v>
      </c>
      <c r="B1281" s="1">
        <f>DATE(2013,5,4) + TIME(5,16,42)</f>
        <v>41398.219930555555</v>
      </c>
      <c r="C1281">
        <v>2400</v>
      </c>
      <c r="D1281">
        <v>0</v>
      </c>
      <c r="E1281">
        <v>0</v>
      </c>
      <c r="F1281">
        <v>2400</v>
      </c>
      <c r="G1281">
        <v>1366.6101074000001</v>
      </c>
      <c r="H1281">
        <v>1356.6594238</v>
      </c>
      <c r="I1281">
        <v>1313.2592772999999</v>
      </c>
      <c r="J1281">
        <v>1304.0323486</v>
      </c>
      <c r="K1281">
        <v>80</v>
      </c>
      <c r="L1281">
        <v>79.304466247999997</v>
      </c>
      <c r="M1281">
        <v>50</v>
      </c>
      <c r="N1281">
        <v>49.663711548000002</v>
      </c>
    </row>
    <row r="1282" spans="1:14" x14ac:dyDescent="0.25">
      <c r="A1282">
        <v>1099.3830499999999</v>
      </c>
      <c r="B1282" s="1">
        <f>DATE(2013,5,4) + TIME(9,11,35)</f>
        <v>41398.383043981485</v>
      </c>
      <c r="C1282">
        <v>2400</v>
      </c>
      <c r="D1282">
        <v>0</v>
      </c>
      <c r="E1282">
        <v>0</v>
      </c>
      <c r="F1282">
        <v>2400</v>
      </c>
      <c r="G1282">
        <v>1366.6132812000001</v>
      </c>
      <c r="H1282">
        <v>1356.6636963000001</v>
      </c>
      <c r="I1282">
        <v>1313.2596435999999</v>
      </c>
      <c r="J1282">
        <v>1304.0307617000001</v>
      </c>
      <c r="K1282">
        <v>80</v>
      </c>
      <c r="L1282">
        <v>79.388916015999996</v>
      </c>
      <c r="M1282">
        <v>50</v>
      </c>
      <c r="N1282">
        <v>49.651554107999999</v>
      </c>
    </row>
    <row r="1283" spans="1:14" x14ac:dyDescent="0.25">
      <c r="A1283">
        <v>1099.5552359999999</v>
      </c>
      <c r="B1283" s="1">
        <f>DATE(2013,5,4) + TIME(13,19,32)</f>
        <v>41398.555231481485</v>
      </c>
      <c r="C1283">
        <v>2400</v>
      </c>
      <c r="D1283">
        <v>0</v>
      </c>
      <c r="E1283">
        <v>0</v>
      </c>
      <c r="F1283">
        <v>2400</v>
      </c>
      <c r="G1283">
        <v>1366.6153564000001</v>
      </c>
      <c r="H1283">
        <v>1356.6668701000001</v>
      </c>
      <c r="I1283">
        <v>1313.2598877</v>
      </c>
      <c r="J1283">
        <v>1304.0291748</v>
      </c>
      <c r="K1283">
        <v>80</v>
      </c>
      <c r="L1283">
        <v>79.465522766000007</v>
      </c>
      <c r="M1283">
        <v>50</v>
      </c>
      <c r="N1283">
        <v>49.638862609999997</v>
      </c>
    </row>
    <row r="1284" spans="1:14" x14ac:dyDescent="0.25">
      <c r="A1284">
        <v>1099.7375139999999</v>
      </c>
      <c r="B1284" s="1">
        <f>DATE(2013,5,4) + TIME(17,42,1)</f>
        <v>41398.737511574072</v>
      </c>
      <c r="C1284">
        <v>2400</v>
      </c>
      <c r="D1284">
        <v>0</v>
      </c>
      <c r="E1284">
        <v>0</v>
      </c>
      <c r="F1284">
        <v>2400</v>
      </c>
      <c r="G1284">
        <v>1366.6163329999999</v>
      </c>
      <c r="H1284">
        <v>1356.6688231999999</v>
      </c>
      <c r="I1284">
        <v>1313.2601318</v>
      </c>
      <c r="J1284">
        <v>1304.0274658000001</v>
      </c>
      <c r="K1284">
        <v>80</v>
      </c>
      <c r="L1284">
        <v>79.534637450999995</v>
      </c>
      <c r="M1284">
        <v>50</v>
      </c>
      <c r="N1284">
        <v>49.625579834</v>
      </c>
    </row>
    <row r="1285" spans="1:14" x14ac:dyDescent="0.25">
      <c r="A1285">
        <v>1099.9308470000001</v>
      </c>
      <c r="B1285" s="1">
        <f>DATE(2013,5,4) + TIME(22,20,25)</f>
        <v>41398.930844907409</v>
      </c>
      <c r="C1285">
        <v>2400</v>
      </c>
      <c r="D1285">
        <v>0</v>
      </c>
      <c r="E1285">
        <v>0</v>
      </c>
      <c r="F1285">
        <v>2400</v>
      </c>
      <c r="G1285">
        <v>1366.6159668</v>
      </c>
      <c r="H1285">
        <v>1356.6694336</v>
      </c>
      <c r="I1285">
        <v>1313.2602539</v>
      </c>
      <c r="J1285">
        <v>1304.0256348</v>
      </c>
      <c r="K1285">
        <v>80</v>
      </c>
      <c r="L1285">
        <v>79.596549988000007</v>
      </c>
      <c r="M1285">
        <v>50</v>
      </c>
      <c r="N1285">
        <v>49.611648559999999</v>
      </c>
    </row>
    <row r="1286" spans="1:14" x14ac:dyDescent="0.25">
      <c r="A1286">
        <v>1100.136467</v>
      </c>
      <c r="B1286" s="1">
        <f>DATE(2013,5,5) + TIME(3,16,30)</f>
        <v>41399.136458333334</v>
      </c>
      <c r="C1286">
        <v>2400</v>
      </c>
      <c r="D1286">
        <v>0</v>
      </c>
      <c r="E1286">
        <v>0</v>
      </c>
      <c r="F1286">
        <v>2400</v>
      </c>
      <c r="G1286">
        <v>1366.6141356999999</v>
      </c>
      <c r="H1286">
        <v>1356.6685791</v>
      </c>
      <c r="I1286">
        <v>1313.2602539</v>
      </c>
      <c r="J1286">
        <v>1304.0238036999999</v>
      </c>
      <c r="K1286">
        <v>80</v>
      </c>
      <c r="L1286">
        <v>79.651626586999996</v>
      </c>
      <c r="M1286">
        <v>50</v>
      </c>
      <c r="N1286">
        <v>49.597000121999997</v>
      </c>
    </row>
    <row r="1287" spans="1:14" x14ac:dyDescent="0.25">
      <c r="A1287">
        <v>1100.3558109999999</v>
      </c>
      <c r="B1287" s="1">
        <f>DATE(2013,5,5) + TIME(8,32,22)</f>
        <v>41399.355810185189</v>
      </c>
      <c r="C1287">
        <v>2400</v>
      </c>
      <c r="D1287">
        <v>0</v>
      </c>
      <c r="E1287">
        <v>0</v>
      </c>
      <c r="F1287">
        <v>2400</v>
      </c>
      <c r="G1287">
        <v>1366.6107178</v>
      </c>
      <c r="H1287">
        <v>1356.6662598</v>
      </c>
      <c r="I1287">
        <v>1313.2601318</v>
      </c>
      <c r="J1287">
        <v>1304.0217285000001</v>
      </c>
      <c r="K1287">
        <v>80</v>
      </c>
      <c r="L1287">
        <v>79.700248717999997</v>
      </c>
      <c r="M1287">
        <v>50</v>
      </c>
      <c r="N1287">
        <v>49.581554412999999</v>
      </c>
    </row>
    <row r="1288" spans="1:14" x14ac:dyDescent="0.25">
      <c r="A1288">
        <v>1100.590571</v>
      </c>
      <c r="B1288" s="1">
        <f>DATE(2013,5,5) + TIME(14,10,25)</f>
        <v>41399.590567129628</v>
      </c>
      <c r="C1288">
        <v>2400</v>
      </c>
      <c r="D1288">
        <v>0</v>
      </c>
      <c r="E1288">
        <v>0</v>
      </c>
      <c r="F1288">
        <v>2400</v>
      </c>
      <c r="G1288">
        <v>1366.6054687999999</v>
      </c>
      <c r="H1288">
        <v>1356.6623535000001</v>
      </c>
      <c r="I1288">
        <v>1313.2600098</v>
      </c>
      <c r="J1288">
        <v>1304.0196533000001</v>
      </c>
      <c r="K1288">
        <v>80</v>
      </c>
      <c r="L1288">
        <v>79.742805481000005</v>
      </c>
      <c r="M1288">
        <v>50</v>
      </c>
      <c r="N1288">
        <v>49.565223693999997</v>
      </c>
    </row>
    <row r="1289" spans="1:14" x14ac:dyDescent="0.25">
      <c r="A1289">
        <v>1100.8334769999999</v>
      </c>
      <c r="B1289" s="1">
        <f>DATE(2013,5,5) + TIME(20,0,12)</f>
        <v>41399.833472222221</v>
      </c>
      <c r="C1289">
        <v>2400</v>
      </c>
      <c r="D1289">
        <v>0</v>
      </c>
      <c r="E1289">
        <v>0</v>
      </c>
      <c r="F1289">
        <v>2400</v>
      </c>
      <c r="G1289">
        <v>1366.5993652</v>
      </c>
      <c r="H1289">
        <v>1356.6572266000001</v>
      </c>
      <c r="I1289">
        <v>1313.2596435999999</v>
      </c>
      <c r="J1289">
        <v>1304.0173339999999</v>
      </c>
      <c r="K1289">
        <v>80</v>
      </c>
      <c r="L1289">
        <v>79.778602599999999</v>
      </c>
      <c r="M1289">
        <v>50</v>
      </c>
      <c r="N1289">
        <v>49.548454284999998</v>
      </c>
    </row>
    <row r="1290" spans="1:14" x14ac:dyDescent="0.25">
      <c r="A1290">
        <v>1101.0798569999999</v>
      </c>
      <c r="B1290" s="1">
        <f>DATE(2013,5,6) + TIME(1,54,59)</f>
        <v>41400.07984953704</v>
      </c>
      <c r="C1290">
        <v>2400</v>
      </c>
      <c r="D1290">
        <v>0</v>
      </c>
      <c r="E1290">
        <v>0</v>
      </c>
      <c r="F1290">
        <v>2400</v>
      </c>
      <c r="G1290">
        <v>1366.5917969</v>
      </c>
      <c r="H1290">
        <v>1356.651001</v>
      </c>
      <c r="I1290">
        <v>1313.2591553</v>
      </c>
      <c r="J1290">
        <v>1304.0150146000001</v>
      </c>
      <c r="K1290">
        <v>80</v>
      </c>
      <c r="L1290">
        <v>79.808052063000005</v>
      </c>
      <c r="M1290">
        <v>50</v>
      </c>
      <c r="N1290">
        <v>49.531532288000001</v>
      </c>
    </row>
    <row r="1291" spans="1:14" x14ac:dyDescent="0.25">
      <c r="A1291">
        <v>1101.330553</v>
      </c>
      <c r="B1291" s="1">
        <f>DATE(2013,5,6) + TIME(7,55,59)</f>
        <v>41400.330543981479</v>
      </c>
      <c r="C1291">
        <v>2400</v>
      </c>
      <c r="D1291">
        <v>0</v>
      </c>
      <c r="E1291">
        <v>0</v>
      </c>
      <c r="F1291">
        <v>2400</v>
      </c>
      <c r="G1291">
        <v>1366.5825195</v>
      </c>
      <c r="H1291">
        <v>1356.6431885</v>
      </c>
      <c r="I1291">
        <v>1313.2585449000001</v>
      </c>
      <c r="J1291">
        <v>1304.0125731999999</v>
      </c>
      <c r="K1291">
        <v>80</v>
      </c>
      <c r="L1291">
        <v>79.832290649000001</v>
      </c>
      <c r="M1291">
        <v>50</v>
      </c>
      <c r="N1291">
        <v>49.514404296999999</v>
      </c>
    </row>
    <row r="1292" spans="1:14" x14ac:dyDescent="0.25">
      <c r="A1292">
        <v>1101.5852649999999</v>
      </c>
      <c r="B1292" s="1">
        <f>DATE(2013,5,6) + TIME(14,2,46)</f>
        <v>41400.58525462963</v>
      </c>
      <c r="C1292">
        <v>2400</v>
      </c>
      <c r="D1292">
        <v>0</v>
      </c>
      <c r="E1292">
        <v>0</v>
      </c>
      <c r="F1292">
        <v>2400</v>
      </c>
      <c r="G1292">
        <v>1366.5715332</v>
      </c>
      <c r="H1292">
        <v>1356.6341553</v>
      </c>
      <c r="I1292">
        <v>1313.2579346</v>
      </c>
      <c r="J1292">
        <v>1304.0101318</v>
      </c>
      <c r="K1292">
        <v>80</v>
      </c>
      <c r="L1292">
        <v>79.852165221999996</v>
      </c>
      <c r="M1292">
        <v>50</v>
      </c>
      <c r="N1292">
        <v>49.497097015000001</v>
      </c>
    </row>
    <row r="1293" spans="1:14" x14ac:dyDescent="0.25">
      <c r="A1293">
        <v>1101.8444489999999</v>
      </c>
      <c r="B1293" s="1">
        <f>DATE(2013,5,6) + TIME(20,16,0)</f>
        <v>41400.844444444447</v>
      </c>
      <c r="C1293">
        <v>2400</v>
      </c>
      <c r="D1293">
        <v>0</v>
      </c>
      <c r="E1293">
        <v>0</v>
      </c>
      <c r="F1293">
        <v>2400</v>
      </c>
      <c r="G1293">
        <v>1366.559082</v>
      </c>
      <c r="H1293">
        <v>1356.6239014</v>
      </c>
      <c r="I1293">
        <v>1313.2570800999999</v>
      </c>
      <c r="J1293">
        <v>1304.0076904</v>
      </c>
      <c r="K1293">
        <v>80</v>
      </c>
      <c r="L1293">
        <v>79.868446349999999</v>
      </c>
      <c r="M1293">
        <v>50</v>
      </c>
      <c r="N1293">
        <v>49.479579926</v>
      </c>
    </row>
    <row r="1294" spans="1:14" x14ac:dyDescent="0.25">
      <c r="A1294">
        <v>1102.1087950000001</v>
      </c>
      <c r="B1294" s="1">
        <f>DATE(2013,5,7) + TIME(2,36,39)</f>
        <v>41401.108784722222</v>
      </c>
      <c r="C1294">
        <v>2400</v>
      </c>
      <c r="D1294">
        <v>0</v>
      </c>
      <c r="E1294">
        <v>0</v>
      </c>
      <c r="F1294">
        <v>2400</v>
      </c>
      <c r="G1294">
        <v>1366.5451660000001</v>
      </c>
      <c r="H1294">
        <v>1356.6125488</v>
      </c>
      <c r="I1294">
        <v>1313.2562256000001</v>
      </c>
      <c r="J1294">
        <v>1304.0051269999999</v>
      </c>
      <c r="K1294">
        <v>80</v>
      </c>
      <c r="L1294">
        <v>79.881767272999994</v>
      </c>
      <c r="M1294">
        <v>50</v>
      </c>
      <c r="N1294">
        <v>49.461814879999999</v>
      </c>
    </row>
    <row r="1295" spans="1:14" x14ac:dyDescent="0.25">
      <c r="A1295">
        <v>1102.3787789999999</v>
      </c>
      <c r="B1295" s="1">
        <f>DATE(2013,5,7) + TIME(9,5,26)</f>
        <v>41401.37877314815</v>
      </c>
      <c r="C1295">
        <v>2400</v>
      </c>
      <c r="D1295">
        <v>0</v>
      </c>
      <c r="E1295">
        <v>0</v>
      </c>
      <c r="F1295">
        <v>2400</v>
      </c>
      <c r="G1295">
        <v>1366.5300293</v>
      </c>
      <c r="H1295">
        <v>1356.6002197</v>
      </c>
      <c r="I1295">
        <v>1313.255249</v>
      </c>
      <c r="J1295">
        <v>1304.0025635</v>
      </c>
      <c r="K1295">
        <v>80</v>
      </c>
      <c r="L1295">
        <v>79.892654418999996</v>
      </c>
      <c r="M1295">
        <v>50</v>
      </c>
      <c r="N1295">
        <v>49.443778991999999</v>
      </c>
    </row>
    <row r="1296" spans="1:14" x14ac:dyDescent="0.25">
      <c r="A1296">
        <v>1102.6545599999999</v>
      </c>
      <c r="B1296" s="1">
        <f>DATE(2013,5,7) + TIME(15,42,33)</f>
        <v>41401.654548611114</v>
      </c>
      <c r="C1296">
        <v>2400</v>
      </c>
      <c r="D1296">
        <v>0</v>
      </c>
      <c r="E1296">
        <v>0</v>
      </c>
      <c r="F1296">
        <v>2400</v>
      </c>
      <c r="G1296">
        <v>1366.5136719</v>
      </c>
      <c r="H1296">
        <v>1356.5870361</v>
      </c>
      <c r="I1296">
        <v>1313.2541504000001</v>
      </c>
      <c r="J1296">
        <v>1303.9998779</v>
      </c>
      <c r="K1296">
        <v>80</v>
      </c>
      <c r="L1296">
        <v>79.901527404999996</v>
      </c>
      <c r="M1296">
        <v>50</v>
      </c>
      <c r="N1296">
        <v>49.42546463</v>
      </c>
    </row>
    <row r="1297" spans="1:14" x14ac:dyDescent="0.25">
      <c r="A1297">
        <v>1102.936197</v>
      </c>
      <c r="B1297" s="1">
        <f>DATE(2013,5,7) + TIME(22,28,7)</f>
        <v>41401.936192129629</v>
      </c>
      <c r="C1297">
        <v>2400</v>
      </c>
      <c r="D1297">
        <v>0</v>
      </c>
      <c r="E1297">
        <v>0</v>
      </c>
      <c r="F1297">
        <v>2400</v>
      </c>
      <c r="G1297">
        <v>1366.4960937999999</v>
      </c>
      <c r="H1297">
        <v>1356.5729980000001</v>
      </c>
      <c r="I1297">
        <v>1313.2530518000001</v>
      </c>
      <c r="J1297">
        <v>1303.9971923999999</v>
      </c>
      <c r="K1297">
        <v>80</v>
      </c>
      <c r="L1297">
        <v>79.908744811999995</v>
      </c>
      <c r="M1297">
        <v>50</v>
      </c>
      <c r="N1297">
        <v>49.406867980999998</v>
      </c>
    </row>
    <row r="1298" spans="1:14" x14ac:dyDescent="0.25">
      <c r="A1298">
        <v>1103.224293</v>
      </c>
      <c r="B1298" s="1">
        <f>DATE(2013,5,8) + TIME(5,22,58)</f>
        <v>41402.224282407406</v>
      </c>
      <c r="C1298">
        <v>2400</v>
      </c>
      <c r="D1298">
        <v>0</v>
      </c>
      <c r="E1298">
        <v>0</v>
      </c>
      <c r="F1298">
        <v>2400</v>
      </c>
      <c r="G1298">
        <v>1366.4776611</v>
      </c>
      <c r="H1298">
        <v>1356.5582274999999</v>
      </c>
      <c r="I1298">
        <v>1313.2518310999999</v>
      </c>
      <c r="J1298">
        <v>1303.9943848</v>
      </c>
      <c r="K1298">
        <v>80</v>
      </c>
      <c r="L1298">
        <v>79.914596558</v>
      </c>
      <c r="M1298">
        <v>50</v>
      </c>
      <c r="N1298">
        <v>49.387962340999998</v>
      </c>
    </row>
    <row r="1299" spans="1:14" x14ac:dyDescent="0.25">
      <c r="A1299">
        <v>1103.5194289999999</v>
      </c>
      <c r="B1299" s="1">
        <f>DATE(2013,5,8) + TIME(12,27,58)</f>
        <v>41402.519421296296</v>
      </c>
      <c r="C1299">
        <v>2400</v>
      </c>
      <c r="D1299">
        <v>0</v>
      </c>
      <c r="E1299">
        <v>0</v>
      </c>
      <c r="F1299">
        <v>2400</v>
      </c>
      <c r="G1299">
        <v>1366.4581298999999</v>
      </c>
      <c r="H1299">
        <v>1356.5427245999999</v>
      </c>
      <c r="I1299">
        <v>1313.2504882999999</v>
      </c>
      <c r="J1299">
        <v>1303.9915771000001</v>
      </c>
      <c r="K1299">
        <v>80</v>
      </c>
      <c r="L1299">
        <v>79.919342040999993</v>
      </c>
      <c r="M1299">
        <v>50</v>
      </c>
      <c r="N1299">
        <v>49.368709564</v>
      </c>
    </row>
    <row r="1300" spans="1:14" x14ac:dyDescent="0.25">
      <c r="A1300">
        <v>1103.8222929999999</v>
      </c>
      <c r="B1300" s="1">
        <f>DATE(2013,5,8) + TIME(19,44,6)</f>
        <v>41402.822291666664</v>
      </c>
      <c r="C1300">
        <v>2400</v>
      </c>
      <c r="D1300">
        <v>0</v>
      </c>
      <c r="E1300">
        <v>0</v>
      </c>
      <c r="F1300">
        <v>2400</v>
      </c>
      <c r="G1300">
        <v>1366.4377440999999</v>
      </c>
      <c r="H1300">
        <v>1356.5266113</v>
      </c>
      <c r="I1300">
        <v>1313.2490233999999</v>
      </c>
      <c r="J1300">
        <v>1303.9886475000001</v>
      </c>
      <c r="K1300">
        <v>80</v>
      </c>
      <c r="L1300">
        <v>79.923187256000006</v>
      </c>
      <c r="M1300">
        <v>50</v>
      </c>
      <c r="N1300">
        <v>49.349079132</v>
      </c>
    </row>
    <row r="1301" spans="1:14" x14ac:dyDescent="0.25">
      <c r="A1301">
        <v>1104.132832</v>
      </c>
      <c r="B1301" s="1">
        <f>DATE(2013,5,9) + TIME(3,11,16)</f>
        <v>41403.132824074077</v>
      </c>
      <c r="C1301">
        <v>2400</v>
      </c>
      <c r="D1301">
        <v>0</v>
      </c>
      <c r="E1301">
        <v>0</v>
      </c>
      <c r="F1301">
        <v>2400</v>
      </c>
      <c r="G1301">
        <v>1366.4165039</v>
      </c>
      <c r="H1301">
        <v>1356.5100098</v>
      </c>
      <c r="I1301">
        <v>1313.2475586</v>
      </c>
      <c r="J1301">
        <v>1303.9855957</v>
      </c>
      <c r="K1301">
        <v>80</v>
      </c>
      <c r="L1301">
        <v>79.926292419000006</v>
      </c>
      <c r="M1301">
        <v>50</v>
      </c>
      <c r="N1301">
        <v>49.329074859999999</v>
      </c>
    </row>
    <row r="1302" spans="1:14" x14ac:dyDescent="0.25">
      <c r="A1302">
        <v>1104.4511869999999</v>
      </c>
      <c r="B1302" s="1">
        <f>DATE(2013,5,9) + TIME(10,49,42)</f>
        <v>41403.451180555552</v>
      </c>
      <c r="C1302">
        <v>2400</v>
      </c>
      <c r="D1302">
        <v>0</v>
      </c>
      <c r="E1302">
        <v>0</v>
      </c>
      <c r="F1302">
        <v>2400</v>
      </c>
      <c r="G1302">
        <v>1366.3945312000001</v>
      </c>
      <c r="H1302">
        <v>1356.4927978999999</v>
      </c>
      <c r="I1302">
        <v>1313.2459716999999</v>
      </c>
      <c r="J1302">
        <v>1303.9824219</v>
      </c>
      <c r="K1302">
        <v>80</v>
      </c>
      <c r="L1302">
        <v>79.928794861</v>
      </c>
      <c r="M1302">
        <v>50</v>
      </c>
      <c r="N1302">
        <v>49.308689117</v>
      </c>
    </row>
    <row r="1303" spans="1:14" x14ac:dyDescent="0.25">
      <c r="A1303">
        <v>1104.7780780000001</v>
      </c>
      <c r="B1303" s="1">
        <f>DATE(2013,5,9) + TIME(18,40,25)</f>
        <v>41403.778067129628</v>
      </c>
      <c r="C1303">
        <v>2400</v>
      </c>
      <c r="D1303">
        <v>0</v>
      </c>
      <c r="E1303">
        <v>0</v>
      </c>
      <c r="F1303">
        <v>2400</v>
      </c>
      <c r="G1303">
        <v>1366.3717041</v>
      </c>
      <c r="H1303">
        <v>1356.4750977000001</v>
      </c>
      <c r="I1303">
        <v>1313.2442627</v>
      </c>
      <c r="J1303">
        <v>1303.9792480000001</v>
      </c>
      <c r="K1303">
        <v>80</v>
      </c>
      <c r="L1303">
        <v>79.930809021000002</v>
      </c>
      <c r="M1303">
        <v>50</v>
      </c>
      <c r="N1303">
        <v>49.287887572999999</v>
      </c>
    </row>
    <row r="1304" spans="1:14" x14ac:dyDescent="0.25">
      <c r="A1304">
        <v>1105.1142709999999</v>
      </c>
      <c r="B1304" s="1">
        <f>DATE(2013,5,10) + TIME(2,44,33)</f>
        <v>41404.114270833335</v>
      </c>
      <c r="C1304">
        <v>2400</v>
      </c>
      <c r="D1304">
        <v>0</v>
      </c>
      <c r="E1304">
        <v>0</v>
      </c>
      <c r="F1304">
        <v>2400</v>
      </c>
      <c r="G1304">
        <v>1366.3482666</v>
      </c>
      <c r="H1304">
        <v>1356.4569091999999</v>
      </c>
      <c r="I1304">
        <v>1313.2424315999999</v>
      </c>
      <c r="J1304">
        <v>1303.9758300999999</v>
      </c>
      <c r="K1304">
        <v>80</v>
      </c>
      <c r="L1304">
        <v>79.932434082</v>
      </c>
      <c r="M1304">
        <v>50</v>
      </c>
      <c r="N1304">
        <v>49.266635895</v>
      </c>
    </row>
    <row r="1305" spans="1:14" x14ac:dyDescent="0.25">
      <c r="A1305">
        <v>1105.460611</v>
      </c>
      <c r="B1305" s="1">
        <f>DATE(2013,5,10) + TIME(11,3,16)</f>
        <v>41404.460601851853</v>
      </c>
      <c r="C1305">
        <v>2400</v>
      </c>
      <c r="D1305">
        <v>0</v>
      </c>
      <c r="E1305">
        <v>0</v>
      </c>
      <c r="F1305">
        <v>2400</v>
      </c>
      <c r="G1305">
        <v>1366.3242187999999</v>
      </c>
      <c r="H1305">
        <v>1356.4382324000001</v>
      </c>
      <c r="I1305">
        <v>1313.2406006000001</v>
      </c>
      <c r="J1305">
        <v>1303.9724120999999</v>
      </c>
      <c r="K1305">
        <v>80</v>
      </c>
      <c r="L1305">
        <v>79.933746338000006</v>
      </c>
      <c r="M1305">
        <v>50</v>
      </c>
      <c r="N1305">
        <v>49.244884491000001</v>
      </c>
    </row>
    <row r="1306" spans="1:14" x14ac:dyDescent="0.25">
      <c r="A1306">
        <v>1105.8173710000001</v>
      </c>
      <c r="B1306" s="1">
        <f>DATE(2013,5,10) + TIME(19,37,0)</f>
        <v>41404.817361111112</v>
      </c>
      <c r="C1306">
        <v>2400</v>
      </c>
      <c r="D1306">
        <v>0</v>
      </c>
      <c r="E1306">
        <v>0</v>
      </c>
      <c r="F1306">
        <v>2400</v>
      </c>
      <c r="G1306">
        <v>1366.2994385</v>
      </c>
      <c r="H1306">
        <v>1356.4193115</v>
      </c>
      <c r="I1306">
        <v>1313.2385254000001</v>
      </c>
      <c r="J1306">
        <v>1303.96875</v>
      </c>
      <c r="K1306">
        <v>80</v>
      </c>
      <c r="L1306">
        <v>79.934799193999993</v>
      </c>
      <c r="M1306">
        <v>50</v>
      </c>
      <c r="N1306">
        <v>49.222625731999997</v>
      </c>
    </row>
    <row r="1307" spans="1:14" x14ac:dyDescent="0.25">
      <c r="A1307">
        <v>1106.1842690000001</v>
      </c>
      <c r="B1307" s="1">
        <f>DATE(2013,5,11) + TIME(4,25,20)</f>
        <v>41405.184259259258</v>
      </c>
      <c r="C1307">
        <v>2400</v>
      </c>
      <c r="D1307">
        <v>0</v>
      </c>
      <c r="E1307">
        <v>0</v>
      </c>
      <c r="F1307">
        <v>2400</v>
      </c>
      <c r="G1307">
        <v>1366.2741699000001</v>
      </c>
      <c r="H1307">
        <v>1356.3997803</v>
      </c>
      <c r="I1307">
        <v>1313.2364502</v>
      </c>
      <c r="J1307">
        <v>1303.9650879000001</v>
      </c>
      <c r="K1307">
        <v>80</v>
      </c>
      <c r="L1307">
        <v>79.935646057</v>
      </c>
      <c r="M1307">
        <v>50</v>
      </c>
      <c r="N1307">
        <v>49.199878693000002</v>
      </c>
    </row>
    <row r="1308" spans="1:14" x14ac:dyDescent="0.25">
      <c r="A1308">
        <v>1106.5622209999999</v>
      </c>
      <c r="B1308" s="1">
        <f>DATE(2013,5,11) + TIME(13,29,35)</f>
        <v>41405.562210648146</v>
      </c>
      <c r="C1308">
        <v>2400</v>
      </c>
      <c r="D1308">
        <v>0</v>
      </c>
      <c r="E1308">
        <v>0</v>
      </c>
      <c r="F1308">
        <v>2400</v>
      </c>
      <c r="G1308">
        <v>1366.2482910000001</v>
      </c>
      <c r="H1308">
        <v>1356.3801269999999</v>
      </c>
      <c r="I1308">
        <v>1313.2342529</v>
      </c>
      <c r="J1308">
        <v>1303.9611815999999</v>
      </c>
      <c r="K1308">
        <v>80</v>
      </c>
      <c r="L1308">
        <v>79.936332703000005</v>
      </c>
      <c r="M1308">
        <v>50</v>
      </c>
      <c r="N1308">
        <v>49.176593781000001</v>
      </c>
    </row>
    <row r="1309" spans="1:14" x14ac:dyDescent="0.25">
      <c r="A1309">
        <v>1106.95209</v>
      </c>
      <c r="B1309" s="1">
        <f>DATE(2013,5,11) + TIME(22,51,0)</f>
        <v>41405.95208333333</v>
      </c>
      <c r="C1309">
        <v>2400</v>
      </c>
      <c r="D1309">
        <v>0</v>
      </c>
      <c r="E1309">
        <v>0</v>
      </c>
      <c r="F1309">
        <v>2400</v>
      </c>
      <c r="G1309">
        <v>1366.2218018000001</v>
      </c>
      <c r="H1309">
        <v>1356.3599853999999</v>
      </c>
      <c r="I1309">
        <v>1313.2319336</v>
      </c>
      <c r="J1309">
        <v>1303.9571533000001</v>
      </c>
      <c r="K1309">
        <v>80</v>
      </c>
      <c r="L1309">
        <v>79.936889648000005</v>
      </c>
      <c r="M1309">
        <v>50</v>
      </c>
      <c r="N1309">
        <v>49.152736664000003</v>
      </c>
    </row>
    <row r="1310" spans="1:14" x14ac:dyDescent="0.25">
      <c r="A1310">
        <v>1107.3549009999999</v>
      </c>
      <c r="B1310" s="1">
        <f>DATE(2013,5,12) + TIME(8,31,3)</f>
        <v>41406.354895833334</v>
      </c>
      <c r="C1310">
        <v>2400</v>
      </c>
      <c r="D1310">
        <v>0</v>
      </c>
      <c r="E1310">
        <v>0</v>
      </c>
      <c r="F1310">
        <v>2400</v>
      </c>
      <c r="G1310">
        <v>1366.1949463000001</v>
      </c>
      <c r="H1310">
        <v>1356.3395995999999</v>
      </c>
      <c r="I1310">
        <v>1313.2296143000001</v>
      </c>
      <c r="J1310">
        <v>1303.9528809000001</v>
      </c>
      <c r="K1310">
        <v>80</v>
      </c>
      <c r="L1310">
        <v>79.937339782999999</v>
      </c>
      <c r="M1310">
        <v>50</v>
      </c>
      <c r="N1310">
        <v>49.128257751</v>
      </c>
    </row>
    <row r="1311" spans="1:14" x14ac:dyDescent="0.25">
      <c r="A1311">
        <v>1107.771884</v>
      </c>
      <c r="B1311" s="1">
        <f>DATE(2013,5,12) + TIME(18,31,30)</f>
        <v>41406.771874999999</v>
      </c>
      <c r="C1311">
        <v>2400</v>
      </c>
      <c r="D1311">
        <v>0</v>
      </c>
      <c r="E1311">
        <v>0</v>
      </c>
      <c r="F1311">
        <v>2400</v>
      </c>
      <c r="G1311">
        <v>1366.1674805</v>
      </c>
      <c r="H1311">
        <v>1356.3187256000001</v>
      </c>
      <c r="I1311">
        <v>1313.2270507999999</v>
      </c>
      <c r="J1311">
        <v>1303.9484863</v>
      </c>
      <c r="K1311">
        <v>80</v>
      </c>
      <c r="L1311">
        <v>79.937698363999999</v>
      </c>
      <c r="M1311">
        <v>50</v>
      </c>
      <c r="N1311">
        <v>49.103099823000001</v>
      </c>
    </row>
    <row r="1312" spans="1:14" x14ac:dyDescent="0.25">
      <c r="A1312">
        <v>1108.204399</v>
      </c>
      <c r="B1312" s="1">
        <f>DATE(2013,5,13) + TIME(4,54,20)</f>
        <v>41407.204398148147</v>
      </c>
      <c r="C1312">
        <v>2400</v>
      </c>
      <c r="D1312">
        <v>0</v>
      </c>
      <c r="E1312">
        <v>0</v>
      </c>
      <c r="F1312">
        <v>2400</v>
      </c>
      <c r="G1312">
        <v>1366.1394043</v>
      </c>
      <c r="H1312">
        <v>1356.2976074000001</v>
      </c>
      <c r="I1312">
        <v>1313.2243652</v>
      </c>
      <c r="J1312">
        <v>1303.9438477000001</v>
      </c>
      <c r="K1312">
        <v>80</v>
      </c>
      <c r="L1312">
        <v>79.937995911000002</v>
      </c>
      <c r="M1312">
        <v>50</v>
      </c>
      <c r="N1312">
        <v>49.077194214000002</v>
      </c>
    </row>
    <row r="1313" spans="1:14" x14ac:dyDescent="0.25">
      <c r="A1313">
        <v>1108.6509410000001</v>
      </c>
      <c r="B1313" s="1">
        <f>DATE(2013,5,13) + TIME(15,37,21)</f>
        <v>41407.650937500002</v>
      </c>
      <c r="C1313">
        <v>2400</v>
      </c>
      <c r="D1313">
        <v>0</v>
      </c>
      <c r="E1313">
        <v>0</v>
      </c>
      <c r="F1313">
        <v>2400</v>
      </c>
      <c r="G1313">
        <v>1366.1108397999999</v>
      </c>
      <c r="H1313">
        <v>1356.2761230000001</v>
      </c>
      <c r="I1313">
        <v>1313.2215576000001</v>
      </c>
      <c r="J1313">
        <v>1303.9390868999999</v>
      </c>
      <c r="K1313">
        <v>80</v>
      </c>
      <c r="L1313">
        <v>79.938240050999994</v>
      </c>
      <c r="M1313">
        <v>50</v>
      </c>
      <c r="N1313">
        <v>49.050624847000002</v>
      </c>
    </row>
    <row r="1314" spans="1:14" x14ac:dyDescent="0.25">
      <c r="A1314">
        <v>1109.112836</v>
      </c>
      <c r="B1314" s="1">
        <f>DATE(2013,5,14) + TIME(2,42,29)</f>
        <v>41408.112835648149</v>
      </c>
      <c r="C1314">
        <v>2400</v>
      </c>
      <c r="D1314">
        <v>0</v>
      </c>
      <c r="E1314">
        <v>0</v>
      </c>
      <c r="F1314">
        <v>2400</v>
      </c>
      <c r="G1314">
        <v>1366.0817870999999</v>
      </c>
      <c r="H1314">
        <v>1356.2543945</v>
      </c>
      <c r="I1314">
        <v>1313.2186279</v>
      </c>
      <c r="J1314">
        <v>1303.934082</v>
      </c>
      <c r="K1314">
        <v>80</v>
      </c>
      <c r="L1314">
        <v>79.938430785999998</v>
      </c>
      <c r="M1314">
        <v>50</v>
      </c>
      <c r="N1314">
        <v>49.023323058999999</v>
      </c>
    </row>
    <row r="1315" spans="1:14" x14ac:dyDescent="0.25">
      <c r="A1315">
        <v>1109.591435</v>
      </c>
      <c r="B1315" s="1">
        <f>DATE(2013,5,14) + TIME(14,11,39)</f>
        <v>41408.591423611113</v>
      </c>
      <c r="C1315">
        <v>2400</v>
      </c>
      <c r="D1315">
        <v>0</v>
      </c>
      <c r="E1315">
        <v>0</v>
      </c>
      <c r="F1315">
        <v>2400</v>
      </c>
      <c r="G1315">
        <v>1366.0522461</v>
      </c>
      <c r="H1315">
        <v>1356.2322998</v>
      </c>
      <c r="I1315">
        <v>1313.2155762</v>
      </c>
      <c r="J1315">
        <v>1303.9287108999999</v>
      </c>
      <c r="K1315">
        <v>80</v>
      </c>
      <c r="L1315">
        <v>79.938591002999999</v>
      </c>
      <c r="M1315">
        <v>50</v>
      </c>
      <c r="N1315">
        <v>48.995239257999998</v>
      </c>
    </row>
    <row r="1316" spans="1:14" x14ac:dyDescent="0.25">
      <c r="A1316">
        <v>1110.0882610000001</v>
      </c>
      <c r="B1316" s="1">
        <f>DATE(2013,5,15) + TIME(2,7,5)</f>
        <v>41409.088252314818</v>
      </c>
      <c r="C1316">
        <v>2400</v>
      </c>
      <c r="D1316">
        <v>0</v>
      </c>
      <c r="E1316">
        <v>0</v>
      </c>
      <c r="F1316">
        <v>2400</v>
      </c>
      <c r="G1316">
        <v>1366.0223389</v>
      </c>
      <c r="H1316">
        <v>1356.2099608999999</v>
      </c>
      <c r="I1316">
        <v>1313.2122803</v>
      </c>
      <c r="J1316">
        <v>1303.9232178</v>
      </c>
      <c r="K1316">
        <v>80</v>
      </c>
      <c r="L1316">
        <v>79.938720703000001</v>
      </c>
      <c r="M1316">
        <v>50</v>
      </c>
      <c r="N1316">
        <v>48.966300963999998</v>
      </c>
    </row>
    <row r="1317" spans="1:14" x14ac:dyDescent="0.25">
      <c r="A1317">
        <v>1110.592069</v>
      </c>
      <c r="B1317" s="1">
        <f>DATE(2013,5,15) + TIME(14,12,34)</f>
        <v>41409.592060185183</v>
      </c>
      <c r="C1317">
        <v>2400</v>
      </c>
      <c r="D1317">
        <v>0</v>
      </c>
      <c r="E1317">
        <v>0</v>
      </c>
      <c r="F1317">
        <v>2400</v>
      </c>
      <c r="G1317">
        <v>1365.9918213000001</v>
      </c>
      <c r="H1317">
        <v>1356.1873779</v>
      </c>
      <c r="I1317">
        <v>1313.2087402</v>
      </c>
      <c r="J1317">
        <v>1303.9173584</v>
      </c>
      <c r="K1317">
        <v>80</v>
      </c>
      <c r="L1317">
        <v>79.938819885000001</v>
      </c>
      <c r="M1317">
        <v>50</v>
      </c>
      <c r="N1317">
        <v>48.937019348</v>
      </c>
    </row>
    <row r="1318" spans="1:14" x14ac:dyDescent="0.25">
      <c r="A1318">
        <v>1111.1037289999999</v>
      </c>
      <c r="B1318" s="1">
        <f>DATE(2013,5,16) + TIME(2,29,22)</f>
        <v>41410.103726851848</v>
      </c>
      <c r="C1318">
        <v>2400</v>
      </c>
      <c r="D1318">
        <v>0</v>
      </c>
      <c r="E1318">
        <v>0</v>
      </c>
      <c r="F1318">
        <v>2400</v>
      </c>
      <c r="G1318">
        <v>1365.9615478999999</v>
      </c>
      <c r="H1318">
        <v>1356.1649170000001</v>
      </c>
      <c r="I1318">
        <v>1313.2052002</v>
      </c>
      <c r="J1318">
        <v>1303.9113769999999</v>
      </c>
      <c r="K1318">
        <v>80</v>
      </c>
      <c r="L1318">
        <v>79.938896178999997</v>
      </c>
      <c r="M1318">
        <v>50</v>
      </c>
      <c r="N1318">
        <v>48.907379149999997</v>
      </c>
    </row>
    <row r="1319" spans="1:14" x14ac:dyDescent="0.25">
      <c r="A1319">
        <v>1111.6218469999999</v>
      </c>
      <c r="B1319" s="1">
        <f>DATE(2013,5,16) + TIME(14,55,27)</f>
        <v>41410.621840277781</v>
      </c>
      <c r="C1319">
        <v>2400</v>
      </c>
      <c r="D1319">
        <v>0</v>
      </c>
      <c r="E1319">
        <v>0</v>
      </c>
      <c r="F1319">
        <v>2400</v>
      </c>
      <c r="G1319">
        <v>1365.9315185999999</v>
      </c>
      <c r="H1319">
        <v>1356.1425781</v>
      </c>
      <c r="I1319">
        <v>1313.2015381000001</v>
      </c>
      <c r="J1319">
        <v>1303.9051514</v>
      </c>
      <c r="K1319">
        <v>80</v>
      </c>
      <c r="L1319">
        <v>79.938957213999998</v>
      </c>
      <c r="M1319">
        <v>50</v>
      </c>
      <c r="N1319">
        <v>48.877468108999999</v>
      </c>
    </row>
    <row r="1320" spans="1:14" x14ac:dyDescent="0.25">
      <c r="A1320">
        <v>1112.1477110000001</v>
      </c>
      <c r="B1320" s="1">
        <f>DATE(2013,5,17) + TIME(3,32,42)</f>
        <v>41411.14770833333</v>
      </c>
      <c r="C1320">
        <v>2400</v>
      </c>
      <c r="D1320">
        <v>0</v>
      </c>
      <c r="E1320">
        <v>0</v>
      </c>
      <c r="F1320">
        <v>2400</v>
      </c>
      <c r="G1320">
        <v>1365.9016113</v>
      </c>
      <c r="H1320">
        <v>1356.1206055</v>
      </c>
      <c r="I1320">
        <v>1313.1977539</v>
      </c>
      <c r="J1320">
        <v>1303.8988036999999</v>
      </c>
      <c r="K1320">
        <v>80</v>
      </c>
      <c r="L1320">
        <v>79.939010620000005</v>
      </c>
      <c r="M1320">
        <v>50</v>
      </c>
      <c r="N1320">
        <v>48.847248077000003</v>
      </c>
    </row>
    <row r="1321" spans="1:14" x14ac:dyDescent="0.25">
      <c r="A1321">
        <v>1112.6824120000001</v>
      </c>
      <c r="B1321" s="1">
        <f>DATE(2013,5,17) + TIME(16,22,40)</f>
        <v>41411.68240740741</v>
      </c>
      <c r="C1321">
        <v>2400</v>
      </c>
      <c r="D1321">
        <v>0</v>
      </c>
      <c r="E1321">
        <v>0</v>
      </c>
      <c r="F1321">
        <v>2400</v>
      </c>
      <c r="G1321">
        <v>1365.8719481999999</v>
      </c>
      <c r="H1321">
        <v>1356.0987548999999</v>
      </c>
      <c r="I1321">
        <v>1313.1938477000001</v>
      </c>
      <c r="J1321">
        <v>1303.8923339999999</v>
      </c>
      <c r="K1321">
        <v>80</v>
      </c>
      <c r="L1321">
        <v>79.939041137999993</v>
      </c>
      <c r="M1321">
        <v>50</v>
      </c>
      <c r="N1321">
        <v>48.816684723000002</v>
      </c>
    </row>
    <row r="1322" spans="1:14" x14ac:dyDescent="0.25">
      <c r="A1322">
        <v>1113.2272390000001</v>
      </c>
      <c r="B1322" s="1">
        <f>DATE(2013,5,18) + TIME(5,27,13)</f>
        <v>41412.227233796293</v>
      </c>
      <c r="C1322">
        <v>2400</v>
      </c>
      <c r="D1322">
        <v>0</v>
      </c>
      <c r="E1322">
        <v>0</v>
      </c>
      <c r="F1322">
        <v>2400</v>
      </c>
      <c r="G1322">
        <v>1365.8424072</v>
      </c>
      <c r="H1322">
        <v>1356.0770264</v>
      </c>
      <c r="I1322">
        <v>1313.1898193</v>
      </c>
      <c r="J1322">
        <v>1303.8854980000001</v>
      </c>
      <c r="K1322">
        <v>80</v>
      </c>
      <c r="L1322">
        <v>79.939064025999997</v>
      </c>
      <c r="M1322">
        <v>50</v>
      </c>
      <c r="N1322">
        <v>48.785736084</v>
      </c>
    </row>
    <row r="1323" spans="1:14" x14ac:dyDescent="0.25">
      <c r="A1323">
        <v>1113.780565</v>
      </c>
      <c r="B1323" s="1">
        <f>DATE(2013,5,18) + TIME(18,44,0)</f>
        <v>41412.780555555553</v>
      </c>
      <c r="C1323">
        <v>2400</v>
      </c>
      <c r="D1323">
        <v>0</v>
      </c>
      <c r="E1323">
        <v>0</v>
      </c>
      <c r="F1323">
        <v>2400</v>
      </c>
      <c r="G1323">
        <v>1365.8129882999999</v>
      </c>
      <c r="H1323">
        <v>1356.0554199000001</v>
      </c>
      <c r="I1323">
        <v>1313.1856689000001</v>
      </c>
      <c r="J1323">
        <v>1303.8785399999999</v>
      </c>
      <c r="K1323">
        <v>80</v>
      </c>
      <c r="L1323">
        <v>79.939086914000001</v>
      </c>
      <c r="M1323">
        <v>50</v>
      </c>
      <c r="N1323">
        <v>48.754470824999999</v>
      </c>
    </row>
    <row r="1324" spans="1:14" x14ac:dyDescent="0.25">
      <c r="A1324">
        <v>1114.343087</v>
      </c>
      <c r="B1324" s="1">
        <f>DATE(2013,5,19) + TIME(8,14,2)</f>
        <v>41413.343078703707</v>
      </c>
      <c r="C1324">
        <v>2400</v>
      </c>
      <c r="D1324">
        <v>0</v>
      </c>
      <c r="E1324">
        <v>0</v>
      </c>
      <c r="F1324">
        <v>2400</v>
      </c>
      <c r="G1324">
        <v>1365.7836914</v>
      </c>
      <c r="H1324">
        <v>1356.0339355000001</v>
      </c>
      <c r="I1324">
        <v>1313.1813964999999</v>
      </c>
      <c r="J1324">
        <v>1303.8713379000001</v>
      </c>
      <c r="K1324">
        <v>80</v>
      </c>
      <c r="L1324">
        <v>79.939094542999996</v>
      </c>
      <c r="M1324">
        <v>50</v>
      </c>
      <c r="N1324">
        <v>48.722877502000003</v>
      </c>
    </row>
    <row r="1325" spans="1:14" x14ac:dyDescent="0.25">
      <c r="A1325">
        <v>1114.915849</v>
      </c>
      <c r="B1325" s="1">
        <f>DATE(2013,5,19) + TIME(21,58,49)</f>
        <v>41413.915844907409</v>
      </c>
      <c r="C1325">
        <v>2400</v>
      </c>
      <c r="D1325">
        <v>0</v>
      </c>
      <c r="E1325">
        <v>0</v>
      </c>
      <c r="F1325">
        <v>2400</v>
      </c>
      <c r="G1325">
        <v>1365.7545166</v>
      </c>
      <c r="H1325">
        <v>1356.0126952999999</v>
      </c>
      <c r="I1325">
        <v>1313.1770019999999</v>
      </c>
      <c r="J1325">
        <v>1303.8638916</v>
      </c>
      <c r="K1325">
        <v>80</v>
      </c>
      <c r="L1325">
        <v>79.939102172999995</v>
      </c>
      <c r="M1325">
        <v>50</v>
      </c>
      <c r="N1325">
        <v>48.690910338999998</v>
      </c>
    </row>
    <row r="1326" spans="1:14" x14ac:dyDescent="0.25">
      <c r="A1326">
        <v>1115.5001999999999</v>
      </c>
      <c r="B1326" s="1">
        <f>DATE(2013,5,20) + TIME(12,0,17)</f>
        <v>41414.500196759262</v>
      </c>
      <c r="C1326">
        <v>2400</v>
      </c>
      <c r="D1326">
        <v>0</v>
      </c>
      <c r="E1326">
        <v>0</v>
      </c>
      <c r="F1326">
        <v>2400</v>
      </c>
      <c r="G1326">
        <v>1365.7254639</v>
      </c>
      <c r="H1326">
        <v>1355.9914550999999</v>
      </c>
      <c r="I1326">
        <v>1313.1723632999999</v>
      </c>
      <c r="J1326">
        <v>1303.8560791</v>
      </c>
      <c r="K1326">
        <v>80</v>
      </c>
      <c r="L1326">
        <v>79.939102172999995</v>
      </c>
      <c r="M1326">
        <v>50</v>
      </c>
      <c r="N1326">
        <v>48.658527374000002</v>
      </c>
    </row>
    <row r="1327" spans="1:14" x14ac:dyDescent="0.25">
      <c r="A1327">
        <v>1116.097573</v>
      </c>
      <c r="B1327" s="1">
        <f>DATE(2013,5,21) + TIME(2,20,30)</f>
        <v>41415.097569444442</v>
      </c>
      <c r="C1327">
        <v>2400</v>
      </c>
      <c r="D1327">
        <v>0</v>
      </c>
      <c r="E1327">
        <v>0</v>
      </c>
      <c r="F1327">
        <v>2400</v>
      </c>
      <c r="G1327">
        <v>1365.6964111</v>
      </c>
      <c r="H1327">
        <v>1355.9703368999999</v>
      </c>
      <c r="I1327">
        <v>1313.1676024999999</v>
      </c>
      <c r="J1327">
        <v>1303.8480225000001</v>
      </c>
      <c r="K1327">
        <v>80</v>
      </c>
      <c r="L1327">
        <v>79.939094542999996</v>
      </c>
      <c r="M1327">
        <v>50</v>
      </c>
      <c r="N1327">
        <v>48.625659943000002</v>
      </c>
    </row>
    <row r="1328" spans="1:14" x14ac:dyDescent="0.25">
      <c r="A1328">
        <v>1116.7050529999999</v>
      </c>
      <c r="B1328" s="1">
        <f>DATE(2013,5,21) + TIME(16,55,16)</f>
        <v>41415.705046296294</v>
      </c>
      <c r="C1328">
        <v>2400</v>
      </c>
      <c r="D1328">
        <v>0</v>
      </c>
      <c r="E1328">
        <v>0</v>
      </c>
      <c r="F1328">
        <v>2400</v>
      </c>
      <c r="G1328">
        <v>1365.6673584</v>
      </c>
      <c r="H1328">
        <v>1355.9492187999999</v>
      </c>
      <c r="I1328">
        <v>1313.1625977000001</v>
      </c>
      <c r="J1328">
        <v>1303.8397216999999</v>
      </c>
      <c r="K1328">
        <v>80</v>
      </c>
      <c r="L1328">
        <v>79.939086914000001</v>
      </c>
      <c r="M1328">
        <v>50</v>
      </c>
      <c r="N1328">
        <v>48.592437744000001</v>
      </c>
    </row>
    <row r="1329" spans="1:14" x14ac:dyDescent="0.25">
      <c r="A1329">
        <v>1117.323686</v>
      </c>
      <c r="B1329" s="1">
        <f>DATE(2013,5,22) + TIME(7,46,6)</f>
        <v>41416.323680555557</v>
      </c>
      <c r="C1329">
        <v>2400</v>
      </c>
      <c r="D1329">
        <v>0</v>
      </c>
      <c r="E1329">
        <v>0</v>
      </c>
      <c r="F1329">
        <v>2400</v>
      </c>
      <c r="G1329">
        <v>1365.6383057</v>
      </c>
      <c r="H1329">
        <v>1355.9282227000001</v>
      </c>
      <c r="I1329">
        <v>1313.1574707</v>
      </c>
      <c r="J1329">
        <v>1303.8310547000001</v>
      </c>
      <c r="K1329">
        <v>80</v>
      </c>
      <c r="L1329">
        <v>79.939079285000005</v>
      </c>
      <c r="M1329">
        <v>50</v>
      </c>
      <c r="N1329">
        <v>48.558818817000002</v>
      </c>
    </row>
    <row r="1330" spans="1:14" x14ac:dyDescent="0.25">
      <c r="A1330">
        <v>1117.9548090000001</v>
      </c>
      <c r="B1330" s="1">
        <f>DATE(2013,5,22) + TIME(22,54,55)</f>
        <v>41416.95480324074</v>
      </c>
      <c r="C1330">
        <v>2400</v>
      </c>
      <c r="D1330">
        <v>0</v>
      </c>
      <c r="E1330">
        <v>0</v>
      </c>
      <c r="F1330">
        <v>2400</v>
      </c>
      <c r="G1330">
        <v>1365.6094971</v>
      </c>
      <c r="H1330">
        <v>1355.9072266000001</v>
      </c>
      <c r="I1330">
        <v>1313.1520995999999</v>
      </c>
      <c r="J1330">
        <v>1303.8221435999999</v>
      </c>
      <c r="K1330">
        <v>80</v>
      </c>
      <c r="L1330">
        <v>79.939071655000006</v>
      </c>
      <c r="M1330">
        <v>50</v>
      </c>
      <c r="N1330">
        <v>48.524757385000001</v>
      </c>
    </row>
    <row r="1331" spans="1:14" x14ac:dyDescent="0.25">
      <c r="A1331">
        <v>1118.6000079999999</v>
      </c>
      <c r="B1331" s="1">
        <f>DATE(2013,5,23) + TIME(14,24,0)</f>
        <v>41417.599999999999</v>
      </c>
      <c r="C1331">
        <v>2400</v>
      </c>
      <c r="D1331">
        <v>0</v>
      </c>
      <c r="E1331">
        <v>0</v>
      </c>
      <c r="F1331">
        <v>2400</v>
      </c>
      <c r="G1331">
        <v>1365.5805664</v>
      </c>
      <c r="H1331">
        <v>1355.8863524999999</v>
      </c>
      <c r="I1331">
        <v>1313.1466064000001</v>
      </c>
      <c r="J1331">
        <v>1303.8128661999999</v>
      </c>
      <c r="K1331">
        <v>80</v>
      </c>
      <c r="L1331">
        <v>79.939056395999998</v>
      </c>
      <c r="M1331">
        <v>50</v>
      </c>
      <c r="N1331">
        <v>48.490200043000002</v>
      </c>
    </row>
    <row r="1332" spans="1:14" x14ac:dyDescent="0.25">
      <c r="A1332">
        <v>1119.2611440000001</v>
      </c>
      <c r="B1332" s="1">
        <f>DATE(2013,5,24) + TIME(6,16,2)</f>
        <v>41418.261134259257</v>
      </c>
      <c r="C1332">
        <v>2400</v>
      </c>
      <c r="D1332">
        <v>0</v>
      </c>
      <c r="E1332">
        <v>0</v>
      </c>
      <c r="F1332">
        <v>2400</v>
      </c>
      <c r="G1332">
        <v>1365.5516356999999</v>
      </c>
      <c r="H1332">
        <v>1355.8654785000001</v>
      </c>
      <c r="I1332">
        <v>1313.1408690999999</v>
      </c>
      <c r="J1332">
        <v>1303.8031006000001</v>
      </c>
      <c r="K1332">
        <v>80</v>
      </c>
      <c r="L1332">
        <v>79.939041137999993</v>
      </c>
      <c r="M1332">
        <v>50</v>
      </c>
      <c r="N1332">
        <v>48.455066680999998</v>
      </c>
    </row>
    <row r="1333" spans="1:14" x14ac:dyDescent="0.25">
      <c r="A1333">
        <v>1119.939102</v>
      </c>
      <c r="B1333" s="1">
        <f>DATE(2013,5,24) + TIME(22,32,18)</f>
        <v>41418.939097222225</v>
      </c>
      <c r="C1333">
        <v>2400</v>
      </c>
      <c r="D1333">
        <v>0</v>
      </c>
      <c r="E1333">
        <v>0</v>
      </c>
      <c r="F1333">
        <v>2400</v>
      </c>
      <c r="G1333">
        <v>1365.5225829999999</v>
      </c>
      <c r="H1333">
        <v>1355.8446045000001</v>
      </c>
      <c r="I1333">
        <v>1313.1348877</v>
      </c>
      <c r="J1333">
        <v>1303.7930908000001</v>
      </c>
      <c r="K1333">
        <v>80</v>
      </c>
      <c r="L1333">
        <v>79.939025878999999</v>
      </c>
      <c r="M1333">
        <v>50</v>
      </c>
      <c r="N1333">
        <v>48.419326781999999</v>
      </c>
    </row>
    <row r="1334" spans="1:14" x14ac:dyDescent="0.25">
      <c r="A1334">
        <v>1120.629768</v>
      </c>
      <c r="B1334" s="1">
        <f>DATE(2013,5,25) + TIME(15,6,51)</f>
        <v>41419.629756944443</v>
      </c>
      <c r="C1334">
        <v>2400</v>
      </c>
      <c r="D1334">
        <v>0</v>
      </c>
      <c r="E1334">
        <v>0</v>
      </c>
      <c r="F1334">
        <v>2400</v>
      </c>
      <c r="G1334">
        <v>1365.4935303</v>
      </c>
      <c r="H1334">
        <v>1355.8236084</v>
      </c>
      <c r="I1334">
        <v>1313.1285399999999</v>
      </c>
      <c r="J1334">
        <v>1303.7824707</v>
      </c>
      <c r="K1334">
        <v>80</v>
      </c>
      <c r="L1334">
        <v>79.939010620000005</v>
      </c>
      <c r="M1334">
        <v>50</v>
      </c>
      <c r="N1334">
        <v>48.383125305</v>
      </c>
    </row>
    <row r="1335" spans="1:14" x14ac:dyDescent="0.25">
      <c r="A1335">
        <v>1121.3347140000001</v>
      </c>
      <c r="B1335" s="1">
        <f>DATE(2013,5,26) + TIME(8,1,59)</f>
        <v>41420.334710648145</v>
      </c>
      <c r="C1335">
        <v>2400</v>
      </c>
      <c r="D1335">
        <v>0</v>
      </c>
      <c r="E1335">
        <v>0</v>
      </c>
      <c r="F1335">
        <v>2400</v>
      </c>
      <c r="G1335">
        <v>1365.4643555</v>
      </c>
      <c r="H1335">
        <v>1355.8026123</v>
      </c>
      <c r="I1335">
        <v>1313.1220702999999</v>
      </c>
      <c r="J1335">
        <v>1303.7714844</v>
      </c>
      <c r="K1335">
        <v>80</v>
      </c>
      <c r="L1335">
        <v>79.938987732000001</v>
      </c>
      <c r="M1335">
        <v>50</v>
      </c>
      <c r="N1335">
        <v>48.346427917</v>
      </c>
    </row>
    <row r="1336" spans="1:14" x14ac:dyDescent="0.25">
      <c r="A1336">
        <v>1122.0559089999999</v>
      </c>
      <c r="B1336" s="1">
        <f>DATE(2013,5,27) + TIME(1,20,30)</f>
        <v>41421.055902777778</v>
      </c>
      <c r="C1336">
        <v>2400</v>
      </c>
      <c r="D1336">
        <v>0</v>
      </c>
      <c r="E1336">
        <v>0</v>
      </c>
      <c r="F1336">
        <v>2400</v>
      </c>
      <c r="G1336">
        <v>1365.4353027</v>
      </c>
      <c r="H1336">
        <v>1355.7817382999999</v>
      </c>
      <c r="I1336">
        <v>1313.1152344</v>
      </c>
      <c r="J1336">
        <v>1303.7601318</v>
      </c>
      <c r="K1336">
        <v>80</v>
      </c>
      <c r="L1336">
        <v>79.938972473000007</v>
      </c>
      <c r="M1336">
        <v>50</v>
      </c>
      <c r="N1336">
        <v>48.309162139999998</v>
      </c>
    </row>
    <row r="1337" spans="1:14" x14ac:dyDescent="0.25">
      <c r="A1337">
        <v>1122.7950900000001</v>
      </c>
      <c r="B1337" s="1">
        <f>DATE(2013,5,27) + TIME(19,4,55)</f>
        <v>41421.795081018521</v>
      </c>
      <c r="C1337">
        <v>2400</v>
      </c>
      <c r="D1337">
        <v>0</v>
      </c>
      <c r="E1337">
        <v>0</v>
      </c>
      <c r="F1337">
        <v>2400</v>
      </c>
      <c r="G1337">
        <v>1365.4061279</v>
      </c>
      <c r="H1337">
        <v>1355.7607422000001</v>
      </c>
      <c r="I1337">
        <v>1313.1081543</v>
      </c>
      <c r="J1337">
        <v>1303.7482910000001</v>
      </c>
      <c r="K1337">
        <v>80</v>
      </c>
      <c r="L1337">
        <v>79.938957213999998</v>
      </c>
      <c r="M1337">
        <v>50</v>
      </c>
      <c r="N1337">
        <v>48.271274566999999</v>
      </c>
    </row>
    <row r="1338" spans="1:14" x14ac:dyDescent="0.25">
      <c r="A1338">
        <v>1123.554177</v>
      </c>
      <c r="B1338" s="1">
        <f>DATE(2013,5,28) + TIME(13,18,0)</f>
        <v>41422.554166666669</v>
      </c>
      <c r="C1338">
        <v>2400</v>
      </c>
      <c r="D1338">
        <v>0</v>
      </c>
      <c r="E1338">
        <v>0</v>
      </c>
      <c r="F1338">
        <v>2400</v>
      </c>
      <c r="G1338">
        <v>1365.3768310999999</v>
      </c>
      <c r="H1338">
        <v>1355.7397461</v>
      </c>
      <c r="I1338">
        <v>1313.1008300999999</v>
      </c>
      <c r="J1338">
        <v>1303.7358397999999</v>
      </c>
      <c r="K1338">
        <v>80</v>
      </c>
      <c r="L1338">
        <v>79.938934325999995</v>
      </c>
      <c r="M1338">
        <v>50</v>
      </c>
      <c r="N1338">
        <v>48.232692718999999</v>
      </c>
    </row>
    <row r="1339" spans="1:14" x14ac:dyDescent="0.25">
      <c r="A1339">
        <v>1124.3352729999999</v>
      </c>
      <c r="B1339" s="1">
        <f>DATE(2013,5,29) + TIME(8,2,47)</f>
        <v>41423.335266203707</v>
      </c>
      <c r="C1339">
        <v>2400</v>
      </c>
      <c r="D1339">
        <v>0</v>
      </c>
      <c r="E1339">
        <v>0</v>
      </c>
      <c r="F1339">
        <v>2400</v>
      </c>
      <c r="G1339">
        <v>1365.3472899999999</v>
      </c>
      <c r="H1339">
        <v>1355.7186279</v>
      </c>
      <c r="I1339">
        <v>1313.0930175999999</v>
      </c>
      <c r="J1339">
        <v>1303.7227783000001</v>
      </c>
      <c r="K1339">
        <v>80</v>
      </c>
      <c r="L1339">
        <v>79.938919067</v>
      </c>
      <c r="M1339">
        <v>50</v>
      </c>
      <c r="N1339">
        <v>48.193340302000003</v>
      </c>
    </row>
    <row r="1340" spans="1:14" x14ac:dyDescent="0.25">
      <c r="A1340">
        <v>1125.1407300000001</v>
      </c>
      <c r="B1340" s="1">
        <f>DATE(2013,5,30) + TIME(3,22,39)</f>
        <v>41424.140729166669</v>
      </c>
      <c r="C1340">
        <v>2400</v>
      </c>
      <c r="D1340">
        <v>0</v>
      </c>
      <c r="E1340">
        <v>0</v>
      </c>
      <c r="F1340">
        <v>2400</v>
      </c>
      <c r="G1340">
        <v>1365.3175048999999</v>
      </c>
      <c r="H1340">
        <v>1355.6973877</v>
      </c>
      <c r="I1340">
        <v>1313.0849608999999</v>
      </c>
      <c r="J1340">
        <v>1303.7091064000001</v>
      </c>
      <c r="K1340">
        <v>80</v>
      </c>
      <c r="L1340">
        <v>79.938896178999997</v>
      </c>
      <c r="M1340">
        <v>50</v>
      </c>
      <c r="N1340">
        <v>48.153133392000001</v>
      </c>
    </row>
    <row r="1341" spans="1:14" x14ac:dyDescent="0.25">
      <c r="A1341">
        <v>1125.9540380000001</v>
      </c>
      <c r="B1341" s="1">
        <f>DATE(2013,5,30) + TIME(22,53,48)</f>
        <v>41424.954027777778</v>
      </c>
      <c r="C1341">
        <v>2400</v>
      </c>
      <c r="D1341">
        <v>0</v>
      </c>
      <c r="E1341">
        <v>0</v>
      </c>
      <c r="F1341">
        <v>2400</v>
      </c>
      <c r="G1341">
        <v>1365.2874756000001</v>
      </c>
      <c r="H1341">
        <v>1355.6759033000001</v>
      </c>
      <c r="I1341">
        <v>1313.0762939000001</v>
      </c>
      <c r="J1341">
        <v>1303.6948242000001</v>
      </c>
      <c r="K1341">
        <v>80</v>
      </c>
      <c r="L1341">
        <v>79.938880920000003</v>
      </c>
      <c r="M1341">
        <v>50</v>
      </c>
      <c r="N1341">
        <v>48.112621306999998</v>
      </c>
    </row>
    <row r="1342" spans="1:14" x14ac:dyDescent="0.25">
      <c r="A1342">
        <v>1126.7768000000001</v>
      </c>
      <c r="B1342" s="1">
        <f>DATE(2013,5,31) + TIME(18,38,35)</f>
        <v>41425.77679398148</v>
      </c>
      <c r="C1342">
        <v>2400</v>
      </c>
      <c r="D1342">
        <v>0</v>
      </c>
      <c r="E1342">
        <v>0</v>
      </c>
      <c r="F1342">
        <v>2400</v>
      </c>
      <c r="G1342">
        <v>1365.2576904</v>
      </c>
      <c r="H1342">
        <v>1355.6545410000001</v>
      </c>
      <c r="I1342">
        <v>1313.0675048999999</v>
      </c>
      <c r="J1342">
        <v>1303.6799315999999</v>
      </c>
      <c r="K1342">
        <v>80</v>
      </c>
      <c r="L1342">
        <v>79.938858031999999</v>
      </c>
      <c r="M1342">
        <v>50</v>
      </c>
      <c r="N1342">
        <v>48.071823119999998</v>
      </c>
    </row>
    <row r="1343" spans="1:14" x14ac:dyDescent="0.25">
      <c r="A1343">
        <v>1127</v>
      </c>
      <c r="B1343" s="1">
        <f>DATE(2013,6,1) + TIME(0,0,0)</f>
        <v>41426</v>
      </c>
      <c r="C1343">
        <v>2400</v>
      </c>
      <c r="D1343">
        <v>0</v>
      </c>
      <c r="E1343">
        <v>0</v>
      </c>
      <c r="F1343">
        <v>2400</v>
      </c>
      <c r="G1343">
        <v>1365.2281493999999</v>
      </c>
      <c r="H1343">
        <v>1355.6336670000001</v>
      </c>
      <c r="I1343">
        <v>1313.0576172000001</v>
      </c>
      <c r="J1343">
        <v>1303.6668701000001</v>
      </c>
      <c r="K1343">
        <v>80</v>
      </c>
      <c r="L1343">
        <v>79.938842773000005</v>
      </c>
      <c r="M1343">
        <v>50</v>
      </c>
      <c r="N1343">
        <v>48.057434082</v>
      </c>
    </row>
    <row r="1344" spans="1:14" x14ac:dyDescent="0.25">
      <c r="A1344">
        <v>1127.834816</v>
      </c>
      <c r="B1344" s="1">
        <f>DATE(2013,6,1) + TIME(20,2,8)</f>
        <v>41426.834814814814</v>
      </c>
      <c r="C1344">
        <v>2400</v>
      </c>
      <c r="D1344">
        <v>0</v>
      </c>
      <c r="E1344">
        <v>0</v>
      </c>
      <c r="F1344">
        <v>2400</v>
      </c>
      <c r="G1344">
        <v>1365.2202147999999</v>
      </c>
      <c r="H1344">
        <v>1355.6278076000001</v>
      </c>
      <c r="I1344">
        <v>1313.0556641000001</v>
      </c>
      <c r="J1344">
        <v>1303.6600341999999</v>
      </c>
      <c r="K1344">
        <v>80</v>
      </c>
      <c r="L1344">
        <v>79.938827515</v>
      </c>
      <c r="M1344">
        <v>50</v>
      </c>
      <c r="N1344">
        <v>48.017421722000002</v>
      </c>
    </row>
    <row r="1345" spans="1:14" x14ac:dyDescent="0.25">
      <c r="A1345">
        <v>1128.6882169999999</v>
      </c>
      <c r="B1345" s="1">
        <f>DATE(2013,6,2) + TIME(16,31,1)</f>
        <v>41427.688206018516</v>
      </c>
      <c r="C1345">
        <v>2400</v>
      </c>
      <c r="D1345">
        <v>0</v>
      </c>
      <c r="E1345">
        <v>0</v>
      </c>
      <c r="F1345">
        <v>2400</v>
      </c>
      <c r="G1345">
        <v>1365.1910399999999</v>
      </c>
      <c r="H1345">
        <v>1355.6070557</v>
      </c>
      <c r="I1345">
        <v>1313.0462646000001</v>
      </c>
      <c r="J1345">
        <v>1303.6441649999999</v>
      </c>
      <c r="K1345">
        <v>80</v>
      </c>
      <c r="L1345">
        <v>79.938812256000006</v>
      </c>
      <c r="M1345">
        <v>50</v>
      </c>
      <c r="N1345">
        <v>47.9765625</v>
      </c>
    </row>
    <row r="1346" spans="1:14" x14ac:dyDescent="0.25">
      <c r="A1346">
        <v>1129.553772</v>
      </c>
      <c r="B1346" s="1">
        <f>DATE(2013,6,3) + TIME(13,17,25)</f>
        <v>41428.553761574076</v>
      </c>
      <c r="C1346">
        <v>2400</v>
      </c>
      <c r="D1346">
        <v>0</v>
      </c>
      <c r="E1346">
        <v>0</v>
      </c>
      <c r="F1346">
        <v>2400</v>
      </c>
      <c r="G1346">
        <v>1365.1617432</v>
      </c>
      <c r="H1346">
        <v>1355.5861815999999</v>
      </c>
      <c r="I1346">
        <v>1313.0363769999999</v>
      </c>
      <c r="J1346">
        <v>1303.6276855000001</v>
      </c>
      <c r="K1346">
        <v>80</v>
      </c>
      <c r="L1346">
        <v>79.938796996999997</v>
      </c>
      <c r="M1346">
        <v>50</v>
      </c>
      <c r="N1346">
        <v>47.935157775999997</v>
      </c>
    </row>
    <row r="1347" spans="1:14" x14ac:dyDescent="0.25">
      <c r="A1347">
        <v>1130.4295239999999</v>
      </c>
      <c r="B1347" s="1">
        <f>DATE(2013,6,4) + TIME(10,18,30)</f>
        <v>41429.429513888892</v>
      </c>
      <c r="C1347">
        <v>2400</v>
      </c>
      <c r="D1347">
        <v>0</v>
      </c>
      <c r="E1347">
        <v>0</v>
      </c>
      <c r="F1347">
        <v>2400</v>
      </c>
      <c r="G1347">
        <v>1365.1325684000001</v>
      </c>
      <c r="H1347">
        <v>1355.5654297000001</v>
      </c>
      <c r="I1347">
        <v>1313.0261230000001</v>
      </c>
      <c r="J1347">
        <v>1303.6104736</v>
      </c>
      <c r="K1347">
        <v>80</v>
      </c>
      <c r="L1347">
        <v>79.938781738000003</v>
      </c>
      <c r="M1347">
        <v>50</v>
      </c>
      <c r="N1347">
        <v>47.893367767000001</v>
      </c>
    </row>
    <row r="1348" spans="1:14" x14ac:dyDescent="0.25">
      <c r="A1348">
        <v>1131.318164</v>
      </c>
      <c r="B1348" s="1">
        <f>DATE(2013,6,5) + TIME(7,38,9)</f>
        <v>41430.318159722221</v>
      </c>
      <c r="C1348">
        <v>2400</v>
      </c>
      <c r="D1348">
        <v>0</v>
      </c>
      <c r="E1348">
        <v>0</v>
      </c>
      <c r="F1348">
        <v>2400</v>
      </c>
      <c r="G1348">
        <v>1365.1036377</v>
      </c>
      <c r="H1348">
        <v>1355.5447998</v>
      </c>
      <c r="I1348">
        <v>1313.0155029</v>
      </c>
      <c r="J1348">
        <v>1303.5927733999999</v>
      </c>
      <c r="K1348">
        <v>80</v>
      </c>
      <c r="L1348">
        <v>79.938766478999995</v>
      </c>
      <c r="M1348">
        <v>50</v>
      </c>
      <c r="N1348">
        <v>47.851188659999998</v>
      </c>
    </row>
    <row r="1349" spans="1:14" x14ac:dyDescent="0.25">
      <c r="A1349">
        <v>1132.2217869999999</v>
      </c>
      <c r="B1349" s="1">
        <f>DATE(2013,6,6) + TIME(5,19,22)</f>
        <v>41431.221782407411</v>
      </c>
      <c r="C1349">
        <v>2400</v>
      </c>
      <c r="D1349">
        <v>0</v>
      </c>
      <c r="E1349">
        <v>0</v>
      </c>
      <c r="F1349">
        <v>2400</v>
      </c>
      <c r="G1349">
        <v>1365.074707</v>
      </c>
      <c r="H1349">
        <v>1355.5242920000001</v>
      </c>
      <c r="I1349">
        <v>1313.0045166</v>
      </c>
      <c r="J1349">
        <v>1303.5743408000001</v>
      </c>
      <c r="K1349">
        <v>80</v>
      </c>
      <c r="L1349">
        <v>79.938751221000004</v>
      </c>
      <c r="M1349">
        <v>50</v>
      </c>
      <c r="N1349">
        <v>47.808601379000002</v>
      </c>
    </row>
    <row r="1350" spans="1:14" x14ac:dyDescent="0.25">
      <c r="A1350">
        <v>1133.1425790000001</v>
      </c>
      <c r="B1350" s="1">
        <f>DATE(2013,6,7) + TIME(3,25,18)</f>
        <v>41432.142569444448</v>
      </c>
      <c r="C1350">
        <v>2400</v>
      </c>
      <c r="D1350">
        <v>0</v>
      </c>
      <c r="E1350">
        <v>0</v>
      </c>
      <c r="F1350">
        <v>2400</v>
      </c>
      <c r="G1350">
        <v>1365.0458983999999</v>
      </c>
      <c r="H1350">
        <v>1355.5037841999999</v>
      </c>
      <c r="I1350">
        <v>1312.9931641000001</v>
      </c>
      <c r="J1350">
        <v>1303.5551757999999</v>
      </c>
      <c r="K1350">
        <v>80</v>
      </c>
      <c r="L1350">
        <v>79.938728333</v>
      </c>
      <c r="M1350">
        <v>50</v>
      </c>
      <c r="N1350">
        <v>47.765567779999998</v>
      </c>
    </row>
    <row r="1351" spans="1:14" x14ac:dyDescent="0.25">
      <c r="A1351">
        <v>1134.082872</v>
      </c>
      <c r="B1351" s="1">
        <f>DATE(2013,6,8) + TIME(1,59,20)</f>
        <v>41433.082870370374</v>
      </c>
      <c r="C1351">
        <v>2400</v>
      </c>
      <c r="D1351">
        <v>0</v>
      </c>
      <c r="E1351">
        <v>0</v>
      </c>
      <c r="F1351">
        <v>2400</v>
      </c>
      <c r="G1351">
        <v>1365.0170897999999</v>
      </c>
      <c r="H1351">
        <v>1355.4832764</v>
      </c>
      <c r="I1351">
        <v>1312.9813231999999</v>
      </c>
      <c r="J1351">
        <v>1303.5354004000001</v>
      </c>
      <c r="K1351">
        <v>80</v>
      </c>
      <c r="L1351">
        <v>79.938713074000006</v>
      </c>
      <c r="M1351">
        <v>50</v>
      </c>
      <c r="N1351">
        <v>47.722026825</v>
      </c>
    </row>
    <row r="1352" spans="1:14" x14ac:dyDescent="0.25">
      <c r="A1352">
        <v>1135.04124</v>
      </c>
      <c r="B1352" s="1">
        <f>DATE(2013,6,9) + TIME(0,59,23)</f>
        <v>41434.041238425925</v>
      </c>
      <c r="C1352">
        <v>2400</v>
      </c>
      <c r="D1352">
        <v>0</v>
      </c>
      <c r="E1352">
        <v>0</v>
      </c>
      <c r="F1352">
        <v>2400</v>
      </c>
      <c r="G1352">
        <v>1364.9881591999999</v>
      </c>
      <c r="H1352">
        <v>1355.4627685999999</v>
      </c>
      <c r="I1352">
        <v>1312.9691161999999</v>
      </c>
      <c r="J1352">
        <v>1303.5146483999999</v>
      </c>
      <c r="K1352">
        <v>80</v>
      </c>
      <c r="L1352">
        <v>79.938705443999993</v>
      </c>
      <c r="M1352">
        <v>50</v>
      </c>
      <c r="N1352">
        <v>47.678031920999999</v>
      </c>
    </row>
    <row r="1353" spans="1:14" x14ac:dyDescent="0.25">
      <c r="A1353">
        <v>1136.012657</v>
      </c>
      <c r="B1353" s="1">
        <f>DATE(2013,6,10) + TIME(0,18,13)</f>
        <v>41435.012650462966</v>
      </c>
      <c r="C1353">
        <v>2400</v>
      </c>
      <c r="D1353">
        <v>0</v>
      </c>
      <c r="E1353">
        <v>0</v>
      </c>
      <c r="F1353">
        <v>2400</v>
      </c>
      <c r="G1353">
        <v>1364.9592285000001</v>
      </c>
      <c r="H1353">
        <v>1355.4421387</v>
      </c>
      <c r="I1353">
        <v>1312.9562988</v>
      </c>
      <c r="J1353">
        <v>1303.4931641000001</v>
      </c>
      <c r="K1353">
        <v>80</v>
      </c>
      <c r="L1353">
        <v>79.938690186000002</v>
      </c>
      <c r="M1353">
        <v>50</v>
      </c>
      <c r="N1353">
        <v>47.633747100999997</v>
      </c>
    </row>
    <row r="1354" spans="1:14" x14ac:dyDescent="0.25">
      <c r="A1354">
        <v>1136.9999680000001</v>
      </c>
      <c r="B1354" s="1">
        <f>DATE(2013,6,10) + TIME(23,59,57)</f>
        <v>41435.999965277777</v>
      </c>
      <c r="C1354">
        <v>2400</v>
      </c>
      <c r="D1354">
        <v>0</v>
      </c>
      <c r="E1354">
        <v>0</v>
      </c>
      <c r="F1354">
        <v>2400</v>
      </c>
      <c r="G1354">
        <v>1364.9302978999999</v>
      </c>
      <c r="H1354">
        <v>1355.4216309000001</v>
      </c>
      <c r="I1354">
        <v>1312.9429932</v>
      </c>
      <c r="J1354">
        <v>1303.4709473</v>
      </c>
      <c r="K1354">
        <v>80</v>
      </c>
      <c r="L1354">
        <v>79.938674926999994</v>
      </c>
      <c r="M1354">
        <v>50</v>
      </c>
      <c r="N1354">
        <v>47.589134215999998</v>
      </c>
    </row>
    <row r="1355" spans="1:14" x14ac:dyDescent="0.25">
      <c r="A1355">
        <v>1138.0054239999999</v>
      </c>
      <c r="B1355" s="1">
        <f>DATE(2013,6,12) + TIME(0,7,48)</f>
        <v>41437.005416666667</v>
      </c>
      <c r="C1355">
        <v>2400</v>
      </c>
      <c r="D1355">
        <v>0</v>
      </c>
      <c r="E1355">
        <v>0</v>
      </c>
      <c r="F1355">
        <v>2400</v>
      </c>
      <c r="G1355">
        <v>1364.9014893000001</v>
      </c>
      <c r="H1355">
        <v>1355.4012451000001</v>
      </c>
      <c r="I1355">
        <v>1312.9293213000001</v>
      </c>
      <c r="J1355">
        <v>1303.447876</v>
      </c>
      <c r="K1355">
        <v>80</v>
      </c>
      <c r="L1355">
        <v>79.938659668</v>
      </c>
      <c r="M1355">
        <v>50</v>
      </c>
      <c r="N1355">
        <v>47.544151306000003</v>
      </c>
    </row>
    <row r="1356" spans="1:14" x14ac:dyDescent="0.25">
      <c r="A1356">
        <v>1139.0314370000001</v>
      </c>
      <c r="B1356" s="1">
        <f>DATE(2013,6,13) + TIME(0,45,16)</f>
        <v>41438.031435185185</v>
      </c>
      <c r="C1356">
        <v>2400</v>
      </c>
      <c r="D1356">
        <v>0</v>
      </c>
      <c r="E1356">
        <v>0</v>
      </c>
      <c r="F1356">
        <v>2400</v>
      </c>
      <c r="G1356">
        <v>1364.8726807</v>
      </c>
      <c r="H1356">
        <v>1355.3807373</v>
      </c>
      <c r="I1356">
        <v>1312.9150391000001</v>
      </c>
      <c r="J1356">
        <v>1303.4239502</v>
      </c>
      <c r="K1356">
        <v>80</v>
      </c>
      <c r="L1356">
        <v>79.938644409000005</v>
      </c>
      <c r="M1356">
        <v>50</v>
      </c>
      <c r="N1356">
        <v>47.498744965</v>
      </c>
    </row>
    <row r="1357" spans="1:14" x14ac:dyDescent="0.25">
      <c r="A1357">
        <v>1140.0806110000001</v>
      </c>
      <c r="B1357" s="1">
        <f>DATE(2013,6,14) + TIME(1,56,4)</f>
        <v>41439.080601851849</v>
      </c>
      <c r="C1357">
        <v>2400</v>
      </c>
      <c r="D1357">
        <v>0</v>
      </c>
      <c r="E1357">
        <v>0</v>
      </c>
      <c r="F1357">
        <v>2400</v>
      </c>
      <c r="G1357">
        <v>1364.84375</v>
      </c>
      <c r="H1357">
        <v>1355.3601074000001</v>
      </c>
      <c r="I1357">
        <v>1312.9002685999999</v>
      </c>
      <c r="J1357">
        <v>1303.3989257999999</v>
      </c>
      <c r="K1357">
        <v>80</v>
      </c>
      <c r="L1357">
        <v>79.938636779999996</v>
      </c>
      <c r="M1357">
        <v>50</v>
      </c>
      <c r="N1357">
        <v>47.452842711999999</v>
      </c>
    </row>
    <row r="1358" spans="1:14" x14ac:dyDescent="0.25">
      <c r="A1358">
        <v>1141.148457</v>
      </c>
      <c r="B1358" s="1">
        <f>DATE(2013,6,15) + TIME(3,33,46)</f>
        <v>41440.148449074077</v>
      </c>
      <c r="C1358">
        <v>2400</v>
      </c>
      <c r="D1358">
        <v>0</v>
      </c>
      <c r="E1358">
        <v>0</v>
      </c>
      <c r="F1358">
        <v>2400</v>
      </c>
      <c r="G1358">
        <v>1364.8146973</v>
      </c>
      <c r="H1358">
        <v>1355.3394774999999</v>
      </c>
      <c r="I1358">
        <v>1312.8848877</v>
      </c>
      <c r="J1358">
        <v>1303.3730469</v>
      </c>
      <c r="K1358">
        <v>80</v>
      </c>
      <c r="L1358">
        <v>79.938621521000002</v>
      </c>
      <c r="M1358">
        <v>50</v>
      </c>
      <c r="N1358">
        <v>47.406574249000002</v>
      </c>
    </row>
    <row r="1359" spans="1:14" x14ac:dyDescent="0.25">
      <c r="A1359">
        <v>1142.232512</v>
      </c>
      <c r="B1359" s="1">
        <f>DATE(2013,6,16) + TIME(5,34,49)</f>
        <v>41441.232511574075</v>
      </c>
      <c r="C1359">
        <v>2400</v>
      </c>
      <c r="D1359">
        <v>0</v>
      </c>
      <c r="E1359">
        <v>0</v>
      </c>
      <c r="F1359">
        <v>2400</v>
      </c>
      <c r="G1359">
        <v>1364.7856445</v>
      </c>
      <c r="H1359">
        <v>1355.3188477000001</v>
      </c>
      <c r="I1359">
        <v>1312.8688964999999</v>
      </c>
      <c r="J1359">
        <v>1303.3460693</v>
      </c>
      <c r="K1359">
        <v>80</v>
      </c>
      <c r="L1359">
        <v>79.938613892000006</v>
      </c>
      <c r="M1359">
        <v>50</v>
      </c>
      <c r="N1359">
        <v>47.360038756999998</v>
      </c>
    </row>
    <row r="1360" spans="1:14" x14ac:dyDescent="0.25">
      <c r="A1360">
        <v>1143.333875</v>
      </c>
      <c r="B1360" s="1">
        <f>DATE(2013,6,17) + TIME(8,0,46)</f>
        <v>41442.333865740744</v>
      </c>
      <c r="C1360">
        <v>2400</v>
      </c>
      <c r="D1360">
        <v>0</v>
      </c>
      <c r="E1360">
        <v>0</v>
      </c>
      <c r="F1360">
        <v>2400</v>
      </c>
      <c r="G1360">
        <v>1364.7565918</v>
      </c>
      <c r="H1360">
        <v>1355.2982178</v>
      </c>
      <c r="I1360">
        <v>1312.8522949000001</v>
      </c>
      <c r="J1360">
        <v>1303.3182373</v>
      </c>
      <c r="K1360">
        <v>80</v>
      </c>
      <c r="L1360">
        <v>79.938606261999993</v>
      </c>
      <c r="M1360">
        <v>50</v>
      </c>
      <c r="N1360">
        <v>47.313259125000002</v>
      </c>
    </row>
    <row r="1361" spans="1:14" x14ac:dyDescent="0.25">
      <c r="A1361">
        <v>1144.4455820000001</v>
      </c>
      <c r="B1361" s="1">
        <f>DATE(2013,6,18) + TIME(10,41,38)</f>
        <v>41443.4455787037</v>
      </c>
      <c r="C1361">
        <v>2400</v>
      </c>
      <c r="D1361">
        <v>0</v>
      </c>
      <c r="E1361">
        <v>0</v>
      </c>
      <c r="F1361">
        <v>2400</v>
      </c>
      <c r="G1361">
        <v>1364.7275391000001</v>
      </c>
      <c r="H1361">
        <v>1355.2775879000001</v>
      </c>
      <c r="I1361">
        <v>1312.8352050999999</v>
      </c>
      <c r="J1361">
        <v>1303.2894286999999</v>
      </c>
      <c r="K1361">
        <v>80</v>
      </c>
      <c r="L1361">
        <v>79.938591002999999</v>
      </c>
      <c r="M1361">
        <v>50</v>
      </c>
      <c r="N1361">
        <v>47.266452788999999</v>
      </c>
    </row>
    <row r="1362" spans="1:14" x14ac:dyDescent="0.25">
      <c r="A1362">
        <v>1145.570342</v>
      </c>
      <c r="B1362" s="1">
        <f>DATE(2013,6,19) + TIME(13,41,17)</f>
        <v>41444.570335648146</v>
      </c>
      <c r="C1362">
        <v>2400</v>
      </c>
      <c r="D1362">
        <v>0</v>
      </c>
      <c r="E1362">
        <v>0</v>
      </c>
      <c r="F1362">
        <v>2400</v>
      </c>
      <c r="G1362">
        <v>1364.6987305</v>
      </c>
      <c r="H1362">
        <v>1355.2570800999999</v>
      </c>
      <c r="I1362">
        <v>1312.8176269999999</v>
      </c>
      <c r="J1362">
        <v>1303.2597656</v>
      </c>
      <c r="K1362">
        <v>80</v>
      </c>
      <c r="L1362">
        <v>79.938583374000004</v>
      </c>
      <c r="M1362">
        <v>50</v>
      </c>
      <c r="N1362">
        <v>47.219619751000003</v>
      </c>
    </row>
    <row r="1363" spans="1:14" x14ac:dyDescent="0.25">
      <c r="A1363">
        <v>1146.7115369999999</v>
      </c>
      <c r="B1363" s="1">
        <f>DATE(2013,6,20) + TIME(17,4,36)</f>
        <v>41445.711527777778</v>
      </c>
      <c r="C1363">
        <v>2400</v>
      </c>
      <c r="D1363">
        <v>0</v>
      </c>
      <c r="E1363">
        <v>0</v>
      </c>
      <c r="F1363">
        <v>2400</v>
      </c>
      <c r="G1363">
        <v>1364.6700439000001</v>
      </c>
      <c r="H1363">
        <v>1355.2366943</v>
      </c>
      <c r="I1363">
        <v>1312.7995605000001</v>
      </c>
      <c r="J1363">
        <v>1303.2292480000001</v>
      </c>
      <c r="K1363">
        <v>80</v>
      </c>
      <c r="L1363">
        <v>79.938575744999994</v>
      </c>
      <c r="M1363">
        <v>50</v>
      </c>
      <c r="N1363">
        <v>47.172718048</v>
      </c>
    </row>
    <row r="1364" spans="1:14" x14ac:dyDescent="0.25">
      <c r="A1364">
        <v>1147.8718980000001</v>
      </c>
      <c r="B1364" s="1">
        <f>DATE(2013,6,21) + TIME(20,55,32)</f>
        <v>41446.871898148151</v>
      </c>
      <c r="C1364">
        <v>2400</v>
      </c>
      <c r="D1364">
        <v>0</v>
      </c>
      <c r="E1364">
        <v>0</v>
      </c>
      <c r="F1364">
        <v>2400</v>
      </c>
      <c r="G1364">
        <v>1364.6414795000001</v>
      </c>
      <c r="H1364">
        <v>1355.2163086</v>
      </c>
      <c r="I1364">
        <v>1312.7808838000001</v>
      </c>
      <c r="J1364">
        <v>1303.1976318</v>
      </c>
      <c r="K1364">
        <v>80</v>
      </c>
      <c r="L1364">
        <v>79.938568114999995</v>
      </c>
      <c r="M1364">
        <v>50</v>
      </c>
      <c r="N1364">
        <v>47.125701904000003</v>
      </c>
    </row>
    <row r="1365" spans="1:14" x14ac:dyDescent="0.25">
      <c r="A1365">
        <v>1149.0543379999999</v>
      </c>
      <c r="B1365" s="1">
        <f>DATE(2013,6,23) + TIME(1,18,14)</f>
        <v>41448.054328703707</v>
      </c>
      <c r="C1365">
        <v>2400</v>
      </c>
      <c r="D1365">
        <v>0</v>
      </c>
      <c r="E1365">
        <v>0</v>
      </c>
      <c r="F1365">
        <v>2400</v>
      </c>
      <c r="G1365">
        <v>1364.612793</v>
      </c>
      <c r="H1365">
        <v>1355.1959228999999</v>
      </c>
      <c r="I1365">
        <v>1312.7615966999999</v>
      </c>
      <c r="J1365">
        <v>1303.1650391000001</v>
      </c>
      <c r="K1365">
        <v>80</v>
      </c>
      <c r="L1365">
        <v>79.938560486</v>
      </c>
      <c r="M1365">
        <v>50</v>
      </c>
      <c r="N1365">
        <v>47.078517914000003</v>
      </c>
    </row>
    <row r="1366" spans="1:14" x14ac:dyDescent="0.25">
      <c r="A1366">
        <v>1150.2550940000001</v>
      </c>
      <c r="B1366" s="1">
        <f>DATE(2013,6,24) + TIME(6,7,20)</f>
        <v>41449.25509259259</v>
      </c>
      <c r="C1366">
        <v>2400</v>
      </c>
      <c r="D1366">
        <v>0</v>
      </c>
      <c r="E1366">
        <v>0</v>
      </c>
      <c r="F1366">
        <v>2400</v>
      </c>
      <c r="G1366">
        <v>1364.5841064000001</v>
      </c>
      <c r="H1366">
        <v>1355.1754149999999</v>
      </c>
      <c r="I1366">
        <v>1312.7415771000001</v>
      </c>
      <c r="J1366">
        <v>1303.1312256000001</v>
      </c>
      <c r="K1366">
        <v>80</v>
      </c>
      <c r="L1366">
        <v>79.938552856000001</v>
      </c>
      <c r="M1366">
        <v>50</v>
      </c>
      <c r="N1366">
        <v>47.031261444000002</v>
      </c>
    </row>
    <row r="1367" spans="1:14" x14ac:dyDescent="0.25">
      <c r="A1367">
        <v>1151.4695489999999</v>
      </c>
      <c r="B1367" s="1">
        <f>DATE(2013,6,25) + TIME(11,16,8)</f>
        <v>41450.469537037039</v>
      </c>
      <c r="C1367">
        <v>2400</v>
      </c>
      <c r="D1367">
        <v>0</v>
      </c>
      <c r="E1367">
        <v>0</v>
      </c>
      <c r="F1367">
        <v>2400</v>
      </c>
      <c r="G1367">
        <v>1364.5552978999999</v>
      </c>
      <c r="H1367">
        <v>1355.1549072</v>
      </c>
      <c r="I1367">
        <v>1312.7209473</v>
      </c>
      <c r="J1367">
        <v>1303.0964355000001</v>
      </c>
      <c r="K1367">
        <v>80</v>
      </c>
      <c r="L1367">
        <v>79.938552856000001</v>
      </c>
      <c r="M1367">
        <v>50</v>
      </c>
      <c r="N1367">
        <v>46.984088898000003</v>
      </c>
    </row>
    <row r="1368" spans="1:14" x14ac:dyDescent="0.25">
      <c r="A1368">
        <v>1152.701339</v>
      </c>
      <c r="B1368" s="1">
        <f>DATE(2013,6,26) + TIME(16,49,55)</f>
        <v>41451.701331018521</v>
      </c>
      <c r="C1368">
        <v>2400</v>
      </c>
      <c r="D1368">
        <v>0</v>
      </c>
      <c r="E1368">
        <v>0</v>
      </c>
      <c r="F1368">
        <v>2400</v>
      </c>
      <c r="G1368">
        <v>1364.5267334</v>
      </c>
      <c r="H1368">
        <v>1355.1345214999999</v>
      </c>
      <c r="I1368">
        <v>1312.6998291</v>
      </c>
      <c r="J1368">
        <v>1303.0605469</v>
      </c>
      <c r="K1368">
        <v>80</v>
      </c>
      <c r="L1368">
        <v>79.938545227000006</v>
      </c>
      <c r="M1368">
        <v>50</v>
      </c>
      <c r="N1368">
        <v>46.936992644999997</v>
      </c>
    </row>
    <row r="1369" spans="1:14" x14ac:dyDescent="0.25">
      <c r="A1369">
        <v>1153.953669</v>
      </c>
      <c r="B1369" s="1">
        <f>DATE(2013,6,27) + TIME(22,53,16)</f>
        <v>41452.953657407408</v>
      </c>
      <c r="C1369">
        <v>2400</v>
      </c>
      <c r="D1369">
        <v>0</v>
      </c>
      <c r="E1369">
        <v>0</v>
      </c>
      <c r="F1369">
        <v>2400</v>
      </c>
      <c r="G1369">
        <v>1364.4981689000001</v>
      </c>
      <c r="H1369">
        <v>1355.1141356999999</v>
      </c>
      <c r="I1369">
        <v>1312.6779785000001</v>
      </c>
      <c r="J1369">
        <v>1303.0235596</v>
      </c>
      <c r="K1369">
        <v>80</v>
      </c>
      <c r="L1369">
        <v>79.938545227000006</v>
      </c>
      <c r="M1369">
        <v>50</v>
      </c>
      <c r="N1369">
        <v>46.889942169000001</v>
      </c>
    </row>
    <row r="1370" spans="1:14" x14ac:dyDescent="0.25">
      <c r="A1370">
        <v>1155.2295340000001</v>
      </c>
      <c r="B1370" s="1">
        <f>DATE(2013,6,29) + TIME(5,30,31)</f>
        <v>41454.229525462964</v>
      </c>
      <c r="C1370">
        <v>2400</v>
      </c>
      <c r="D1370">
        <v>0</v>
      </c>
      <c r="E1370">
        <v>0</v>
      </c>
      <c r="F1370">
        <v>2400</v>
      </c>
      <c r="G1370">
        <v>1364.4694824000001</v>
      </c>
      <c r="H1370">
        <v>1355.0936279</v>
      </c>
      <c r="I1370">
        <v>1312.6555175999999</v>
      </c>
      <c r="J1370">
        <v>1302.9854736</v>
      </c>
      <c r="K1370">
        <v>80</v>
      </c>
      <c r="L1370">
        <v>79.938537597999996</v>
      </c>
      <c r="M1370">
        <v>50</v>
      </c>
      <c r="N1370">
        <v>46.842903137</v>
      </c>
    </row>
    <row r="1371" spans="1:14" x14ac:dyDescent="0.25">
      <c r="A1371">
        <v>1156.532164</v>
      </c>
      <c r="B1371" s="1">
        <f>DATE(2013,6,30) + TIME(12,46,18)</f>
        <v>41455.532152777778</v>
      </c>
      <c r="C1371">
        <v>2400</v>
      </c>
      <c r="D1371">
        <v>0</v>
      </c>
      <c r="E1371">
        <v>0</v>
      </c>
      <c r="F1371">
        <v>2400</v>
      </c>
      <c r="G1371">
        <v>1364.4407959</v>
      </c>
      <c r="H1371">
        <v>1355.0731201000001</v>
      </c>
      <c r="I1371">
        <v>1312.6323242000001</v>
      </c>
      <c r="J1371">
        <v>1302.9460449000001</v>
      </c>
      <c r="K1371">
        <v>80</v>
      </c>
      <c r="L1371">
        <v>79.938537597999996</v>
      </c>
      <c r="M1371">
        <v>50</v>
      </c>
      <c r="N1371">
        <v>46.795845032000003</v>
      </c>
    </row>
    <row r="1372" spans="1:14" x14ac:dyDescent="0.25">
      <c r="A1372">
        <v>1157</v>
      </c>
      <c r="B1372" s="1">
        <f>DATE(2013,7,1) + TIME(0,0,0)</f>
        <v>41456</v>
      </c>
      <c r="C1372">
        <v>2400</v>
      </c>
      <c r="D1372">
        <v>0</v>
      </c>
      <c r="E1372">
        <v>0</v>
      </c>
      <c r="F1372">
        <v>2400</v>
      </c>
      <c r="G1372">
        <v>1364.4117432</v>
      </c>
      <c r="H1372">
        <v>1355.0524902</v>
      </c>
      <c r="I1372">
        <v>1312.6101074000001</v>
      </c>
      <c r="J1372">
        <v>1302.9111327999999</v>
      </c>
      <c r="K1372">
        <v>80</v>
      </c>
      <c r="L1372">
        <v>79.938522339000002</v>
      </c>
      <c r="M1372">
        <v>50</v>
      </c>
      <c r="N1372">
        <v>46.772842406999999</v>
      </c>
    </row>
    <row r="1373" spans="1:14" x14ac:dyDescent="0.25">
      <c r="A1373">
        <v>1158.3328939999999</v>
      </c>
      <c r="B1373" s="1">
        <f>DATE(2013,7,2) + TIME(7,59,22)</f>
        <v>41457.33289351852</v>
      </c>
      <c r="C1373">
        <v>2400</v>
      </c>
      <c r="D1373">
        <v>0</v>
      </c>
      <c r="E1373">
        <v>0</v>
      </c>
      <c r="F1373">
        <v>2400</v>
      </c>
      <c r="G1373">
        <v>1364.4016113</v>
      </c>
      <c r="H1373">
        <v>1355.0450439000001</v>
      </c>
      <c r="I1373">
        <v>1312.5983887</v>
      </c>
      <c r="J1373">
        <v>1302.8883057</v>
      </c>
      <c r="K1373">
        <v>80</v>
      </c>
      <c r="L1373">
        <v>79.938529967999997</v>
      </c>
      <c r="M1373">
        <v>50</v>
      </c>
      <c r="N1373">
        <v>46.728710175000003</v>
      </c>
    </row>
    <row r="1374" spans="1:14" x14ac:dyDescent="0.25">
      <c r="A1374">
        <v>1159.6962120000001</v>
      </c>
      <c r="B1374" s="1">
        <f>DATE(2013,7,3) + TIME(16,42,32)</f>
        <v>41458.696203703701</v>
      </c>
      <c r="C1374">
        <v>2400</v>
      </c>
      <c r="D1374">
        <v>0</v>
      </c>
      <c r="E1374">
        <v>0</v>
      </c>
      <c r="F1374">
        <v>2400</v>
      </c>
      <c r="G1374">
        <v>1364.3726807</v>
      </c>
      <c r="H1374">
        <v>1355.0242920000001</v>
      </c>
      <c r="I1374">
        <v>1312.5739745999999</v>
      </c>
      <c r="J1374">
        <v>1302.8466797000001</v>
      </c>
      <c r="K1374">
        <v>80</v>
      </c>
      <c r="L1374">
        <v>79.938529967999997</v>
      </c>
      <c r="M1374">
        <v>50</v>
      </c>
      <c r="N1374">
        <v>46.683441162000001</v>
      </c>
    </row>
    <row r="1375" spans="1:14" x14ac:dyDescent="0.25">
      <c r="A1375">
        <v>1161.0721599999999</v>
      </c>
      <c r="B1375" s="1">
        <f>DATE(2013,7,5) + TIME(1,43,54)</f>
        <v>41460.072152777779</v>
      </c>
      <c r="C1375">
        <v>2400</v>
      </c>
      <c r="D1375">
        <v>0</v>
      </c>
      <c r="E1375">
        <v>0</v>
      </c>
      <c r="F1375">
        <v>2400</v>
      </c>
      <c r="G1375">
        <v>1364.3435059000001</v>
      </c>
      <c r="H1375">
        <v>1355.003418</v>
      </c>
      <c r="I1375">
        <v>1312.5483397999999</v>
      </c>
      <c r="J1375">
        <v>1302.8032227000001</v>
      </c>
      <c r="K1375">
        <v>80</v>
      </c>
      <c r="L1375">
        <v>79.938529967999997</v>
      </c>
      <c r="M1375">
        <v>50</v>
      </c>
      <c r="N1375">
        <v>46.637905121000003</v>
      </c>
    </row>
    <row r="1376" spans="1:14" x14ac:dyDescent="0.25">
      <c r="A1376">
        <v>1162.4612360000001</v>
      </c>
      <c r="B1376" s="1">
        <f>DATE(2013,7,6) + TIME(11,4,10)</f>
        <v>41461.461226851854</v>
      </c>
      <c r="C1376">
        <v>2400</v>
      </c>
      <c r="D1376">
        <v>0</v>
      </c>
      <c r="E1376">
        <v>0</v>
      </c>
      <c r="F1376">
        <v>2400</v>
      </c>
      <c r="G1376">
        <v>1364.3144531</v>
      </c>
      <c r="H1376">
        <v>1354.9825439000001</v>
      </c>
      <c r="I1376">
        <v>1312.5220947</v>
      </c>
      <c r="J1376">
        <v>1302.7584228999999</v>
      </c>
      <c r="K1376">
        <v>80</v>
      </c>
      <c r="L1376">
        <v>79.938537597999996</v>
      </c>
      <c r="M1376">
        <v>50</v>
      </c>
      <c r="N1376">
        <v>46.592552185000002</v>
      </c>
    </row>
    <row r="1377" spans="1:14" x14ac:dyDescent="0.25">
      <c r="A1377">
        <v>1163.86636</v>
      </c>
      <c r="B1377" s="1">
        <f>DATE(2013,7,7) + TIME(20,47,33)</f>
        <v>41462.866354166668</v>
      </c>
      <c r="C1377">
        <v>2400</v>
      </c>
      <c r="D1377">
        <v>0</v>
      </c>
      <c r="E1377">
        <v>0</v>
      </c>
      <c r="F1377">
        <v>2400</v>
      </c>
      <c r="G1377">
        <v>1364.2855225000001</v>
      </c>
      <c r="H1377">
        <v>1354.9616699000001</v>
      </c>
      <c r="I1377">
        <v>1312.4951172000001</v>
      </c>
      <c r="J1377">
        <v>1302.7125243999999</v>
      </c>
      <c r="K1377">
        <v>80</v>
      </c>
      <c r="L1377">
        <v>79.938537597999996</v>
      </c>
      <c r="M1377">
        <v>50</v>
      </c>
      <c r="N1377">
        <v>46.547618866000001</v>
      </c>
    </row>
    <row r="1378" spans="1:14" x14ac:dyDescent="0.25">
      <c r="A1378">
        <v>1165.2909509999999</v>
      </c>
      <c r="B1378" s="1">
        <f>DATE(2013,7,9) + TIME(6,58,58)</f>
        <v>41464.290949074071</v>
      </c>
      <c r="C1378">
        <v>2400</v>
      </c>
      <c r="D1378">
        <v>0</v>
      </c>
      <c r="E1378">
        <v>0</v>
      </c>
      <c r="F1378">
        <v>2400</v>
      </c>
      <c r="G1378">
        <v>1364.2567139</v>
      </c>
      <c r="H1378">
        <v>1354.940918</v>
      </c>
      <c r="I1378">
        <v>1312.4675293</v>
      </c>
      <c r="J1378">
        <v>1302.6654053</v>
      </c>
      <c r="K1378">
        <v>80</v>
      </c>
      <c r="L1378">
        <v>79.938537597999996</v>
      </c>
      <c r="M1378">
        <v>50</v>
      </c>
      <c r="N1378">
        <v>46.503231049</v>
      </c>
    </row>
    <row r="1379" spans="1:14" x14ac:dyDescent="0.25">
      <c r="A1379">
        <v>1166.738593</v>
      </c>
      <c r="B1379" s="1">
        <f>DATE(2013,7,10) + TIME(17,43,34)</f>
        <v>41465.738587962966</v>
      </c>
      <c r="C1379">
        <v>2400</v>
      </c>
      <c r="D1379">
        <v>0</v>
      </c>
      <c r="E1379">
        <v>0</v>
      </c>
      <c r="F1379">
        <v>2400</v>
      </c>
      <c r="G1379">
        <v>1364.2279053</v>
      </c>
      <c r="H1379">
        <v>1354.9201660000001</v>
      </c>
      <c r="I1379">
        <v>1312.4392089999999</v>
      </c>
      <c r="J1379">
        <v>1302.6170654</v>
      </c>
      <c r="K1379">
        <v>80</v>
      </c>
      <c r="L1379">
        <v>79.938537597999996</v>
      </c>
      <c r="M1379">
        <v>50</v>
      </c>
      <c r="N1379">
        <v>46.459453582999998</v>
      </c>
    </row>
    <row r="1380" spans="1:14" x14ac:dyDescent="0.25">
      <c r="A1380">
        <v>1168.213058</v>
      </c>
      <c r="B1380" s="1">
        <f>DATE(2013,7,12) + TIME(5,6,48)</f>
        <v>41467.213055555556</v>
      </c>
      <c r="C1380">
        <v>2400</v>
      </c>
      <c r="D1380">
        <v>0</v>
      </c>
      <c r="E1380">
        <v>0</v>
      </c>
      <c r="F1380">
        <v>2400</v>
      </c>
      <c r="G1380">
        <v>1364.1990966999999</v>
      </c>
      <c r="H1380">
        <v>1354.8992920000001</v>
      </c>
      <c r="I1380">
        <v>1312.4102783000001</v>
      </c>
      <c r="J1380">
        <v>1302.5675048999999</v>
      </c>
      <c r="K1380">
        <v>80</v>
      </c>
      <c r="L1380">
        <v>79.938545227000006</v>
      </c>
      <c r="M1380">
        <v>50</v>
      </c>
      <c r="N1380">
        <v>46.416324615000001</v>
      </c>
    </row>
    <row r="1381" spans="1:14" x14ac:dyDescent="0.25">
      <c r="A1381">
        <v>1169.7051409999999</v>
      </c>
      <c r="B1381" s="1">
        <f>DATE(2013,7,13) + TIME(16,55,24)</f>
        <v>41468.705138888887</v>
      </c>
      <c r="C1381">
        <v>2400</v>
      </c>
      <c r="D1381">
        <v>0</v>
      </c>
      <c r="E1381">
        <v>0</v>
      </c>
      <c r="F1381">
        <v>2400</v>
      </c>
      <c r="G1381">
        <v>1364.1700439000001</v>
      </c>
      <c r="H1381">
        <v>1354.878418</v>
      </c>
      <c r="I1381">
        <v>1312.3804932</v>
      </c>
      <c r="J1381">
        <v>1302.5164795000001</v>
      </c>
      <c r="K1381">
        <v>80</v>
      </c>
      <c r="L1381">
        <v>79.938552856000001</v>
      </c>
      <c r="M1381">
        <v>50</v>
      </c>
      <c r="N1381">
        <v>46.374080657999997</v>
      </c>
    </row>
    <row r="1382" spans="1:14" x14ac:dyDescent="0.25">
      <c r="A1382">
        <v>1171.212896</v>
      </c>
      <c r="B1382" s="1">
        <f>DATE(2013,7,15) + TIME(5,6,34)</f>
        <v>41470.212893518517</v>
      </c>
      <c r="C1382">
        <v>2400</v>
      </c>
      <c r="D1382">
        <v>0</v>
      </c>
      <c r="E1382">
        <v>0</v>
      </c>
      <c r="F1382">
        <v>2400</v>
      </c>
      <c r="G1382">
        <v>1364.1411132999999</v>
      </c>
      <c r="H1382">
        <v>1354.8574219</v>
      </c>
      <c r="I1382">
        <v>1312.3500977000001</v>
      </c>
      <c r="J1382">
        <v>1302.4644774999999</v>
      </c>
      <c r="K1382">
        <v>80</v>
      </c>
      <c r="L1382">
        <v>79.938552856000001</v>
      </c>
      <c r="M1382">
        <v>50</v>
      </c>
      <c r="N1382">
        <v>46.332897185999997</v>
      </c>
    </row>
    <row r="1383" spans="1:14" x14ac:dyDescent="0.25">
      <c r="A1383">
        <v>1172.74081</v>
      </c>
      <c r="B1383" s="1">
        <f>DATE(2013,7,16) + TIME(17,46,45)</f>
        <v>41471.740798611114</v>
      </c>
      <c r="C1383">
        <v>2400</v>
      </c>
      <c r="D1383">
        <v>0</v>
      </c>
      <c r="E1383">
        <v>0</v>
      </c>
      <c r="F1383">
        <v>2400</v>
      </c>
      <c r="G1383">
        <v>1364.1123047000001</v>
      </c>
      <c r="H1383">
        <v>1354.8364257999999</v>
      </c>
      <c r="I1383">
        <v>1312.3192139</v>
      </c>
      <c r="J1383">
        <v>1302.4112548999999</v>
      </c>
      <c r="K1383">
        <v>80</v>
      </c>
      <c r="L1383">
        <v>79.938560486</v>
      </c>
      <c r="M1383">
        <v>50</v>
      </c>
      <c r="N1383">
        <v>46.292850494</v>
      </c>
    </row>
    <row r="1384" spans="1:14" x14ac:dyDescent="0.25">
      <c r="A1384">
        <v>1174.2922430000001</v>
      </c>
      <c r="B1384" s="1">
        <f>DATE(2013,7,18) + TIME(7,0,49)</f>
        <v>41473.292233796295</v>
      </c>
      <c r="C1384">
        <v>2400</v>
      </c>
      <c r="D1384">
        <v>0</v>
      </c>
      <c r="E1384">
        <v>0</v>
      </c>
      <c r="F1384">
        <v>2400</v>
      </c>
      <c r="G1384">
        <v>1364.083374</v>
      </c>
      <c r="H1384">
        <v>1354.8155518000001</v>
      </c>
      <c r="I1384">
        <v>1312.2875977000001</v>
      </c>
      <c r="J1384">
        <v>1302.3570557</v>
      </c>
      <c r="K1384">
        <v>80</v>
      </c>
      <c r="L1384">
        <v>79.938568114999995</v>
      </c>
      <c r="M1384">
        <v>50</v>
      </c>
      <c r="N1384">
        <v>46.254013061999999</v>
      </c>
    </row>
    <row r="1385" spans="1:14" x14ac:dyDescent="0.25">
      <c r="A1385">
        <v>1175.871052</v>
      </c>
      <c r="B1385" s="1">
        <f>DATE(2013,7,19) + TIME(20,54,18)</f>
        <v>41474.871041666665</v>
      </c>
      <c r="C1385">
        <v>2400</v>
      </c>
      <c r="D1385">
        <v>0</v>
      </c>
      <c r="E1385">
        <v>0</v>
      </c>
      <c r="F1385">
        <v>2400</v>
      </c>
      <c r="G1385">
        <v>1364.0545654</v>
      </c>
      <c r="H1385">
        <v>1354.7944336</v>
      </c>
      <c r="I1385">
        <v>1312.2553711</v>
      </c>
      <c r="J1385">
        <v>1302.3015137</v>
      </c>
      <c r="K1385">
        <v>80</v>
      </c>
      <c r="L1385">
        <v>79.938575744999994</v>
      </c>
      <c r="M1385">
        <v>50</v>
      </c>
      <c r="N1385">
        <v>46.216445923000002</v>
      </c>
    </row>
    <row r="1386" spans="1:14" x14ac:dyDescent="0.25">
      <c r="A1386">
        <v>1177.4813610000001</v>
      </c>
      <c r="B1386" s="1">
        <f>DATE(2013,7,21) + TIME(11,33,9)</f>
        <v>41476.481354166666</v>
      </c>
      <c r="C1386">
        <v>2400</v>
      </c>
      <c r="D1386">
        <v>0</v>
      </c>
      <c r="E1386">
        <v>0</v>
      </c>
      <c r="F1386">
        <v>2400</v>
      </c>
      <c r="G1386">
        <v>1364.0255127</v>
      </c>
      <c r="H1386">
        <v>1354.7733154</v>
      </c>
      <c r="I1386">
        <v>1312.2224120999999</v>
      </c>
      <c r="J1386">
        <v>1302.2446289</v>
      </c>
      <c r="K1386">
        <v>80</v>
      </c>
      <c r="L1386">
        <v>79.938583374000004</v>
      </c>
      <c r="M1386">
        <v>50</v>
      </c>
      <c r="N1386">
        <v>46.180221558</v>
      </c>
    </row>
    <row r="1387" spans="1:14" x14ac:dyDescent="0.25">
      <c r="A1387">
        <v>1179.12763</v>
      </c>
      <c r="B1387" s="1">
        <f>DATE(2013,7,23) + TIME(3,3,47)</f>
        <v>41478.127627314818</v>
      </c>
      <c r="C1387">
        <v>2400</v>
      </c>
      <c r="D1387">
        <v>0</v>
      </c>
      <c r="E1387">
        <v>0</v>
      </c>
      <c r="F1387">
        <v>2400</v>
      </c>
      <c r="G1387">
        <v>1363.9962158000001</v>
      </c>
      <c r="H1387">
        <v>1354.7519531</v>
      </c>
      <c r="I1387">
        <v>1312.1885986</v>
      </c>
      <c r="J1387">
        <v>1302.1864014</v>
      </c>
      <c r="K1387">
        <v>80</v>
      </c>
      <c r="L1387">
        <v>79.938598632999998</v>
      </c>
      <c r="M1387">
        <v>50</v>
      </c>
      <c r="N1387">
        <v>46.145427703999999</v>
      </c>
    </row>
    <row r="1388" spans="1:14" x14ac:dyDescent="0.25">
      <c r="A1388">
        <v>1180.8078410000001</v>
      </c>
      <c r="B1388" s="1">
        <f>DATE(2013,7,24) + TIME(19,23,17)</f>
        <v>41479.807835648149</v>
      </c>
      <c r="C1388">
        <v>2400</v>
      </c>
      <c r="D1388">
        <v>0</v>
      </c>
      <c r="E1388">
        <v>0</v>
      </c>
      <c r="F1388">
        <v>2400</v>
      </c>
      <c r="G1388">
        <v>1363.9667969</v>
      </c>
      <c r="H1388">
        <v>1354.7304687999999</v>
      </c>
      <c r="I1388">
        <v>1312.1539307</v>
      </c>
      <c r="J1388">
        <v>1302.1267089999999</v>
      </c>
      <c r="K1388">
        <v>80</v>
      </c>
      <c r="L1388">
        <v>79.938606261999993</v>
      </c>
      <c r="M1388">
        <v>50</v>
      </c>
      <c r="N1388">
        <v>46.112247467000003</v>
      </c>
    </row>
    <row r="1389" spans="1:14" x14ac:dyDescent="0.25">
      <c r="A1389">
        <v>1182.5023000000001</v>
      </c>
      <c r="B1389" s="1">
        <f>DATE(2013,7,26) + TIME(12,3,18)</f>
        <v>41481.502291666664</v>
      </c>
      <c r="C1389">
        <v>2400</v>
      </c>
      <c r="D1389">
        <v>0</v>
      </c>
      <c r="E1389">
        <v>0</v>
      </c>
      <c r="F1389">
        <v>2400</v>
      </c>
      <c r="G1389">
        <v>1363.9370117000001</v>
      </c>
      <c r="H1389">
        <v>1354.7087402</v>
      </c>
      <c r="I1389">
        <v>1312.1186522999999</v>
      </c>
      <c r="J1389">
        <v>1302.0655518000001</v>
      </c>
      <c r="K1389">
        <v>80</v>
      </c>
      <c r="L1389">
        <v>79.938621521000002</v>
      </c>
      <c r="M1389">
        <v>50</v>
      </c>
      <c r="N1389">
        <v>46.081066131999997</v>
      </c>
    </row>
    <row r="1390" spans="1:14" x14ac:dyDescent="0.25">
      <c r="A1390">
        <v>1184.2148529999999</v>
      </c>
      <c r="B1390" s="1">
        <f>DATE(2013,7,28) + TIME(5,9,23)</f>
        <v>41483.214849537035</v>
      </c>
      <c r="C1390">
        <v>2400</v>
      </c>
      <c r="D1390">
        <v>0</v>
      </c>
      <c r="E1390">
        <v>0</v>
      </c>
      <c r="F1390">
        <v>2400</v>
      </c>
      <c r="G1390">
        <v>1363.9074707</v>
      </c>
      <c r="H1390">
        <v>1354.6870117000001</v>
      </c>
      <c r="I1390">
        <v>1312.0827637</v>
      </c>
      <c r="J1390">
        <v>1302.0035399999999</v>
      </c>
      <c r="K1390">
        <v>80</v>
      </c>
      <c r="L1390">
        <v>79.938629149999997</v>
      </c>
      <c r="M1390">
        <v>50</v>
      </c>
      <c r="N1390">
        <v>46.05210495</v>
      </c>
    </row>
    <row r="1391" spans="1:14" x14ac:dyDescent="0.25">
      <c r="A1391">
        <v>1185.949844</v>
      </c>
      <c r="B1391" s="1">
        <f>DATE(2013,7,29) + TIME(22,47,46)</f>
        <v>41484.949837962966</v>
      </c>
      <c r="C1391">
        <v>2400</v>
      </c>
      <c r="D1391">
        <v>0</v>
      </c>
      <c r="E1391">
        <v>0</v>
      </c>
      <c r="F1391">
        <v>2400</v>
      </c>
      <c r="G1391">
        <v>1363.8779297000001</v>
      </c>
      <c r="H1391">
        <v>1354.6652832</v>
      </c>
      <c r="I1391">
        <v>1312.0465088000001</v>
      </c>
      <c r="J1391">
        <v>1301.9407959</v>
      </c>
      <c r="K1391">
        <v>80</v>
      </c>
      <c r="L1391">
        <v>79.938644409000005</v>
      </c>
      <c r="M1391">
        <v>50</v>
      </c>
      <c r="N1391">
        <v>46.025539397999999</v>
      </c>
    </row>
    <row r="1392" spans="1:14" x14ac:dyDescent="0.25">
      <c r="A1392">
        <v>1187.711822</v>
      </c>
      <c r="B1392" s="1">
        <f>DATE(2013,7,31) + TIME(17,5,1)</f>
        <v>41486.711817129632</v>
      </c>
      <c r="C1392">
        <v>2400</v>
      </c>
      <c r="D1392">
        <v>0</v>
      </c>
      <c r="E1392">
        <v>0</v>
      </c>
      <c r="F1392">
        <v>2400</v>
      </c>
      <c r="G1392">
        <v>1363.8485106999999</v>
      </c>
      <c r="H1392">
        <v>1354.6435547000001</v>
      </c>
      <c r="I1392">
        <v>1312.0097656</v>
      </c>
      <c r="J1392">
        <v>1301.8770752</v>
      </c>
      <c r="K1392">
        <v>80</v>
      </c>
      <c r="L1392">
        <v>79.938659668</v>
      </c>
      <c r="M1392">
        <v>50</v>
      </c>
      <c r="N1392">
        <v>46.001522064</v>
      </c>
    </row>
    <row r="1393" spans="1:14" x14ac:dyDescent="0.25">
      <c r="A1393">
        <v>1188</v>
      </c>
      <c r="B1393" s="1">
        <f>DATE(2013,8,1) + TIME(0,0,0)</f>
        <v>41487</v>
      </c>
      <c r="C1393">
        <v>2400</v>
      </c>
      <c r="D1393">
        <v>0</v>
      </c>
      <c r="E1393">
        <v>0</v>
      </c>
      <c r="F1393">
        <v>2400</v>
      </c>
      <c r="G1393">
        <v>1363.8189697</v>
      </c>
      <c r="H1393">
        <v>1354.6220702999999</v>
      </c>
      <c r="I1393">
        <v>1311.9813231999999</v>
      </c>
      <c r="J1393">
        <v>1301.8275146000001</v>
      </c>
      <c r="K1393">
        <v>80</v>
      </c>
      <c r="L1393">
        <v>79.938652039000004</v>
      </c>
      <c r="M1393">
        <v>50</v>
      </c>
      <c r="N1393">
        <v>45.995506286999998</v>
      </c>
    </row>
    <row r="1394" spans="1:14" x14ac:dyDescent="0.25">
      <c r="A1394">
        <v>1189.793811</v>
      </c>
      <c r="B1394" s="1">
        <f>DATE(2013,8,2) + TIME(19,3,5)</f>
        <v>41488.793807870374</v>
      </c>
      <c r="C1394">
        <v>2400</v>
      </c>
      <c r="D1394">
        <v>0</v>
      </c>
      <c r="E1394">
        <v>0</v>
      </c>
      <c r="F1394">
        <v>2400</v>
      </c>
      <c r="G1394">
        <v>1363.8139647999999</v>
      </c>
      <c r="H1394">
        <v>1354.6179199000001</v>
      </c>
      <c r="I1394">
        <v>1311.9644774999999</v>
      </c>
      <c r="J1394">
        <v>1301.7987060999999</v>
      </c>
      <c r="K1394">
        <v>80</v>
      </c>
      <c r="L1394">
        <v>79.938674926999994</v>
      </c>
      <c r="M1394">
        <v>50</v>
      </c>
      <c r="N1394">
        <v>45.976047516000001</v>
      </c>
    </row>
    <row r="1395" spans="1:14" x14ac:dyDescent="0.25">
      <c r="A1395">
        <v>1191.617344</v>
      </c>
      <c r="B1395" s="1">
        <f>DATE(2013,8,4) + TIME(14,48,58)</f>
        <v>41490.617337962962</v>
      </c>
      <c r="C1395">
        <v>2400</v>
      </c>
      <c r="D1395">
        <v>0</v>
      </c>
      <c r="E1395">
        <v>0</v>
      </c>
      <c r="F1395">
        <v>2400</v>
      </c>
      <c r="G1395">
        <v>1363.7843018000001</v>
      </c>
      <c r="H1395">
        <v>1354.5960693</v>
      </c>
      <c r="I1395">
        <v>1311.9276123</v>
      </c>
      <c r="J1395">
        <v>1301.7344971</v>
      </c>
      <c r="K1395">
        <v>80</v>
      </c>
      <c r="L1395">
        <v>79.938690186000002</v>
      </c>
      <c r="M1395">
        <v>50</v>
      </c>
      <c r="N1395">
        <v>45.958923339999998</v>
      </c>
    </row>
    <row r="1396" spans="1:14" x14ac:dyDescent="0.25">
      <c r="A1396">
        <v>1193.4592419999999</v>
      </c>
      <c r="B1396" s="1">
        <f>DATE(2013,8,6) + TIME(11,1,18)</f>
        <v>41492.459236111114</v>
      </c>
      <c r="C1396">
        <v>2400</v>
      </c>
      <c r="D1396">
        <v>0</v>
      </c>
      <c r="E1396">
        <v>0</v>
      </c>
      <c r="F1396">
        <v>2400</v>
      </c>
      <c r="G1396">
        <v>1363.7545166</v>
      </c>
      <c r="H1396">
        <v>1354.5739745999999</v>
      </c>
      <c r="I1396">
        <v>1311.8897704999999</v>
      </c>
      <c r="J1396">
        <v>1301.6687012</v>
      </c>
      <c r="K1396">
        <v>80</v>
      </c>
      <c r="L1396">
        <v>79.938705443999993</v>
      </c>
      <c r="M1396">
        <v>50</v>
      </c>
      <c r="N1396">
        <v>45.944782257</v>
      </c>
    </row>
    <row r="1397" spans="1:14" x14ac:dyDescent="0.25">
      <c r="A1397">
        <v>1195.3244119999999</v>
      </c>
      <c r="B1397" s="1">
        <f>DATE(2013,8,8) + TIME(7,47,9)</f>
        <v>41494.32440972222</v>
      </c>
      <c r="C1397">
        <v>2400</v>
      </c>
      <c r="D1397">
        <v>0</v>
      </c>
      <c r="E1397">
        <v>0</v>
      </c>
      <c r="F1397">
        <v>2400</v>
      </c>
      <c r="G1397">
        <v>1363.7247314000001</v>
      </c>
      <c r="H1397">
        <v>1354.5518798999999</v>
      </c>
      <c r="I1397">
        <v>1311.8514404</v>
      </c>
      <c r="J1397">
        <v>1301.6019286999999</v>
      </c>
      <c r="K1397">
        <v>80</v>
      </c>
      <c r="L1397">
        <v>79.938728333</v>
      </c>
      <c r="M1397">
        <v>50</v>
      </c>
      <c r="N1397">
        <v>45.934040070000002</v>
      </c>
    </row>
    <row r="1398" spans="1:14" x14ac:dyDescent="0.25">
      <c r="A1398">
        <v>1197.2170229999999</v>
      </c>
      <c r="B1398" s="1">
        <f>DATE(2013,8,10) + TIME(5,12,30)</f>
        <v>41496.217013888891</v>
      </c>
      <c r="C1398">
        <v>2400</v>
      </c>
      <c r="D1398">
        <v>0</v>
      </c>
      <c r="E1398">
        <v>0</v>
      </c>
      <c r="F1398">
        <v>2400</v>
      </c>
      <c r="G1398">
        <v>1363.6949463000001</v>
      </c>
      <c r="H1398">
        <v>1354.5296631000001</v>
      </c>
      <c r="I1398">
        <v>1311.8127440999999</v>
      </c>
      <c r="J1398">
        <v>1301.5344238</v>
      </c>
      <c r="K1398">
        <v>80</v>
      </c>
      <c r="L1398">
        <v>79.938743591000005</v>
      </c>
      <c r="M1398">
        <v>50</v>
      </c>
      <c r="N1398">
        <v>45.927032470999997</v>
      </c>
    </row>
    <row r="1399" spans="1:14" x14ac:dyDescent="0.25">
      <c r="A1399">
        <v>1199.1420419999999</v>
      </c>
      <c r="B1399" s="1">
        <f>DATE(2013,8,12) + TIME(3,24,32)</f>
        <v>41498.14203703704</v>
      </c>
      <c r="C1399">
        <v>2400</v>
      </c>
      <c r="D1399">
        <v>0</v>
      </c>
      <c r="E1399">
        <v>0</v>
      </c>
      <c r="F1399">
        <v>2400</v>
      </c>
      <c r="G1399">
        <v>1363.6650391000001</v>
      </c>
      <c r="H1399">
        <v>1354.5074463000001</v>
      </c>
      <c r="I1399">
        <v>1311.7736815999999</v>
      </c>
      <c r="J1399">
        <v>1301.4661865</v>
      </c>
      <c r="K1399">
        <v>80</v>
      </c>
      <c r="L1399">
        <v>79.938766478999995</v>
      </c>
      <c r="M1399">
        <v>50</v>
      </c>
      <c r="N1399">
        <v>45.924072266000003</v>
      </c>
    </row>
    <row r="1400" spans="1:14" x14ac:dyDescent="0.25">
      <c r="A1400">
        <v>1201.1048370000001</v>
      </c>
      <c r="B1400" s="1">
        <f>DATE(2013,8,14) + TIME(2,30,57)</f>
        <v>41500.104826388888</v>
      </c>
      <c r="C1400">
        <v>2400</v>
      </c>
      <c r="D1400">
        <v>0</v>
      </c>
      <c r="E1400">
        <v>0</v>
      </c>
      <c r="F1400">
        <v>2400</v>
      </c>
      <c r="G1400">
        <v>1363.6350098</v>
      </c>
      <c r="H1400">
        <v>1354.4849853999999</v>
      </c>
      <c r="I1400">
        <v>1311.7341309000001</v>
      </c>
      <c r="J1400">
        <v>1301.3973389</v>
      </c>
      <c r="K1400">
        <v>80</v>
      </c>
      <c r="L1400">
        <v>79.938789368000002</v>
      </c>
      <c r="M1400">
        <v>50</v>
      </c>
      <c r="N1400">
        <v>45.925510406000001</v>
      </c>
    </row>
    <row r="1401" spans="1:14" x14ac:dyDescent="0.25">
      <c r="A1401">
        <v>1203.093664</v>
      </c>
      <c r="B1401" s="1">
        <f>DATE(2013,8,16) + TIME(2,14,52)</f>
        <v>41502.093657407408</v>
      </c>
      <c r="C1401">
        <v>2400</v>
      </c>
      <c r="D1401">
        <v>0</v>
      </c>
      <c r="E1401">
        <v>0</v>
      </c>
      <c r="F1401">
        <v>2400</v>
      </c>
      <c r="G1401">
        <v>1363.6047363</v>
      </c>
      <c r="H1401">
        <v>1354.4622803</v>
      </c>
      <c r="I1401">
        <v>1311.6943358999999</v>
      </c>
      <c r="J1401">
        <v>1301.3278809000001</v>
      </c>
      <c r="K1401">
        <v>80</v>
      </c>
      <c r="L1401">
        <v>79.938804626000007</v>
      </c>
      <c r="M1401">
        <v>50</v>
      </c>
      <c r="N1401">
        <v>45.931743621999999</v>
      </c>
    </row>
    <row r="1402" spans="1:14" x14ac:dyDescent="0.25">
      <c r="A1402">
        <v>1205.1043030000001</v>
      </c>
      <c r="B1402" s="1">
        <f>DATE(2013,8,18) + TIME(2,30,11)</f>
        <v>41504.10429398148</v>
      </c>
      <c r="C1402">
        <v>2400</v>
      </c>
      <c r="D1402">
        <v>0</v>
      </c>
      <c r="E1402">
        <v>0</v>
      </c>
      <c r="F1402">
        <v>2400</v>
      </c>
      <c r="G1402">
        <v>1363.5744629000001</v>
      </c>
      <c r="H1402">
        <v>1354.4395752</v>
      </c>
      <c r="I1402">
        <v>1311.6544189000001</v>
      </c>
      <c r="J1402">
        <v>1301.2583007999999</v>
      </c>
      <c r="K1402">
        <v>80</v>
      </c>
      <c r="L1402">
        <v>79.938827515</v>
      </c>
      <c r="M1402">
        <v>50</v>
      </c>
      <c r="N1402">
        <v>45.943122864000003</v>
      </c>
    </row>
    <row r="1403" spans="1:14" x14ac:dyDescent="0.25">
      <c r="A1403">
        <v>1207.141873</v>
      </c>
      <c r="B1403" s="1">
        <f>DATE(2013,8,20) + TIME(3,24,17)</f>
        <v>41506.141863425924</v>
      </c>
      <c r="C1403">
        <v>2400</v>
      </c>
      <c r="D1403">
        <v>0</v>
      </c>
      <c r="E1403">
        <v>0</v>
      </c>
      <c r="F1403">
        <v>2400</v>
      </c>
      <c r="G1403">
        <v>1363.5441894999999</v>
      </c>
      <c r="H1403">
        <v>1354.4167480000001</v>
      </c>
      <c r="I1403">
        <v>1311.6145019999999</v>
      </c>
      <c r="J1403">
        <v>1301.1885986</v>
      </c>
      <c r="K1403">
        <v>80</v>
      </c>
      <c r="L1403">
        <v>79.938850403000004</v>
      </c>
      <c r="M1403">
        <v>50</v>
      </c>
      <c r="N1403">
        <v>45.959983825999998</v>
      </c>
    </row>
    <row r="1404" spans="1:14" x14ac:dyDescent="0.25">
      <c r="A1404">
        <v>1209.211751</v>
      </c>
      <c r="B1404" s="1">
        <f>DATE(2013,8,22) + TIME(5,4,55)</f>
        <v>41508.211747685185</v>
      </c>
      <c r="C1404">
        <v>2400</v>
      </c>
      <c r="D1404">
        <v>0</v>
      </c>
      <c r="E1404">
        <v>0</v>
      </c>
      <c r="F1404">
        <v>2400</v>
      </c>
      <c r="G1404">
        <v>1363.5137939000001</v>
      </c>
      <c r="H1404">
        <v>1354.3937988</v>
      </c>
      <c r="I1404">
        <v>1311.5745850000001</v>
      </c>
      <c r="J1404">
        <v>1301.1190185999999</v>
      </c>
      <c r="K1404">
        <v>80</v>
      </c>
      <c r="L1404">
        <v>79.938880920000003</v>
      </c>
      <c r="M1404">
        <v>50</v>
      </c>
      <c r="N1404">
        <v>45.982719420999999</v>
      </c>
    </row>
    <row r="1405" spans="1:14" x14ac:dyDescent="0.25">
      <c r="A1405">
        <v>1211.3195129999999</v>
      </c>
      <c r="B1405" s="1">
        <f>DATE(2013,8,24) + TIME(7,40,5)</f>
        <v>41510.319502314815</v>
      </c>
      <c r="C1405">
        <v>2400</v>
      </c>
      <c r="D1405">
        <v>0</v>
      </c>
      <c r="E1405">
        <v>0</v>
      </c>
      <c r="F1405">
        <v>2400</v>
      </c>
      <c r="G1405">
        <v>1363.4832764</v>
      </c>
      <c r="H1405">
        <v>1354.3707274999999</v>
      </c>
      <c r="I1405">
        <v>1311.534668</v>
      </c>
      <c r="J1405">
        <v>1301.0494385</v>
      </c>
      <c r="K1405">
        <v>80</v>
      </c>
      <c r="L1405">
        <v>79.938903808999996</v>
      </c>
      <c r="M1405">
        <v>50</v>
      </c>
      <c r="N1405">
        <v>46.011783600000001</v>
      </c>
    </row>
    <row r="1406" spans="1:14" x14ac:dyDescent="0.25">
      <c r="A1406">
        <v>1213.4514690000001</v>
      </c>
      <c r="B1406" s="1">
        <f>DATE(2013,8,26) + TIME(10,50,6)</f>
        <v>41512.451458333337</v>
      </c>
      <c r="C1406">
        <v>2400</v>
      </c>
      <c r="D1406">
        <v>0</v>
      </c>
      <c r="E1406">
        <v>0</v>
      </c>
      <c r="F1406">
        <v>2400</v>
      </c>
      <c r="G1406">
        <v>1363.4526367000001</v>
      </c>
      <c r="H1406">
        <v>1354.3475341999999</v>
      </c>
      <c r="I1406">
        <v>1311.494751</v>
      </c>
      <c r="J1406">
        <v>1300.9799805</v>
      </c>
      <c r="K1406">
        <v>80</v>
      </c>
      <c r="L1406">
        <v>79.938934325999995</v>
      </c>
      <c r="M1406">
        <v>50</v>
      </c>
      <c r="N1406">
        <v>46.047554015999999</v>
      </c>
    </row>
    <row r="1407" spans="1:14" x14ac:dyDescent="0.25">
      <c r="A1407">
        <v>1215.6056430000001</v>
      </c>
      <c r="B1407" s="1">
        <f>DATE(2013,8,28) + TIME(14,32,7)</f>
        <v>41514.605636574073</v>
      </c>
      <c r="C1407">
        <v>2400</v>
      </c>
      <c r="D1407">
        <v>0</v>
      </c>
      <c r="E1407">
        <v>0</v>
      </c>
      <c r="F1407">
        <v>2400</v>
      </c>
      <c r="G1407">
        <v>1363.421875</v>
      </c>
      <c r="H1407">
        <v>1354.3242187999999</v>
      </c>
      <c r="I1407">
        <v>1311.4552002</v>
      </c>
      <c r="J1407">
        <v>1300.9111327999999</v>
      </c>
      <c r="K1407">
        <v>80</v>
      </c>
      <c r="L1407">
        <v>79.938957213999998</v>
      </c>
      <c r="M1407">
        <v>50</v>
      </c>
      <c r="N1407">
        <v>46.090366363999998</v>
      </c>
    </row>
    <row r="1408" spans="1:14" x14ac:dyDescent="0.25">
      <c r="A1408">
        <v>1217.787785</v>
      </c>
      <c r="B1408" s="1">
        <f>DATE(2013,8,30) + TIME(18,54,24)</f>
        <v>41516.787777777776</v>
      </c>
      <c r="C1408">
        <v>2400</v>
      </c>
      <c r="D1408">
        <v>0</v>
      </c>
      <c r="E1408">
        <v>0</v>
      </c>
      <c r="F1408">
        <v>2400</v>
      </c>
      <c r="G1408">
        <v>1363.3912353999999</v>
      </c>
      <c r="H1408">
        <v>1354.3007812000001</v>
      </c>
      <c r="I1408">
        <v>1311.4160156</v>
      </c>
      <c r="J1408">
        <v>1300.8430175999999</v>
      </c>
      <c r="K1408">
        <v>80</v>
      </c>
      <c r="L1408">
        <v>79.938987732000001</v>
      </c>
      <c r="M1408">
        <v>50</v>
      </c>
      <c r="N1408">
        <v>46.140621185000001</v>
      </c>
    </row>
    <row r="1409" spans="1:14" x14ac:dyDescent="0.25">
      <c r="A1409">
        <v>1219</v>
      </c>
      <c r="B1409" s="1">
        <f>DATE(2013,9,1) + TIME(0,0,0)</f>
        <v>41518</v>
      </c>
      <c r="C1409">
        <v>2400</v>
      </c>
      <c r="D1409">
        <v>0</v>
      </c>
      <c r="E1409">
        <v>0</v>
      </c>
      <c r="F1409">
        <v>2400</v>
      </c>
      <c r="G1409">
        <v>1363.3603516000001</v>
      </c>
      <c r="H1409">
        <v>1354.2773437999999</v>
      </c>
      <c r="I1409">
        <v>1311.3834228999999</v>
      </c>
      <c r="J1409">
        <v>1300.7825928</v>
      </c>
      <c r="K1409">
        <v>80</v>
      </c>
      <c r="L1409">
        <v>79.938987732000001</v>
      </c>
      <c r="M1409">
        <v>50</v>
      </c>
      <c r="N1409">
        <v>46.183765411000003</v>
      </c>
    </row>
    <row r="1410" spans="1:14" x14ac:dyDescent="0.25">
      <c r="A1410">
        <v>1221.214851</v>
      </c>
      <c r="B1410" s="1">
        <f>DATE(2013,9,3) + TIME(5,9,23)</f>
        <v>41520.214849537035</v>
      </c>
      <c r="C1410">
        <v>2400</v>
      </c>
      <c r="D1410">
        <v>0</v>
      </c>
      <c r="E1410">
        <v>0</v>
      </c>
      <c r="F1410">
        <v>2400</v>
      </c>
      <c r="G1410">
        <v>1363.3433838000001</v>
      </c>
      <c r="H1410">
        <v>1354.2641602000001</v>
      </c>
      <c r="I1410">
        <v>1311.3525391000001</v>
      </c>
      <c r="J1410">
        <v>1300.7352295000001</v>
      </c>
      <c r="K1410">
        <v>80</v>
      </c>
      <c r="L1410">
        <v>79.939025878999999</v>
      </c>
      <c r="M1410">
        <v>50</v>
      </c>
      <c r="N1410">
        <v>46.239761352999999</v>
      </c>
    </row>
    <row r="1411" spans="1:14" x14ac:dyDescent="0.25">
      <c r="A1411">
        <v>1223.4926419999999</v>
      </c>
      <c r="B1411" s="1">
        <f>DATE(2013,9,5) + TIME(11,49,24)</f>
        <v>41522.492638888885</v>
      </c>
      <c r="C1411">
        <v>2400</v>
      </c>
      <c r="D1411">
        <v>0</v>
      </c>
      <c r="E1411">
        <v>0</v>
      </c>
      <c r="F1411">
        <v>2400</v>
      </c>
      <c r="G1411">
        <v>1363.3127440999999</v>
      </c>
      <c r="H1411">
        <v>1354.2407227000001</v>
      </c>
      <c r="I1411">
        <v>1311.3166504000001</v>
      </c>
      <c r="J1411">
        <v>1300.6723632999999</v>
      </c>
      <c r="K1411">
        <v>80</v>
      </c>
      <c r="L1411">
        <v>79.939064025999997</v>
      </c>
      <c r="M1411">
        <v>50</v>
      </c>
      <c r="N1411">
        <v>46.308357239000003</v>
      </c>
    </row>
    <row r="1412" spans="1:14" x14ac:dyDescent="0.25">
      <c r="A1412">
        <v>1225.7957039999999</v>
      </c>
      <c r="B1412" s="1">
        <f>DATE(2013,9,7) + TIME(19,5,48)</f>
        <v>41524.795694444445</v>
      </c>
      <c r="C1412">
        <v>2400</v>
      </c>
      <c r="D1412">
        <v>0</v>
      </c>
      <c r="E1412">
        <v>0</v>
      </c>
      <c r="F1412">
        <v>2400</v>
      </c>
      <c r="G1412">
        <v>1363.2814940999999</v>
      </c>
      <c r="H1412">
        <v>1354.2167969</v>
      </c>
      <c r="I1412">
        <v>1311.2799072</v>
      </c>
      <c r="J1412">
        <v>1300.6087646000001</v>
      </c>
      <c r="K1412">
        <v>80</v>
      </c>
      <c r="L1412">
        <v>79.939094542999996</v>
      </c>
      <c r="M1412">
        <v>50</v>
      </c>
      <c r="N1412">
        <v>46.387962340999998</v>
      </c>
    </row>
    <row r="1413" spans="1:14" x14ac:dyDescent="0.25">
      <c r="A1413">
        <v>1228.120306</v>
      </c>
      <c r="B1413" s="1">
        <f>DATE(2013,9,10) + TIME(2,53,14)</f>
        <v>41527.120300925926</v>
      </c>
      <c r="C1413">
        <v>2400</v>
      </c>
      <c r="D1413">
        <v>0</v>
      </c>
      <c r="E1413">
        <v>0</v>
      </c>
      <c r="F1413">
        <v>2400</v>
      </c>
      <c r="G1413">
        <v>1363.2502440999999</v>
      </c>
      <c r="H1413">
        <v>1354.192749</v>
      </c>
      <c r="I1413">
        <v>1311.2435303</v>
      </c>
      <c r="J1413">
        <v>1300.5462646000001</v>
      </c>
      <c r="K1413">
        <v>80</v>
      </c>
      <c r="L1413">
        <v>79.939125060999999</v>
      </c>
      <c r="M1413">
        <v>50</v>
      </c>
      <c r="N1413">
        <v>46.477798462000003</v>
      </c>
    </row>
    <row r="1414" spans="1:14" x14ac:dyDescent="0.25">
      <c r="A1414">
        <v>1230.4720179999999</v>
      </c>
      <c r="B1414" s="1">
        <f>DATE(2013,9,12) + TIME(11,19,42)</f>
        <v>41529.472013888888</v>
      </c>
      <c r="C1414">
        <v>2400</v>
      </c>
      <c r="D1414">
        <v>0</v>
      </c>
      <c r="E1414">
        <v>0</v>
      </c>
      <c r="F1414">
        <v>2400</v>
      </c>
      <c r="G1414">
        <v>1363.2189940999999</v>
      </c>
      <c r="H1414">
        <v>1354.1687012</v>
      </c>
      <c r="I1414">
        <v>1311.2077637</v>
      </c>
      <c r="J1414">
        <v>1300.4853516000001</v>
      </c>
      <c r="K1414">
        <v>80</v>
      </c>
      <c r="L1414">
        <v>79.939163207999997</v>
      </c>
      <c r="M1414">
        <v>50</v>
      </c>
      <c r="N1414">
        <v>46.577823639000002</v>
      </c>
    </row>
    <row r="1415" spans="1:14" x14ac:dyDescent="0.25">
      <c r="A1415">
        <v>1232.857008</v>
      </c>
      <c r="B1415" s="1">
        <f>DATE(2013,9,14) + TIME(20,34,5)</f>
        <v>41531.857002314813</v>
      </c>
      <c r="C1415">
        <v>2400</v>
      </c>
      <c r="D1415">
        <v>0</v>
      </c>
      <c r="E1415">
        <v>0</v>
      </c>
      <c r="F1415">
        <v>2400</v>
      </c>
      <c r="G1415">
        <v>1363.1877440999999</v>
      </c>
      <c r="H1415">
        <v>1354.1445312000001</v>
      </c>
      <c r="I1415">
        <v>1311.1727295000001</v>
      </c>
      <c r="J1415">
        <v>1300.4263916</v>
      </c>
      <c r="K1415">
        <v>80</v>
      </c>
      <c r="L1415">
        <v>79.939193725999999</v>
      </c>
      <c r="M1415">
        <v>50</v>
      </c>
      <c r="N1415">
        <v>46.688365935999997</v>
      </c>
    </row>
    <row r="1416" spans="1:14" x14ac:dyDescent="0.25">
      <c r="A1416">
        <v>1235.281714</v>
      </c>
      <c r="B1416" s="1">
        <f>DATE(2013,9,17) + TIME(6,45,40)</f>
        <v>41534.281712962962</v>
      </c>
      <c r="C1416">
        <v>2400</v>
      </c>
      <c r="D1416">
        <v>0</v>
      </c>
      <c r="E1416">
        <v>0</v>
      </c>
      <c r="F1416">
        <v>2400</v>
      </c>
      <c r="G1416">
        <v>1363.1563721</v>
      </c>
      <c r="H1416">
        <v>1354.1202393000001</v>
      </c>
      <c r="I1416">
        <v>1311.1387939000001</v>
      </c>
      <c r="J1416">
        <v>1300.3693848</v>
      </c>
      <c r="K1416">
        <v>80</v>
      </c>
      <c r="L1416">
        <v>79.939231872999997</v>
      </c>
      <c r="M1416">
        <v>50</v>
      </c>
      <c r="N1416">
        <v>46.809974670000003</v>
      </c>
    </row>
    <row r="1417" spans="1:14" x14ac:dyDescent="0.25">
      <c r="A1417">
        <v>1237.753003</v>
      </c>
      <c r="B1417" s="1">
        <f>DATE(2013,9,19) + TIME(18,4,19)</f>
        <v>41536.752997685187</v>
      </c>
      <c r="C1417">
        <v>2400</v>
      </c>
      <c r="D1417">
        <v>0</v>
      </c>
      <c r="E1417">
        <v>0</v>
      </c>
      <c r="F1417">
        <v>2400</v>
      </c>
      <c r="G1417">
        <v>1363.1247559000001</v>
      </c>
      <c r="H1417">
        <v>1354.0958252</v>
      </c>
      <c r="I1417">
        <v>1311.1057129000001</v>
      </c>
      <c r="J1417">
        <v>1300.3146973</v>
      </c>
      <c r="K1417">
        <v>80</v>
      </c>
      <c r="L1417">
        <v>79.939270019999995</v>
      </c>
      <c r="M1417">
        <v>50</v>
      </c>
      <c r="N1417">
        <v>46.943355560000001</v>
      </c>
    </row>
    <row r="1418" spans="1:14" x14ac:dyDescent="0.25">
      <c r="A1418">
        <v>1240.253813</v>
      </c>
      <c r="B1418" s="1">
        <f>DATE(2013,9,22) + TIME(6,5,29)</f>
        <v>41539.253807870373</v>
      </c>
      <c r="C1418">
        <v>2400</v>
      </c>
      <c r="D1418">
        <v>0</v>
      </c>
      <c r="E1418">
        <v>0</v>
      </c>
      <c r="F1418">
        <v>2400</v>
      </c>
      <c r="G1418">
        <v>1363.0930175999999</v>
      </c>
      <c r="H1418">
        <v>1354.0710449000001</v>
      </c>
      <c r="I1418">
        <v>1311.0738524999999</v>
      </c>
      <c r="J1418">
        <v>1300.2623291</v>
      </c>
      <c r="K1418">
        <v>80</v>
      </c>
      <c r="L1418">
        <v>79.939308166999993</v>
      </c>
      <c r="M1418">
        <v>50</v>
      </c>
      <c r="N1418">
        <v>47.088768004999999</v>
      </c>
    </row>
    <row r="1419" spans="1:14" x14ac:dyDescent="0.25">
      <c r="A1419">
        <v>1242.780653</v>
      </c>
      <c r="B1419" s="1">
        <f>DATE(2013,9,24) + TIME(18,44,8)</f>
        <v>41541.780648148146</v>
      </c>
      <c r="C1419">
        <v>2400</v>
      </c>
      <c r="D1419">
        <v>0</v>
      </c>
      <c r="E1419">
        <v>0</v>
      </c>
      <c r="F1419">
        <v>2400</v>
      </c>
      <c r="G1419">
        <v>1363.0610352000001</v>
      </c>
      <c r="H1419">
        <v>1354.0462646000001</v>
      </c>
      <c r="I1419">
        <v>1311.043457</v>
      </c>
      <c r="J1419">
        <v>1300.2130127</v>
      </c>
      <c r="K1419">
        <v>80</v>
      </c>
      <c r="L1419">
        <v>79.939346313000001</v>
      </c>
      <c r="M1419">
        <v>50</v>
      </c>
      <c r="N1419">
        <v>47.246120453000003</v>
      </c>
    </row>
    <row r="1420" spans="1:14" x14ac:dyDescent="0.25">
      <c r="A1420">
        <v>1245.3406990000001</v>
      </c>
      <c r="B1420" s="1">
        <f>DATE(2013,9,27) + TIME(8,10,36)</f>
        <v>41544.340694444443</v>
      </c>
      <c r="C1420">
        <v>2400</v>
      </c>
      <c r="D1420">
        <v>0</v>
      </c>
      <c r="E1420">
        <v>0</v>
      </c>
      <c r="F1420">
        <v>2400</v>
      </c>
      <c r="G1420">
        <v>1363.0291748</v>
      </c>
      <c r="H1420">
        <v>1354.0213623</v>
      </c>
      <c r="I1420">
        <v>1311.0144043</v>
      </c>
      <c r="J1420">
        <v>1300.1667480000001</v>
      </c>
      <c r="K1420">
        <v>80</v>
      </c>
      <c r="L1420">
        <v>79.939384459999999</v>
      </c>
      <c r="M1420">
        <v>50</v>
      </c>
      <c r="N1420">
        <v>47.415534973</v>
      </c>
    </row>
    <row r="1421" spans="1:14" x14ac:dyDescent="0.25">
      <c r="A1421">
        <v>1247.939995</v>
      </c>
      <c r="B1421" s="1">
        <f>DATE(2013,9,29) + TIME(22,33,35)</f>
        <v>41546.939988425926</v>
      </c>
      <c r="C1421">
        <v>2400</v>
      </c>
      <c r="D1421">
        <v>0</v>
      </c>
      <c r="E1421">
        <v>0</v>
      </c>
      <c r="F1421">
        <v>2400</v>
      </c>
      <c r="G1421">
        <v>1362.9973144999999</v>
      </c>
      <c r="H1421">
        <v>1353.9964600000001</v>
      </c>
      <c r="I1421">
        <v>1310.9869385</v>
      </c>
      <c r="J1421">
        <v>1300.1237793</v>
      </c>
      <c r="K1421">
        <v>80</v>
      </c>
      <c r="L1421">
        <v>79.939422606999997</v>
      </c>
      <c r="M1421">
        <v>50</v>
      </c>
      <c r="N1421">
        <v>47.597362517999997</v>
      </c>
    </row>
    <row r="1422" spans="1:14" x14ac:dyDescent="0.25">
      <c r="A1422">
        <v>1249</v>
      </c>
      <c r="B1422" s="1">
        <f>DATE(2013,10,1) + TIME(0,0,0)</f>
        <v>41548</v>
      </c>
      <c r="C1422">
        <v>2400</v>
      </c>
      <c r="D1422">
        <v>0</v>
      </c>
      <c r="E1422">
        <v>0</v>
      </c>
      <c r="F1422">
        <v>2400</v>
      </c>
      <c r="G1422">
        <v>1362.9650879000001</v>
      </c>
      <c r="H1422">
        <v>1353.9716797000001</v>
      </c>
      <c r="I1422">
        <v>1310.9743652</v>
      </c>
      <c r="J1422">
        <v>1300.0921631000001</v>
      </c>
      <c r="K1422">
        <v>80</v>
      </c>
      <c r="L1422">
        <v>79.939422606999997</v>
      </c>
      <c r="M1422">
        <v>50</v>
      </c>
      <c r="N1422">
        <v>47.723102570000002</v>
      </c>
    </row>
    <row r="1423" spans="1:14" x14ac:dyDescent="0.25">
      <c r="A1423">
        <v>1251.645724</v>
      </c>
      <c r="B1423" s="1">
        <f>DATE(2013,10,3) + TIME(15,29,50)</f>
        <v>41550.64571759259</v>
      </c>
      <c r="C1423">
        <v>2400</v>
      </c>
      <c r="D1423">
        <v>0</v>
      </c>
      <c r="E1423">
        <v>0</v>
      </c>
      <c r="F1423">
        <v>2400</v>
      </c>
      <c r="G1423">
        <v>1362.9521483999999</v>
      </c>
      <c r="H1423">
        <v>1353.9609375</v>
      </c>
      <c r="I1423">
        <v>1310.9481201000001</v>
      </c>
      <c r="J1423">
        <v>1300.0686035000001</v>
      </c>
      <c r="K1423">
        <v>80</v>
      </c>
      <c r="L1423">
        <v>79.939476013000004</v>
      </c>
      <c r="M1423">
        <v>50</v>
      </c>
      <c r="N1423">
        <v>47.892215729</v>
      </c>
    </row>
    <row r="1424" spans="1:14" x14ac:dyDescent="0.25">
      <c r="A1424">
        <v>1254.344036</v>
      </c>
      <c r="B1424" s="1">
        <f>DATE(2013,10,6) + TIME(8,15,24)</f>
        <v>41553.344027777777</v>
      </c>
      <c r="C1424">
        <v>2400</v>
      </c>
      <c r="D1424">
        <v>0</v>
      </c>
      <c r="E1424">
        <v>0</v>
      </c>
      <c r="F1424">
        <v>2400</v>
      </c>
      <c r="G1424">
        <v>1362.9200439000001</v>
      </c>
      <c r="H1424">
        <v>1353.9359131000001</v>
      </c>
      <c r="I1424">
        <v>1310.9267577999999</v>
      </c>
      <c r="J1424">
        <v>1300.0350341999999</v>
      </c>
      <c r="K1424">
        <v>80</v>
      </c>
      <c r="L1424">
        <v>79.939521790000001</v>
      </c>
      <c r="M1424">
        <v>50</v>
      </c>
      <c r="N1424">
        <v>48.093093871999997</v>
      </c>
    </row>
    <row r="1425" spans="1:14" x14ac:dyDescent="0.25">
      <c r="A1425">
        <v>1257.0717990000001</v>
      </c>
      <c r="B1425" s="1">
        <f>DATE(2013,10,9) + TIME(1,43,23)</f>
        <v>41556.071793981479</v>
      </c>
      <c r="C1425">
        <v>2400</v>
      </c>
      <c r="D1425">
        <v>0</v>
      </c>
      <c r="E1425">
        <v>0</v>
      </c>
      <c r="F1425">
        <v>2400</v>
      </c>
      <c r="G1425">
        <v>1362.8875731999999</v>
      </c>
      <c r="H1425">
        <v>1353.9106445</v>
      </c>
      <c r="I1425">
        <v>1310.90625</v>
      </c>
      <c r="J1425">
        <v>1300.005249</v>
      </c>
      <c r="K1425">
        <v>80</v>
      </c>
      <c r="L1425">
        <v>79.939567565999994</v>
      </c>
      <c r="M1425">
        <v>50</v>
      </c>
      <c r="N1425">
        <v>48.313594817999999</v>
      </c>
    </row>
    <row r="1426" spans="1:14" x14ac:dyDescent="0.25">
      <c r="A1426">
        <v>1259.8363569999999</v>
      </c>
      <c r="B1426" s="1">
        <f>DATE(2013,10,11) + TIME(20,4,21)</f>
        <v>41558.836354166669</v>
      </c>
      <c r="C1426">
        <v>2400</v>
      </c>
      <c r="D1426">
        <v>0</v>
      </c>
      <c r="E1426">
        <v>0</v>
      </c>
      <c r="F1426">
        <v>2400</v>
      </c>
      <c r="G1426">
        <v>1362.8552245999999</v>
      </c>
      <c r="H1426">
        <v>1353.8852539</v>
      </c>
      <c r="I1426">
        <v>1310.8873291</v>
      </c>
      <c r="J1426">
        <v>1299.9793701000001</v>
      </c>
      <c r="K1426">
        <v>80</v>
      </c>
      <c r="L1426">
        <v>79.939605713000006</v>
      </c>
      <c r="M1426">
        <v>50</v>
      </c>
      <c r="N1426">
        <v>48.548488616999997</v>
      </c>
    </row>
    <row r="1427" spans="1:14" x14ac:dyDescent="0.25">
      <c r="A1427">
        <v>1262.6453690000001</v>
      </c>
      <c r="B1427" s="1">
        <f>DATE(2013,10,14) + TIME(15,29,19)</f>
        <v>41561.645358796297</v>
      </c>
      <c r="C1427">
        <v>2400</v>
      </c>
      <c r="D1427">
        <v>0</v>
      </c>
      <c r="E1427">
        <v>0</v>
      </c>
      <c r="F1427">
        <v>2400</v>
      </c>
      <c r="G1427">
        <v>1362.8227539</v>
      </c>
      <c r="H1427">
        <v>1353.8597411999999</v>
      </c>
      <c r="I1427">
        <v>1310.8703613</v>
      </c>
      <c r="J1427">
        <v>1299.9577637</v>
      </c>
      <c r="K1427">
        <v>80</v>
      </c>
      <c r="L1427">
        <v>79.939651488999999</v>
      </c>
      <c r="M1427">
        <v>50</v>
      </c>
      <c r="N1427">
        <v>48.795909881999997</v>
      </c>
    </row>
    <row r="1428" spans="1:14" x14ac:dyDescent="0.25">
      <c r="A1428">
        <v>1265.4861080000001</v>
      </c>
      <c r="B1428" s="1">
        <f>DATE(2013,10,17) + TIME(11,39,59)</f>
        <v>41564.48609953704</v>
      </c>
      <c r="C1428">
        <v>2400</v>
      </c>
      <c r="D1428">
        <v>0</v>
      </c>
      <c r="E1428">
        <v>0</v>
      </c>
      <c r="F1428">
        <v>2400</v>
      </c>
      <c r="G1428">
        <v>1362.7900391000001</v>
      </c>
      <c r="H1428">
        <v>1353.8342285000001</v>
      </c>
      <c r="I1428">
        <v>1310.8557129000001</v>
      </c>
      <c r="J1428">
        <v>1299.9406738</v>
      </c>
      <c r="K1428">
        <v>80</v>
      </c>
      <c r="L1428">
        <v>79.939697265999996</v>
      </c>
      <c r="M1428">
        <v>50</v>
      </c>
      <c r="N1428">
        <v>49.054576873999999</v>
      </c>
    </row>
    <row r="1429" spans="1:14" x14ac:dyDescent="0.25">
      <c r="A1429">
        <v>1268.345697</v>
      </c>
      <c r="B1429" s="1">
        <f>DATE(2013,10,20) + TIME(8,17,48)</f>
        <v>41567.345694444448</v>
      </c>
      <c r="C1429">
        <v>2400</v>
      </c>
      <c r="D1429">
        <v>0</v>
      </c>
      <c r="E1429">
        <v>0</v>
      </c>
      <c r="F1429">
        <v>2400</v>
      </c>
      <c r="G1429">
        <v>1362.7575684000001</v>
      </c>
      <c r="H1429">
        <v>1353.8087158000001</v>
      </c>
      <c r="I1429">
        <v>1310.8433838000001</v>
      </c>
      <c r="J1429">
        <v>1299.9281006000001</v>
      </c>
      <c r="K1429">
        <v>80</v>
      </c>
      <c r="L1429">
        <v>79.939743042000003</v>
      </c>
      <c r="M1429">
        <v>50</v>
      </c>
      <c r="N1429">
        <v>49.322685241999999</v>
      </c>
    </row>
    <row r="1430" spans="1:14" x14ac:dyDescent="0.25">
      <c r="A1430">
        <v>1271.2334000000001</v>
      </c>
      <c r="B1430" s="1">
        <f>DATE(2013,10,23) + TIME(5,36,5)</f>
        <v>41570.233391203707</v>
      </c>
      <c r="C1430">
        <v>2400</v>
      </c>
      <c r="D1430">
        <v>0</v>
      </c>
      <c r="E1430">
        <v>0</v>
      </c>
      <c r="F1430">
        <v>2400</v>
      </c>
      <c r="G1430">
        <v>1362.7250977000001</v>
      </c>
      <c r="H1430">
        <v>1353.7833252</v>
      </c>
      <c r="I1430">
        <v>1310.8334961</v>
      </c>
      <c r="J1430">
        <v>1299.9202881000001</v>
      </c>
      <c r="K1430">
        <v>80</v>
      </c>
      <c r="L1430">
        <v>79.939788817999997</v>
      </c>
      <c r="M1430">
        <v>50</v>
      </c>
      <c r="N1430">
        <v>49.598827362000002</v>
      </c>
    </row>
    <row r="1431" spans="1:14" x14ac:dyDescent="0.25">
      <c r="A1431">
        <v>1274.16497</v>
      </c>
      <c r="B1431" s="1">
        <f>DATE(2013,10,26) + TIME(3,57,33)</f>
        <v>41573.164965277778</v>
      </c>
      <c r="C1431">
        <v>2400</v>
      </c>
      <c r="D1431">
        <v>0</v>
      </c>
      <c r="E1431">
        <v>0</v>
      </c>
      <c r="F1431">
        <v>2400</v>
      </c>
      <c r="G1431">
        <v>1362.6928711</v>
      </c>
      <c r="H1431">
        <v>1353.7580565999999</v>
      </c>
      <c r="I1431">
        <v>1310.8261719</v>
      </c>
      <c r="J1431">
        <v>1299.9171143000001</v>
      </c>
      <c r="K1431">
        <v>80</v>
      </c>
      <c r="L1431">
        <v>79.939834594999994</v>
      </c>
      <c r="M1431">
        <v>50</v>
      </c>
      <c r="N1431">
        <v>49.882606506000002</v>
      </c>
    </row>
    <row r="1432" spans="1:14" x14ac:dyDescent="0.25">
      <c r="A1432">
        <v>1277.139979</v>
      </c>
      <c r="B1432" s="1">
        <f>DATE(2013,10,29) + TIME(3,21,34)</f>
        <v>41576.139976851853</v>
      </c>
      <c r="C1432">
        <v>2400</v>
      </c>
      <c r="D1432">
        <v>0</v>
      </c>
      <c r="E1432">
        <v>0</v>
      </c>
      <c r="F1432">
        <v>2400</v>
      </c>
      <c r="G1432">
        <v>1362.6605225000001</v>
      </c>
      <c r="H1432">
        <v>1353.7327881000001</v>
      </c>
      <c r="I1432">
        <v>1310.8212891000001</v>
      </c>
      <c r="J1432">
        <v>1299.9185791</v>
      </c>
      <c r="K1432">
        <v>80</v>
      </c>
      <c r="L1432">
        <v>79.939880371000001</v>
      </c>
      <c r="M1432">
        <v>50</v>
      </c>
      <c r="N1432">
        <v>50.173553466999998</v>
      </c>
    </row>
    <row r="1433" spans="1:14" x14ac:dyDescent="0.25">
      <c r="A1433">
        <v>1280</v>
      </c>
      <c r="B1433" s="1">
        <f>DATE(2013,11,1) + TIME(0,0,0)</f>
        <v>41579</v>
      </c>
      <c r="C1433">
        <v>2400</v>
      </c>
      <c r="D1433">
        <v>0</v>
      </c>
      <c r="E1433">
        <v>0</v>
      </c>
      <c r="F1433">
        <v>2400</v>
      </c>
      <c r="G1433">
        <v>1362.6280518000001</v>
      </c>
      <c r="H1433">
        <v>1353.7075195</v>
      </c>
      <c r="I1433">
        <v>1310.8199463000001</v>
      </c>
      <c r="J1433">
        <v>1299.9249268000001</v>
      </c>
      <c r="K1433">
        <v>80</v>
      </c>
      <c r="L1433">
        <v>79.939926146999994</v>
      </c>
      <c r="M1433">
        <v>50</v>
      </c>
      <c r="N1433">
        <v>50.465450287000003</v>
      </c>
    </row>
    <row r="1434" spans="1:14" x14ac:dyDescent="0.25">
      <c r="A1434">
        <v>1280.0000010000001</v>
      </c>
      <c r="B1434" s="1">
        <f>DATE(2013,11,1) + TIME(0,0,0)</f>
        <v>41579</v>
      </c>
      <c r="C1434">
        <v>0</v>
      </c>
      <c r="D1434">
        <v>2400</v>
      </c>
      <c r="E1434">
        <v>2400</v>
      </c>
      <c r="F1434">
        <v>0</v>
      </c>
      <c r="G1434">
        <v>1353.2716064000001</v>
      </c>
      <c r="H1434">
        <v>1349.5334473</v>
      </c>
      <c r="I1434">
        <v>1322.4954834</v>
      </c>
      <c r="J1434">
        <v>1311.3284911999999</v>
      </c>
      <c r="K1434">
        <v>80</v>
      </c>
      <c r="L1434">
        <v>79.939865112000007</v>
      </c>
      <c r="M1434">
        <v>50</v>
      </c>
      <c r="N1434">
        <v>50.465515136999997</v>
      </c>
    </row>
    <row r="1435" spans="1:14" x14ac:dyDescent="0.25">
      <c r="A1435">
        <v>1280.000004</v>
      </c>
      <c r="B1435" s="1">
        <f>DATE(2013,11,1) + TIME(0,0,0)</f>
        <v>41579</v>
      </c>
      <c r="C1435">
        <v>0</v>
      </c>
      <c r="D1435">
        <v>2400</v>
      </c>
      <c r="E1435">
        <v>2400</v>
      </c>
      <c r="F1435">
        <v>0</v>
      </c>
      <c r="G1435">
        <v>1352.1702881000001</v>
      </c>
      <c r="H1435">
        <v>1348.4318848</v>
      </c>
      <c r="I1435">
        <v>1323.7027588000001</v>
      </c>
      <c r="J1435">
        <v>1312.6783447</v>
      </c>
      <c r="K1435">
        <v>80</v>
      </c>
      <c r="L1435">
        <v>79.939704895000006</v>
      </c>
      <c r="M1435">
        <v>50</v>
      </c>
      <c r="N1435">
        <v>50.465686798</v>
      </c>
    </row>
    <row r="1436" spans="1:14" x14ac:dyDescent="0.25">
      <c r="A1436">
        <v>1280.0000130000001</v>
      </c>
      <c r="B1436" s="1">
        <f>DATE(2013,11,1) + TIME(0,0,1)</f>
        <v>41579.000011574077</v>
      </c>
      <c r="C1436">
        <v>0</v>
      </c>
      <c r="D1436">
        <v>2400</v>
      </c>
      <c r="E1436">
        <v>2400</v>
      </c>
      <c r="F1436">
        <v>0</v>
      </c>
      <c r="G1436">
        <v>1349.9471435999999</v>
      </c>
      <c r="H1436">
        <v>1346.208374</v>
      </c>
      <c r="I1436">
        <v>1326.4810791</v>
      </c>
      <c r="J1436">
        <v>1315.6810303</v>
      </c>
      <c r="K1436">
        <v>80</v>
      </c>
      <c r="L1436">
        <v>79.939392089999998</v>
      </c>
      <c r="M1436">
        <v>50</v>
      </c>
      <c r="N1436">
        <v>50.466068268000001</v>
      </c>
    </row>
    <row r="1437" spans="1:14" x14ac:dyDescent="0.25">
      <c r="A1437">
        <v>1280.0000399999999</v>
      </c>
      <c r="B1437" s="1">
        <f>DATE(2013,11,1) + TIME(0,0,3)</f>
        <v>41579.000034722223</v>
      </c>
      <c r="C1437">
        <v>0</v>
      </c>
      <c r="D1437">
        <v>2400</v>
      </c>
      <c r="E1437">
        <v>2400</v>
      </c>
      <c r="F1437">
        <v>0</v>
      </c>
      <c r="G1437">
        <v>1346.6988524999999</v>
      </c>
      <c r="H1437">
        <v>1342.9594727000001</v>
      </c>
      <c r="I1437">
        <v>1331.2963867000001</v>
      </c>
      <c r="J1437">
        <v>1320.6246338000001</v>
      </c>
      <c r="K1437">
        <v>80</v>
      </c>
      <c r="L1437">
        <v>79.938926696999999</v>
      </c>
      <c r="M1437">
        <v>50</v>
      </c>
      <c r="N1437">
        <v>50.466682433999999</v>
      </c>
    </row>
    <row r="1438" spans="1:14" x14ac:dyDescent="0.25">
      <c r="A1438">
        <v>1280.000121</v>
      </c>
      <c r="B1438" s="1">
        <f>DATE(2013,11,1) + TIME(0,0,10)</f>
        <v>41579.000115740739</v>
      </c>
      <c r="C1438">
        <v>0</v>
      </c>
      <c r="D1438">
        <v>2400</v>
      </c>
      <c r="E1438">
        <v>2400</v>
      </c>
      <c r="F1438">
        <v>0</v>
      </c>
      <c r="G1438">
        <v>1343.0780029</v>
      </c>
      <c r="H1438">
        <v>1339.3342285000001</v>
      </c>
      <c r="I1438">
        <v>1337.4097899999999</v>
      </c>
      <c r="J1438">
        <v>1326.7132568</v>
      </c>
      <c r="K1438">
        <v>80</v>
      </c>
      <c r="L1438">
        <v>79.938407897999994</v>
      </c>
      <c r="M1438">
        <v>50</v>
      </c>
      <c r="N1438">
        <v>50.467422485</v>
      </c>
    </row>
    <row r="1439" spans="1:14" x14ac:dyDescent="0.25">
      <c r="A1439">
        <v>1280.000364</v>
      </c>
      <c r="B1439" s="1">
        <f>DATE(2013,11,1) + TIME(0,0,31)</f>
        <v>41579.000358796293</v>
      </c>
      <c r="C1439">
        <v>0</v>
      </c>
      <c r="D1439">
        <v>2400</v>
      </c>
      <c r="E1439">
        <v>2400</v>
      </c>
      <c r="F1439">
        <v>0</v>
      </c>
      <c r="G1439">
        <v>1339.4016113</v>
      </c>
      <c r="H1439">
        <v>1335.6214600000001</v>
      </c>
      <c r="I1439">
        <v>1343.8662108999999</v>
      </c>
      <c r="J1439">
        <v>1333.1134033000001</v>
      </c>
      <c r="K1439">
        <v>80</v>
      </c>
      <c r="L1439">
        <v>79.937858582000004</v>
      </c>
      <c r="M1439">
        <v>50</v>
      </c>
      <c r="N1439">
        <v>50.468151093000003</v>
      </c>
    </row>
    <row r="1440" spans="1:14" x14ac:dyDescent="0.25">
      <c r="A1440">
        <v>1280.0010930000001</v>
      </c>
      <c r="B1440" s="1">
        <f>DATE(2013,11,1) + TIME(0,1,34)</f>
        <v>41579.001087962963</v>
      </c>
      <c r="C1440">
        <v>0</v>
      </c>
      <c r="D1440">
        <v>2400</v>
      </c>
      <c r="E1440">
        <v>2400</v>
      </c>
      <c r="F1440">
        <v>0</v>
      </c>
      <c r="G1440">
        <v>1335.5981445</v>
      </c>
      <c r="H1440">
        <v>1331.6661377</v>
      </c>
      <c r="I1440">
        <v>1350.4370117000001</v>
      </c>
      <c r="J1440">
        <v>1339.6132812000001</v>
      </c>
      <c r="K1440">
        <v>80</v>
      </c>
      <c r="L1440">
        <v>79.937232971</v>
      </c>
      <c r="M1440">
        <v>50</v>
      </c>
      <c r="N1440">
        <v>50.468723296999997</v>
      </c>
    </row>
    <row r="1441" spans="1:14" x14ac:dyDescent="0.25">
      <c r="A1441">
        <v>1280.0032799999999</v>
      </c>
      <c r="B1441" s="1">
        <f>DATE(2013,11,1) + TIME(0,4,43)</f>
        <v>41579.003275462965</v>
      </c>
      <c r="C1441">
        <v>0</v>
      </c>
      <c r="D1441">
        <v>2400</v>
      </c>
      <c r="E1441">
        <v>2400</v>
      </c>
      <c r="F1441">
        <v>0</v>
      </c>
      <c r="G1441">
        <v>1331.6928711</v>
      </c>
      <c r="H1441">
        <v>1327.4179687999999</v>
      </c>
      <c r="I1441">
        <v>1356.8798827999999</v>
      </c>
      <c r="J1441">
        <v>1345.9335937999999</v>
      </c>
      <c r="K1441">
        <v>80</v>
      </c>
      <c r="L1441">
        <v>79.936401367000002</v>
      </c>
      <c r="M1441">
        <v>50</v>
      </c>
      <c r="N1441">
        <v>50.468765259000001</v>
      </c>
    </row>
    <row r="1442" spans="1:14" x14ac:dyDescent="0.25">
      <c r="A1442">
        <v>1280.0098410000001</v>
      </c>
      <c r="B1442" s="1">
        <f>DATE(2013,11,1) + TIME(0,14,10)</f>
        <v>41579.009837962964</v>
      </c>
      <c r="C1442">
        <v>0</v>
      </c>
      <c r="D1442">
        <v>2400</v>
      </c>
      <c r="E1442">
        <v>2400</v>
      </c>
      <c r="F1442">
        <v>0</v>
      </c>
      <c r="G1442">
        <v>1328.1667480000001</v>
      </c>
      <c r="H1442">
        <v>1323.5133057</v>
      </c>
      <c r="I1442">
        <v>1362.2572021000001</v>
      </c>
      <c r="J1442">
        <v>1351.1719971</v>
      </c>
      <c r="K1442">
        <v>80</v>
      </c>
      <c r="L1442">
        <v>79.935043335000003</v>
      </c>
      <c r="M1442">
        <v>50</v>
      </c>
      <c r="N1442">
        <v>50.467140198000003</v>
      </c>
    </row>
    <row r="1443" spans="1:14" x14ac:dyDescent="0.25">
      <c r="A1443">
        <v>1280.029524</v>
      </c>
      <c r="B1443" s="1">
        <f>DATE(2013,11,1) + TIME(0,42,30)</f>
        <v>41579.029513888891</v>
      </c>
      <c r="C1443">
        <v>0</v>
      </c>
      <c r="D1443">
        <v>2400</v>
      </c>
      <c r="E1443">
        <v>2400</v>
      </c>
      <c r="F1443">
        <v>0</v>
      </c>
      <c r="G1443">
        <v>1325.6616211</v>
      </c>
      <c r="H1443">
        <v>1320.809082</v>
      </c>
      <c r="I1443">
        <v>1365.5675048999999</v>
      </c>
      <c r="J1443">
        <v>1354.3790283000001</v>
      </c>
      <c r="K1443">
        <v>80</v>
      </c>
      <c r="L1443">
        <v>79.932060242000006</v>
      </c>
      <c r="M1443">
        <v>50</v>
      </c>
      <c r="N1443">
        <v>50.460708617999998</v>
      </c>
    </row>
    <row r="1444" spans="1:14" x14ac:dyDescent="0.25">
      <c r="A1444">
        <v>1280.088573</v>
      </c>
      <c r="B1444" s="1">
        <f>DATE(2013,11,1) + TIME(2,7,32)</f>
        <v>41579.088564814818</v>
      </c>
      <c r="C1444">
        <v>0</v>
      </c>
      <c r="D1444">
        <v>2400</v>
      </c>
      <c r="E1444">
        <v>2400</v>
      </c>
      <c r="F1444">
        <v>0</v>
      </c>
      <c r="G1444">
        <v>1324.4533690999999</v>
      </c>
      <c r="H1444">
        <v>1319.5452881000001</v>
      </c>
      <c r="I1444">
        <v>1366.7725829999999</v>
      </c>
      <c r="J1444">
        <v>1355.5404053</v>
      </c>
      <c r="K1444">
        <v>80</v>
      </c>
      <c r="L1444">
        <v>79.924125670999999</v>
      </c>
      <c r="M1444">
        <v>50</v>
      </c>
      <c r="N1444">
        <v>50.441059113000001</v>
      </c>
    </row>
    <row r="1445" spans="1:14" x14ac:dyDescent="0.25">
      <c r="A1445">
        <v>1280.1937109999999</v>
      </c>
      <c r="B1445" s="1">
        <f>DATE(2013,11,1) + TIME(4,38,56)</f>
        <v>41579.193703703706</v>
      </c>
      <c r="C1445">
        <v>0</v>
      </c>
      <c r="D1445">
        <v>2400</v>
      </c>
      <c r="E1445">
        <v>2400</v>
      </c>
      <c r="F1445">
        <v>0</v>
      </c>
      <c r="G1445">
        <v>1324.1557617000001</v>
      </c>
      <c r="H1445">
        <v>1319.2404785000001</v>
      </c>
      <c r="I1445">
        <v>1366.8701172000001</v>
      </c>
      <c r="J1445">
        <v>1355.6461182</v>
      </c>
      <c r="K1445">
        <v>80</v>
      </c>
      <c r="L1445">
        <v>79.910636901999993</v>
      </c>
      <c r="M1445">
        <v>50</v>
      </c>
      <c r="N1445">
        <v>50.408195495999998</v>
      </c>
    </row>
    <row r="1446" spans="1:14" x14ac:dyDescent="0.25">
      <c r="A1446">
        <v>1280.303138</v>
      </c>
      <c r="B1446" s="1">
        <f>DATE(2013,11,1) + TIME(7,16,31)</f>
        <v>41579.303136574075</v>
      </c>
      <c r="C1446">
        <v>0</v>
      </c>
      <c r="D1446">
        <v>2400</v>
      </c>
      <c r="E1446">
        <v>2400</v>
      </c>
      <c r="F1446">
        <v>0</v>
      </c>
      <c r="G1446">
        <v>1324.1008300999999</v>
      </c>
      <c r="H1446">
        <v>1319.1855469</v>
      </c>
      <c r="I1446">
        <v>1366.7935791</v>
      </c>
      <c r="J1446">
        <v>1355.5864257999999</v>
      </c>
      <c r="K1446">
        <v>80</v>
      </c>
      <c r="L1446">
        <v>79.896835327000005</v>
      </c>
      <c r="M1446">
        <v>50</v>
      </c>
      <c r="N1446">
        <v>50.376426696999999</v>
      </c>
    </row>
    <row r="1447" spans="1:14" x14ac:dyDescent="0.25">
      <c r="A1447">
        <v>1280.417211</v>
      </c>
      <c r="B1447" s="1">
        <f>DATE(2013,11,1) + TIME(10,0,47)</f>
        <v>41579.417210648149</v>
      </c>
      <c r="C1447">
        <v>0</v>
      </c>
      <c r="D1447">
        <v>2400</v>
      </c>
      <c r="E1447">
        <v>2400</v>
      </c>
      <c r="F1447">
        <v>0</v>
      </c>
      <c r="G1447">
        <v>1324.0860596</v>
      </c>
      <c r="H1447">
        <v>1319.1717529</v>
      </c>
      <c r="I1447">
        <v>1366.7070312000001</v>
      </c>
      <c r="J1447">
        <v>1355.5177002</v>
      </c>
      <c r="K1447">
        <v>80</v>
      </c>
      <c r="L1447">
        <v>79.882659911999994</v>
      </c>
      <c r="M1447">
        <v>50</v>
      </c>
      <c r="N1447">
        <v>50.345771790000001</v>
      </c>
    </row>
    <row r="1448" spans="1:14" x14ac:dyDescent="0.25">
      <c r="A1448">
        <v>1280.5363669999999</v>
      </c>
      <c r="B1448" s="1">
        <f>DATE(2013,11,1) + TIME(12,52,22)</f>
        <v>41579.536365740743</v>
      </c>
      <c r="C1448">
        <v>0</v>
      </c>
      <c r="D1448">
        <v>2400</v>
      </c>
      <c r="E1448">
        <v>2400</v>
      </c>
      <c r="F1448">
        <v>0</v>
      </c>
      <c r="G1448">
        <v>1324.0788574000001</v>
      </c>
      <c r="H1448">
        <v>1319.1655272999999</v>
      </c>
      <c r="I1448">
        <v>1366.6245117000001</v>
      </c>
      <c r="J1448">
        <v>1355.4525146000001</v>
      </c>
      <c r="K1448">
        <v>80</v>
      </c>
      <c r="L1448">
        <v>79.868080139</v>
      </c>
      <c r="M1448">
        <v>50</v>
      </c>
      <c r="N1448">
        <v>50.316223145000002</v>
      </c>
    </row>
    <row r="1449" spans="1:14" x14ac:dyDescent="0.25">
      <c r="A1449">
        <v>1280.661163</v>
      </c>
      <c r="B1449" s="1">
        <f>DATE(2013,11,1) + TIME(15,52,4)</f>
        <v>41579.661157407405</v>
      </c>
      <c r="C1449">
        <v>0</v>
      </c>
      <c r="D1449">
        <v>2400</v>
      </c>
      <c r="E1449">
        <v>2400</v>
      </c>
      <c r="F1449">
        <v>0</v>
      </c>
      <c r="G1449">
        <v>1324.0731201000001</v>
      </c>
      <c r="H1449">
        <v>1319.1607666</v>
      </c>
      <c r="I1449">
        <v>1366.5457764</v>
      </c>
      <c r="J1449">
        <v>1355.390625</v>
      </c>
      <c r="K1449">
        <v>80</v>
      </c>
      <c r="L1449">
        <v>79.853034973000007</v>
      </c>
      <c r="M1449">
        <v>50</v>
      </c>
      <c r="N1449">
        <v>50.287761688000003</v>
      </c>
    </row>
    <row r="1450" spans="1:14" x14ac:dyDescent="0.25">
      <c r="A1450">
        <v>1280.7922430000001</v>
      </c>
      <c r="B1450" s="1">
        <f>DATE(2013,11,1) + TIME(19,0,49)</f>
        <v>41579.792233796295</v>
      </c>
      <c r="C1450">
        <v>0</v>
      </c>
      <c r="D1450">
        <v>2400</v>
      </c>
      <c r="E1450">
        <v>2400</v>
      </c>
      <c r="F1450">
        <v>0</v>
      </c>
      <c r="G1450">
        <v>1324.067749</v>
      </c>
      <c r="H1450">
        <v>1319.1561279</v>
      </c>
      <c r="I1450">
        <v>1366.4700928</v>
      </c>
      <c r="J1450">
        <v>1355.3312988</v>
      </c>
      <c r="K1450">
        <v>80</v>
      </c>
      <c r="L1450">
        <v>79.837471007999994</v>
      </c>
      <c r="M1450">
        <v>50</v>
      </c>
      <c r="N1450">
        <v>50.260372162000003</v>
      </c>
    </row>
    <row r="1451" spans="1:14" x14ac:dyDescent="0.25">
      <c r="A1451">
        <v>1280.9303480000001</v>
      </c>
      <c r="B1451" s="1">
        <f>DATE(2013,11,1) + TIME(22,19,42)</f>
        <v>41579.930347222224</v>
      </c>
      <c r="C1451">
        <v>0</v>
      </c>
      <c r="D1451">
        <v>2400</v>
      </c>
      <c r="E1451">
        <v>2400</v>
      </c>
      <c r="F1451">
        <v>0</v>
      </c>
      <c r="G1451">
        <v>1324.0621338000001</v>
      </c>
      <c r="H1451">
        <v>1319.1512451000001</v>
      </c>
      <c r="I1451">
        <v>1366.3973389</v>
      </c>
      <c r="J1451">
        <v>1355.2742920000001</v>
      </c>
      <c r="K1451">
        <v>80</v>
      </c>
      <c r="L1451">
        <v>79.821334839000002</v>
      </c>
      <c r="M1451">
        <v>50</v>
      </c>
      <c r="N1451">
        <v>50.234043120999999</v>
      </c>
    </row>
    <row r="1452" spans="1:14" x14ac:dyDescent="0.25">
      <c r="A1452">
        <v>1281.07635</v>
      </c>
      <c r="B1452" s="1">
        <f>DATE(2013,11,2) + TIME(1,49,56)</f>
        <v>41580.076342592591</v>
      </c>
      <c r="C1452">
        <v>0</v>
      </c>
      <c r="D1452">
        <v>2400</v>
      </c>
      <c r="E1452">
        <v>2400</v>
      </c>
      <c r="F1452">
        <v>0</v>
      </c>
      <c r="G1452">
        <v>1324.0565185999999</v>
      </c>
      <c r="H1452">
        <v>1319.1461182</v>
      </c>
      <c r="I1452">
        <v>1366.3270264</v>
      </c>
      <c r="J1452">
        <v>1355.2192382999999</v>
      </c>
      <c r="K1452">
        <v>80</v>
      </c>
      <c r="L1452">
        <v>79.804542541999993</v>
      </c>
      <c r="M1452">
        <v>50</v>
      </c>
      <c r="N1452">
        <v>50.208766937</v>
      </c>
    </row>
    <row r="1453" spans="1:14" x14ac:dyDescent="0.25">
      <c r="A1453">
        <v>1281.2312770000001</v>
      </c>
      <c r="B1453" s="1">
        <f>DATE(2013,11,2) + TIME(5,33,2)</f>
        <v>41580.231273148151</v>
      </c>
      <c r="C1453">
        <v>0</v>
      </c>
      <c r="D1453">
        <v>2400</v>
      </c>
      <c r="E1453">
        <v>2400</v>
      </c>
      <c r="F1453">
        <v>0</v>
      </c>
      <c r="G1453">
        <v>1324.0505370999999</v>
      </c>
      <c r="H1453">
        <v>1319.1407471</v>
      </c>
      <c r="I1453">
        <v>1366.2592772999999</v>
      </c>
      <c r="J1453">
        <v>1355.1663818</v>
      </c>
      <c r="K1453">
        <v>80</v>
      </c>
      <c r="L1453">
        <v>79.787017821999996</v>
      </c>
      <c r="M1453">
        <v>50</v>
      </c>
      <c r="N1453">
        <v>50.184539794999999</v>
      </c>
    </row>
    <row r="1454" spans="1:14" x14ac:dyDescent="0.25">
      <c r="A1454">
        <v>1281.3963630000001</v>
      </c>
      <c r="B1454" s="1">
        <f>DATE(2013,11,2) + TIME(9,30,45)</f>
        <v>41580.396354166667</v>
      </c>
      <c r="C1454">
        <v>0</v>
      </c>
      <c r="D1454">
        <v>2400</v>
      </c>
      <c r="E1454">
        <v>2400</v>
      </c>
      <c r="F1454">
        <v>0</v>
      </c>
      <c r="G1454">
        <v>1324.0444336</v>
      </c>
      <c r="H1454">
        <v>1319.1348877</v>
      </c>
      <c r="I1454">
        <v>1366.1937256000001</v>
      </c>
      <c r="J1454">
        <v>1355.1153564000001</v>
      </c>
      <c r="K1454">
        <v>80</v>
      </c>
      <c r="L1454">
        <v>79.768653869999994</v>
      </c>
      <c r="M1454">
        <v>50</v>
      </c>
      <c r="N1454">
        <v>50.161357879999997</v>
      </c>
    </row>
    <row r="1455" spans="1:14" x14ac:dyDescent="0.25">
      <c r="A1455">
        <v>1281.573097</v>
      </c>
      <c r="B1455" s="1">
        <f>DATE(2013,11,2) + TIME(13,45,15)</f>
        <v>41580.57309027778</v>
      </c>
      <c r="C1455">
        <v>0</v>
      </c>
      <c r="D1455">
        <v>2400</v>
      </c>
      <c r="E1455">
        <v>2400</v>
      </c>
      <c r="F1455">
        <v>0</v>
      </c>
      <c r="G1455">
        <v>1324.0379639</v>
      </c>
      <c r="H1455">
        <v>1319.1286620999999</v>
      </c>
      <c r="I1455">
        <v>1366.130249</v>
      </c>
      <c r="J1455">
        <v>1355.0660399999999</v>
      </c>
      <c r="K1455">
        <v>80</v>
      </c>
      <c r="L1455">
        <v>79.749336243000002</v>
      </c>
      <c r="M1455">
        <v>50</v>
      </c>
      <c r="N1455">
        <v>50.139228821000003</v>
      </c>
    </row>
    <row r="1456" spans="1:14" x14ac:dyDescent="0.25">
      <c r="A1456">
        <v>1281.7633020000001</v>
      </c>
      <c r="B1456" s="1">
        <f>DATE(2013,11,2) + TIME(18,19,9)</f>
        <v>41580.763298611113</v>
      </c>
      <c r="C1456">
        <v>0</v>
      </c>
      <c r="D1456">
        <v>2400</v>
      </c>
      <c r="E1456">
        <v>2400</v>
      </c>
      <c r="F1456">
        <v>0</v>
      </c>
      <c r="G1456">
        <v>1324.03125</v>
      </c>
      <c r="H1456">
        <v>1319.1219481999999</v>
      </c>
      <c r="I1456">
        <v>1366.0688477000001</v>
      </c>
      <c r="J1456">
        <v>1355.0183105000001</v>
      </c>
      <c r="K1456">
        <v>80</v>
      </c>
      <c r="L1456">
        <v>79.728919982999997</v>
      </c>
      <c r="M1456">
        <v>50</v>
      </c>
      <c r="N1456">
        <v>50.118156433000003</v>
      </c>
    </row>
    <row r="1457" spans="1:14" x14ac:dyDescent="0.25">
      <c r="A1457">
        <v>1281.969243</v>
      </c>
      <c r="B1457" s="1">
        <f>DATE(2013,11,2) + TIME(23,15,42)</f>
        <v>41580.969236111108</v>
      </c>
      <c r="C1457">
        <v>0</v>
      </c>
      <c r="D1457">
        <v>2400</v>
      </c>
      <c r="E1457">
        <v>2400</v>
      </c>
      <c r="F1457">
        <v>0</v>
      </c>
      <c r="G1457">
        <v>1324.0240478999999</v>
      </c>
      <c r="H1457">
        <v>1319.1147461</v>
      </c>
      <c r="I1457">
        <v>1366.0091553</v>
      </c>
      <c r="J1457">
        <v>1354.9722899999999</v>
      </c>
      <c r="K1457">
        <v>80</v>
      </c>
      <c r="L1457">
        <v>79.707229613999999</v>
      </c>
      <c r="M1457">
        <v>50</v>
      </c>
      <c r="N1457">
        <v>50.098155974999997</v>
      </c>
    </row>
    <row r="1458" spans="1:14" x14ac:dyDescent="0.25">
      <c r="A1458">
        <v>1282.1937720000001</v>
      </c>
      <c r="B1458" s="1">
        <f>DATE(2013,11,3) + TIME(4,39,1)</f>
        <v>41581.193761574075</v>
      </c>
      <c r="C1458">
        <v>0</v>
      </c>
      <c r="D1458">
        <v>2400</v>
      </c>
      <c r="E1458">
        <v>2400</v>
      </c>
      <c r="F1458">
        <v>0</v>
      </c>
      <c r="G1458">
        <v>1324.0163574000001</v>
      </c>
      <c r="H1458">
        <v>1319.1068115</v>
      </c>
      <c r="I1458">
        <v>1365.9511719</v>
      </c>
      <c r="J1458">
        <v>1354.9276123</v>
      </c>
      <c r="K1458">
        <v>80</v>
      </c>
      <c r="L1458">
        <v>79.684036254999995</v>
      </c>
      <c r="M1458">
        <v>50</v>
      </c>
      <c r="N1458">
        <v>50.079242706000002</v>
      </c>
    </row>
    <row r="1459" spans="1:14" x14ac:dyDescent="0.25">
      <c r="A1459">
        <v>1282.440499</v>
      </c>
      <c r="B1459" s="1">
        <f>DATE(2013,11,3) + TIME(10,34,19)</f>
        <v>41581.440497685187</v>
      </c>
      <c r="C1459">
        <v>0</v>
      </c>
      <c r="D1459">
        <v>2400</v>
      </c>
      <c r="E1459">
        <v>2400</v>
      </c>
      <c r="F1459">
        <v>0</v>
      </c>
      <c r="G1459">
        <v>1324.0080565999999</v>
      </c>
      <c r="H1459">
        <v>1319.0980225000001</v>
      </c>
      <c r="I1459">
        <v>1365.8947754000001</v>
      </c>
      <c r="J1459">
        <v>1354.8841553</v>
      </c>
      <c r="K1459">
        <v>80</v>
      </c>
      <c r="L1459">
        <v>79.659080505000006</v>
      </c>
      <c r="M1459">
        <v>50</v>
      </c>
      <c r="N1459">
        <v>50.061450958000002</v>
      </c>
    </row>
    <row r="1460" spans="1:14" x14ac:dyDescent="0.25">
      <c r="A1460">
        <v>1282.714273</v>
      </c>
      <c r="B1460" s="1">
        <f>DATE(2013,11,3) + TIME(17,8,33)</f>
        <v>41581.714270833334</v>
      </c>
      <c r="C1460">
        <v>0</v>
      </c>
      <c r="D1460">
        <v>2400</v>
      </c>
      <c r="E1460">
        <v>2400</v>
      </c>
      <c r="F1460">
        <v>0</v>
      </c>
      <c r="G1460">
        <v>1323.9990233999999</v>
      </c>
      <c r="H1460">
        <v>1319.0883789</v>
      </c>
      <c r="I1460">
        <v>1365.8395995999999</v>
      </c>
      <c r="J1460">
        <v>1354.8419189000001</v>
      </c>
      <c r="K1460">
        <v>80</v>
      </c>
      <c r="L1460">
        <v>79.631996154999996</v>
      </c>
      <c r="M1460">
        <v>50</v>
      </c>
      <c r="N1460">
        <v>50.044799804999997</v>
      </c>
    </row>
    <row r="1461" spans="1:14" x14ac:dyDescent="0.25">
      <c r="A1461">
        <v>1283.021553</v>
      </c>
      <c r="B1461" s="1">
        <f>DATE(2013,11,4) + TIME(0,31,2)</f>
        <v>41582.021550925929</v>
      </c>
      <c r="C1461">
        <v>0</v>
      </c>
      <c r="D1461">
        <v>2400</v>
      </c>
      <c r="E1461">
        <v>2400</v>
      </c>
      <c r="F1461">
        <v>0</v>
      </c>
      <c r="G1461">
        <v>1323.9891356999999</v>
      </c>
      <c r="H1461">
        <v>1319.0776367000001</v>
      </c>
      <c r="I1461">
        <v>1365.7855225000001</v>
      </c>
      <c r="J1461">
        <v>1354.8007812000001</v>
      </c>
      <c r="K1461">
        <v>80</v>
      </c>
      <c r="L1461">
        <v>79.602310181000007</v>
      </c>
      <c r="M1461">
        <v>50</v>
      </c>
      <c r="N1461">
        <v>50.029331206999998</v>
      </c>
    </row>
    <row r="1462" spans="1:14" x14ac:dyDescent="0.25">
      <c r="A1462">
        <v>1283.3712820000001</v>
      </c>
      <c r="B1462" s="1">
        <f>DATE(2013,11,4) + TIME(8,54,38)</f>
        <v>41582.37127314815</v>
      </c>
      <c r="C1462">
        <v>0</v>
      </c>
      <c r="D1462">
        <v>2400</v>
      </c>
      <c r="E1462">
        <v>2400</v>
      </c>
      <c r="F1462">
        <v>0</v>
      </c>
      <c r="G1462">
        <v>1323.9780272999999</v>
      </c>
      <c r="H1462">
        <v>1319.0653076000001</v>
      </c>
      <c r="I1462">
        <v>1365.7324219</v>
      </c>
      <c r="J1462">
        <v>1354.760376</v>
      </c>
      <c r="K1462">
        <v>80</v>
      </c>
      <c r="L1462">
        <v>79.569396972999996</v>
      </c>
      <c r="M1462">
        <v>50</v>
      </c>
      <c r="N1462">
        <v>50.015094757</v>
      </c>
    </row>
    <row r="1463" spans="1:14" x14ac:dyDescent="0.25">
      <c r="A1463">
        <v>1283.7762829999999</v>
      </c>
      <c r="B1463" s="1">
        <f>DATE(2013,11,4) + TIME(18,37,50)</f>
        <v>41582.776273148149</v>
      </c>
      <c r="C1463">
        <v>0</v>
      </c>
      <c r="D1463">
        <v>2400</v>
      </c>
      <c r="E1463">
        <v>2400</v>
      </c>
      <c r="F1463">
        <v>0</v>
      </c>
      <c r="G1463">
        <v>1323.9655762</v>
      </c>
      <c r="H1463">
        <v>1319.0512695</v>
      </c>
      <c r="I1463">
        <v>1365.6798096</v>
      </c>
      <c r="J1463">
        <v>1354.7207031</v>
      </c>
      <c r="K1463">
        <v>80</v>
      </c>
      <c r="L1463">
        <v>79.532386779999996</v>
      </c>
      <c r="M1463">
        <v>50</v>
      </c>
      <c r="N1463">
        <v>50.002147675000003</v>
      </c>
    </row>
    <row r="1464" spans="1:14" x14ac:dyDescent="0.25">
      <c r="A1464">
        <v>1284.21326</v>
      </c>
      <c r="B1464" s="1">
        <f>DATE(2013,11,5) + TIME(5,7,5)</f>
        <v>41583.213252314818</v>
      </c>
      <c r="C1464">
        <v>0</v>
      </c>
      <c r="D1464">
        <v>2400</v>
      </c>
      <c r="E1464">
        <v>2400</v>
      </c>
      <c r="F1464">
        <v>0</v>
      </c>
      <c r="G1464">
        <v>1323.9511719</v>
      </c>
      <c r="H1464">
        <v>1319.0349120999999</v>
      </c>
      <c r="I1464">
        <v>1365.6314697</v>
      </c>
      <c r="J1464">
        <v>1354.6842041</v>
      </c>
      <c r="K1464">
        <v>80</v>
      </c>
      <c r="L1464">
        <v>79.493125915999997</v>
      </c>
      <c r="M1464">
        <v>50</v>
      </c>
      <c r="N1464">
        <v>49.991352081000002</v>
      </c>
    </row>
    <row r="1465" spans="1:14" x14ac:dyDescent="0.25">
      <c r="A1465">
        <v>1284.6547740000001</v>
      </c>
      <c r="B1465" s="1">
        <f>DATE(2013,11,5) + TIME(15,42,52)</f>
        <v>41583.654768518521</v>
      </c>
      <c r="C1465">
        <v>0</v>
      </c>
      <c r="D1465">
        <v>2400</v>
      </c>
      <c r="E1465">
        <v>2400</v>
      </c>
      <c r="F1465">
        <v>0</v>
      </c>
      <c r="G1465">
        <v>1323.9356689000001</v>
      </c>
      <c r="H1465">
        <v>1319.0170897999999</v>
      </c>
      <c r="I1465">
        <v>1365.5887451000001</v>
      </c>
      <c r="J1465">
        <v>1354.6522216999999</v>
      </c>
      <c r="K1465">
        <v>80</v>
      </c>
      <c r="L1465">
        <v>79.453643799000005</v>
      </c>
      <c r="M1465">
        <v>50</v>
      </c>
      <c r="N1465">
        <v>49.982948303000001</v>
      </c>
    </row>
    <row r="1466" spans="1:14" x14ac:dyDescent="0.25">
      <c r="A1466">
        <v>1285.1072509999999</v>
      </c>
      <c r="B1466" s="1">
        <f>DATE(2013,11,6) + TIME(2,34,26)</f>
        <v>41584.107245370367</v>
      </c>
      <c r="C1466">
        <v>0</v>
      </c>
      <c r="D1466">
        <v>2400</v>
      </c>
      <c r="E1466">
        <v>2400</v>
      </c>
      <c r="F1466">
        <v>0</v>
      </c>
      <c r="G1466">
        <v>1323.9199219</v>
      </c>
      <c r="H1466">
        <v>1318.9986572</v>
      </c>
      <c r="I1466">
        <v>1365.5501709</v>
      </c>
      <c r="J1466">
        <v>1354.6232910000001</v>
      </c>
      <c r="K1466">
        <v>80</v>
      </c>
      <c r="L1466">
        <v>79.413490295000003</v>
      </c>
      <c r="M1466">
        <v>50</v>
      </c>
      <c r="N1466">
        <v>49.976348877</v>
      </c>
    </row>
    <row r="1467" spans="1:14" x14ac:dyDescent="0.25">
      <c r="A1467">
        <v>1285.5743620000001</v>
      </c>
      <c r="B1467" s="1">
        <f>DATE(2013,11,6) + TIME(13,47,4)</f>
        <v>41584.57435185185</v>
      </c>
      <c r="C1467">
        <v>0</v>
      </c>
      <c r="D1467">
        <v>2400</v>
      </c>
      <c r="E1467">
        <v>2400</v>
      </c>
      <c r="F1467">
        <v>0</v>
      </c>
      <c r="G1467">
        <v>1323.9035644999999</v>
      </c>
      <c r="H1467">
        <v>1318.9794922000001</v>
      </c>
      <c r="I1467">
        <v>1365.5146483999999</v>
      </c>
      <c r="J1467">
        <v>1354.5968018000001</v>
      </c>
      <c r="K1467">
        <v>80</v>
      </c>
      <c r="L1467">
        <v>79.372413635000001</v>
      </c>
      <c r="M1467">
        <v>50</v>
      </c>
      <c r="N1467">
        <v>49.971164702999999</v>
      </c>
    </row>
    <row r="1468" spans="1:14" x14ac:dyDescent="0.25">
      <c r="A1468">
        <v>1286.0601380000001</v>
      </c>
      <c r="B1468" s="1">
        <f>DATE(2013,11,7) + TIME(1,26,35)</f>
        <v>41585.060127314813</v>
      </c>
      <c r="C1468">
        <v>0</v>
      </c>
      <c r="D1468">
        <v>2400</v>
      </c>
      <c r="E1468">
        <v>2400</v>
      </c>
      <c r="F1468">
        <v>0</v>
      </c>
      <c r="G1468">
        <v>1323.8865966999999</v>
      </c>
      <c r="H1468">
        <v>1318.9594727000001</v>
      </c>
      <c r="I1468">
        <v>1365.4815673999999</v>
      </c>
      <c r="J1468">
        <v>1354.5722656</v>
      </c>
      <c r="K1468">
        <v>80</v>
      </c>
      <c r="L1468">
        <v>79.330146790000001</v>
      </c>
      <c r="M1468">
        <v>50</v>
      </c>
      <c r="N1468">
        <v>49.96710968</v>
      </c>
    </row>
    <row r="1469" spans="1:14" x14ac:dyDescent="0.25">
      <c r="A1469">
        <v>1286.5689620000001</v>
      </c>
      <c r="B1469" s="1">
        <f>DATE(2013,11,7) + TIME(13,39,18)</f>
        <v>41585.568958333337</v>
      </c>
      <c r="C1469">
        <v>0</v>
      </c>
      <c r="D1469">
        <v>2400</v>
      </c>
      <c r="E1469">
        <v>2400</v>
      </c>
      <c r="F1469">
        <v>0</v>
      </c>
      <c r="G1469">
        <v>1323.8687743999999</v>
      </c>
      <c r="H1469">
        <v>1318.9381103999999</v>
      </c>
      <c r="I1469">
        <v>1365.4505615</v>
      </c>
      <c r="J1469">
        <v>1354.5491943</v>
      </c>
      <c r="K1469">
        <v>80</v>
      </c>
      <c r="L1469">
        <v>79.286392211999996</v>
      </c>
      <c r="M1469">
        <v>50</v>
      </c>
      <c r="N1469">
        <v>49.963947296000001</v>
      </c>
    </row>
    <row r="1470" spans="1:14" x14ac:dyDescent="0.25">
      <c r="A1470">
        <v>1287.1058330000001</v>
      </c>
      <c r="B1470" s="1">
        <f>DATE(2013,11,8) + TIME(2,32,24)</f>
        <v>41586.105833333335</v>
      </c>
      <c r="C1470">
        <v>0</v>
      </c>
      <c r="D1470">
        <v>2400</v>
      </c>
      <c r="E1470">
        <v>2400</v>
      </c>
      <c r="F1470">
        <v>0</v>
      </c>
      <c r="G1470">
        <v>1323.8499756000001</v>
      </c>
      <c r="H1470">
        <v>1318.9155272999999</v>
      </c>
      <c r="I1470">
        <v>1365.4210204999999</v>
      </c>
      <c r="J1470">
        <v>1354.5272216999999</v>
      </c>
      <c r="K1470">
        <v>80</v>
      </c>
      <c r="L1470">
        <v>79.240821838000002</v>
      </c>
      <c r="M1470">
        <v>50</v>
      </c>
      <c r="N1470">
        <v>49.961505889999998</v>
      </c>
    </row>
    <row r="1471" spans="1:14" x14ac:dyDescent="0.25">
      <c r="A1471">
        <v>1287.676639</v>
      </c>
      <c r="B1471" s="1">
        <f>DATE(2013,11,8) + TIME(16,14,21)</f>
        <v>41586.676631944443</v>
      </c>
      <c r="C1471">
        <v>0</v>
      </c>
      <c r="D1471">
        <v>2400</v>
      </c>
      <c r="E1471">
        <v>2400</v>
      </c>
      <c r="F1471">
        <v>0</v>
      </c>
      <c r="G1471">
        <v>1323.8298339999999</v>
      </c>
      <c r="H1471">
        <v>1318.8912353999999</v>
      </c>
      <c r="I1471">
        <v>1365.3927002</v>
      </c>
      <c r="J1471">
        <v>1354.5061035000001</v>
      </c>
      <c r="K1471">
        <v>80</v>
      </c>
      <c r="L1471">
        <v>79.193046570000007</v>
      </c>
      <c r="M1471">
        <v>50</v>
      </c>
      <c r="N1471">
        <v>49.959636688000003</v>
      </c>
    </row>
    <row r="1472" spans="1:14" x14ac:dyDescent="0.25">
      <c r="A1472">
        <v>1288.2722040000001</v>
      </c>
      <c r="B1472" s="1">
        <f>DATE(2013,11,9) + TIME(6,31,58)</f>
        <v>41587.272199074076</v>
      </c>
      <c r="C1472">
        <v>0</v>
      </c>
      <c r="D1472">
        <v>2400</v>
      </c>
      <c r="E1472">
        <v>2400</v>
      </c>
      <c r="F1472">
        <v>0</v>
      </c>
      <c r="G1472">
        <v>1323.8082274999999</v>
      </c>
      <c r="H1472">
        <v>1318.8651123</v>
      </c>
      <c r="I1472">
        <v>1365.3652344</v>
      </c>
      <c r="J1472">
        <v>1354.4857178</v>
      </c>
      <c r="K1472">
        <v>80</v>
      </c>
      <c r="L1472">
        <v>79.143669127999999</v>
      </c>
      <c r="M1472">
        <v>50</v>
      </c>
      <c r="N1472">
        <v>49.958255768000001</v>
      </c>
    </row>
    <row r="1473" spans="1:14" x14ac:dyDescent="0.25">
      <c r="A1473">
        <v>1288.8860560000001</v>
      </c>
      <c r="B1473" s="1">
        <f>DATE(2013,11,9) + TIME(21,15,55)</f>
        <v>41587.886053240742</v>
      </c>
      <c r="C1473">
        <v>0</v>
      </c>
      <c r="D1473">
        <v>2400</v>
      </c>
      <c r="E1473">
        <v>2400</v>
      </c>
      <c r="F1473">
        <v>0</v>
      </c>
      <c r="G1473">
        <v>1323.7855225000001</v>
      </c>
      <c r="H1473">
        <v>1318.8374022999999</v>
      </c>
      <c r="I1473">
        <v>1365.3391113</v>
      </c>
      <c r="J1473">
        <v>1354.4661865</v>
      </c>
      <c r="K1473">
        <v>80</v>
      </c>
      <c r="L1473">
        <v>79.093116760000001</v>
      </c>
      <c r="M1473">
        <v>50</v>
      </c>
      <c r="N1473">
        <v>49.957256317000002</v>
      </c>
    </row>
    <row r="1474" spans="1:14" x14ac:dyDescent="0.25">
      <c r="A1474">
        <v>1289.5167300000001</v>
      </c>
      <c r="B1474" s="1">
        <f>DATE(2013,11,10) + TIME(12,24,5)</f>
        <v>41588.516724537039</v>
      </c>
      <c r="C1474">
        <v>0</v>
      </c>
      <c r="D1474">
        <v>2400</v>
      </c>
      <c r="E1474">
        <v>2400</v>
      </c>
      <c r="F1474">
        <v>0</v>
      </c>
      <c r="G1474">
        <v>1323.7617187999999</v>
      </c>
      <c r="H1474">
        <v>1318.8083495999999</v>
      </c>
      <c r="I1474">
        <v>1365.3142089999999</v>
      </c>
      <c r="J1474">
        <v>1354.4473877</v>
      </c>
      <c r="K1474">
        <v>80</v>
      </c>
      <c r="L1474">
        <v>79.041519164999997</v>
      </c>
      <c r="M1474">
        <v>50</v>
      </c>
      <c r="N1474">
        <v>49.956550598</v>
      </c>
    </row>
    <row r="1475" spans="1:14" x14ac:dyDescent="0.25">
      <c r="A1475">
        <v>1290.1555920000001</v>
      </c>
      <c r="B1475" s="1">
        <f>DATE(2013,11,11) + TIME(3,44,3)</f>
        <v>41589.155590277776</v>
      </c>
      <c r="C1475">
        <v>0</v>
      </c>
      <c r="D1475">
        <v>2400</v>
      </c>
      <c r="E1475">
        <v>2400</v>
      </c>
      <c r="F1475">
        <v>0</v>
      </c>
      <c r="G1475">
        <v>1323.7370605000001</v>
      </c>
      <c r="H1475">
        <v>1318.7780762</v>
      </c>
      <c r="I1475">
        <v>1365.2904053</v>
      </c>
      <c r="J1475">
        <v>1354.4294434000001</v>
      </c>
      <c r="K1475">
        <v>80</v>
      </c>
      <c r="L1475">
        <v>78.989456176999994</v>
      </c>
      <c r="M1475">
        <v>50</v>
      </c>
      <c r="N1475">
        <v>49.956058501999998</v>
      </c>
    </row>
    <row r="1476" spans="1:14" x14ac:dyDescent="0.25">
      <c r="A1476">
        <v>1290.803588</v>
      </c>
      <c r="B1476" s="1">
        <f>DATE(2013,11,11) + TIME(19,17,9)</f>
        <v>41589.803576388891</v>
      </c>
      <c r="C1476">
        <v>0</v>
      </c>
      <c r="D1476">
        <v>2400</v>
      </c>
      <c r="E1476">
        <v>2400</v>
      </c>
      <c r="F1476">
        <v>0</v>
      </c>
      <c r="G1476">
        <v>1323.7116699000001</v>
      </c>
      <c r="H1476">
        <v>1318.7468262</v>
      </c>
      <c r="I1476">
        <v>1365.2678223</v>
      </c>
      <c r="J1476">
        <v>1354.4123535000001</v>
      </c>
      <c r="K1476">
        <v>80</v>
      </c>
      <c r="L1476">
        <v>78.936927795000003</v>
      </c>
      <c r="M1476">
        <v>50</v>
      </c>
      <c r="N1476">
        <v>49.955726624</v>
      </c>
    </row>
    <row r="1477" spans="1:14" x14ac:dyDescent="0.25">
      <c r="A1477">
        <v>1291.4621050000001</v>
      </c>
      <c r="B1477" s="1">
        <f>DATE(2013,11,12) + TIME(11,5,25)</f>
        <v>41590.462094907409</v>
      </c>
      <c r="C1477">
        <v>0</v>
      </c>
      <c r="D1477">
        <v>2400</v>
      </c>
      <c r="E1477">
        <v>2400</v>
      </c>
      <c r="F1477">
        <v>0</v>
      </c>
      <c r="G1477">
        <v>1323.6856689000001</v>
      </c>
      <c r="H1477">
        <v>1318.7145995999999</v>
      </c>
      <c r="I1477">
        <v>1365.2464600000001</v>
      </c>
      <c r="J1477">
        <v>1354.3959961</v>
      </c>
      <c r="K1477">
        <v>80</v>
      </c>
      <c r="L1477">
        <v>78.883911132999998</v>
      </c>
      <c r="M1477">
        <v>50</v>
      </c>
      <c r="N1477">
        <v>49.955501556000002</v>
      </c>
    </row>
    <row r="1478" spans="1:14" x14ac:dyDescent="0.25">
      <c r="A1478">
        <v>1292.1324950000001</v>
      </c>
      <c r="B1478" s="1">
        <f>DATE(2013,11,13) + TIME(3,10,47)</f>
        <v>41591.132488425923</v>
      </c>
      <c r="C1478">
        <v>0</v>
      </c>
      <c r="D1478">
        <v>2400</v>
      </c>
      <c r="E1478">
        <v>2400</v>
      </c>
      <c r="F1478">
        <v>0</v>
      </c>
      <c r="G1478">
        <v>1323.6589355000001</v>
      </c>
      <c r="H1478">
        <v>1318.6812743999999</v>
      </c>
      <c r="I1478">
        <v>1365.2259521000001</v>
      </c>
      <c r="J1478">
        <v>1354.380249</v>
      </c>
      <c r="K1478">
        <v>80</v>
      </c>
      <c r="L1478">
        <v>78.830345154</v>
      </c>
      <c r="M1478">
        <v>50</v>
      </c>
      <c r="N1478">
        <v>49.955356598000002</v>
      </c>
    </row>
    <row r="1479" spans="1:14" x14ac:dyDescent="0.25">
      <c r="A1479">
        <v>1292.816084</v>
      </c>
      <c r="B1479" s="1">
        <f>DATE(2013,11,13) + TIME(19,35,9)</f>
        <v>41591.816076388888</v>
      </c>
      <c r="C1479">
        <v>0</v>
      </c>
      <c r="D1479">
        <v>2400</v>
      </c>
      <c r="E1479">
        <v>2400</v>
      </c>
      <c r="F1479">
        <v>0</v>
      </c>
      <c r="G1479">
        <v>1323.6312256000001</v>
      </c>
      <c r="H1479">
        <v>1318.6468506000001</v>
      </c>
      <c r="I1479">
        <v>1365.2061768000001</v>
      </c>
      <c r="J1479">
        <v>1354.3649902</v>
      </c>
      <c r="K1479">
        <v>80</v>
      </c>
      <c r="L1479">
        <v>78.776176453000005</v>
      </c>
      <c r="M1479">
        <v>50</v>
      </c>
      <c r="N1479">
        <v>49.955265044999997</v>
      </c>
    </row>
    <row r="1480" spans="1:14" x14ac:dyDescent="0.25">
      <c r="A1480">
        <v>1293.513811</v>
      </c>
      <c r="B1480" s="1">
        <f>DATE(2013,11,14) + TIME(12,19,53)</f>
        <v>41592.513807870368</v>
      </c>
      <c r="C1480">
        <v>0</v>
      </c>
      <c r="D1480">
        <v>2400</v>
      </c>
      <c r="E1480">
        <v>2400</v>
      </c>
      <c r="F1480">
        <v>0</v>
      </c>
      <c r="G1480">
        <v>1323.6027832</v>
      </c>
      <c r="H1480">
        <v>1318.6112060999999</v>
      </c>
      <c r="I1480">
        <v>1365.1871338000001</v>
      </c>
      <c r="J1480">
        <v>1354.3502197</v>
      </c>
      <c r="K1480">
        <v>80</v>
      </c>
      <c r="L1480">
        <v>78.721374511999997</v>
      </c>
      <c r="M1480">
        <v>50</v>
      </c>
      <c r="N1480">
        <v>49.955215453999998</v>
      </c>
    </row>
    <row r="1481" spans="1:14" x14ac:dyDescent="0.25">
      <c r="A1481">
        <v>1294.2272190000001</v>
      </c>
      <c r="B1481" s="1">
        <f>DATE(2013,11,15) + TIME(5,27,11)</f>
        <v>41593.227210648147</v>
      </c>
      <c r="C1481">
        <v>0</v>
      </c>
      <c r="D1481">
        <v>2400</v>
      </c>
      <c r="E1481">
        <v>2400</v>
      </c>
      <c r="F1481">
        <v>0</v>
      </c>
      <c r="G1481">
        <v>1323.5733643000001</v>
      </c>
      <c r="H1481">
        <v>1318.5743408000001</v>
      </c>
      <c r="I1481">
        <v>1365.1687012</v>
      </c>
      <c r="J1481">
        <v>1354.3358154</v>
      </c>
      <c r="K1481">
        <v>80</v>
      </c>
      <c r="L1481">
        <v>78.665847778</v>
      </c>
      <c r="M1481">
        <v>50</v>
      </c>
      <c r="N1481">
        <v>49.955188751000001</v>
      </c>
    </row>
    <row r="1482" spans="1:14" x14ac:dyDescent="0.25">
      <c r="A1482">
        <v>1294.957774</v>
      </c>
      <c r="B1482" s="1">
        <f>DATE(2013,11,15) + TIME(22,59,11)</f>
        <v>41593.957766203705</v>
      </c>
      <c r="C1482">
        <v>0</v>
      </c>
      <c r="D1482">
        <v>2400</v>
      </c>
      <c r="E1482">
        <v>2400</v>
      </c>
      <c r="F1482">
        <v>0</v>
      </c>
      <c r="G1482">
        <v>1323.5429687999999</v>
      </c>
      <c r="H1482">
        <v>1318.5361327999999</v>
      </c>
      <c r="I1482">
        <v>1365.1507568</v>
      </c>
      <c r="J1482">
        <v>1354.3217772999999</v>
      </c>
      <c r="K1482">
        <v>80</v>
      </c>
      <c r="L1482">
        <v>78.609542847</v>
      </c>
      <c r="M1482">
        <v>50</v>
      </c>
      <c r="N1482">
        <v>49.955184936999999</v>
      </c>
    </row>
    <row r="1483" spans="1:14" x14ac:dyDescent="0.25">
      <c r="A1483">
        <v>1295.706872</v>
      </c>
      <c r="B1483" s="1">
        <f>DATE(2013,11,16) + TIME(16,57,53)</f>
        <v>41594.706863425927</v>
      </c>
      <c r="C1483">
        <v>0</v>
      </c>
      <c r="D1483">
        <v>2400</v>
      </c>
      <c r="E1483">
        <v>2400</v>
      </c>
      <c r="F1483">
        <v>0</v>
      </c>
      <c r="G1483">
        <v>1323.5114745999999</v>
      </c>
      <c r="H1483">
        <v>1318.4964600000001</v>
      </c>
      <c r="I1483">
        <v>1365.1333007999999</v>
      </c>
      <c r="J1483">
        <v>1354.3079834</v>
      </c>
      <c r="K1483">
        <v>80</v>
      </c>
      <c r="L1483">
        <v>78.552368164000001</v>
      </c>
      <c r="M1483">
        <v>50</v>
      </c>
      <c r="N1483">
        <v>49.955188751000001</v>
      </c>
    </row>
    <row r="1484" spans="1:14" x14ac:dyDescent="0.25">
      <c r="A1484">
        <v>1296.475966</v>
      </c>
      <c r="B1484" s="1">
        <f>DATE(2013,11,17) + TIME(11,25,23)</f>
        <v>41595.475960648146</v>
      </c>
      <c r="C1484">
        <v>0</v>
      </c>
      <c r="D1484">
        <v>2400</v>
      </c>
      <c r="E1484">
        <v>2400</v>
      </c>
      <c r="F1484">
        <v>0</v>
      </c>
      <c r="G1484">
        <v>1323.4788818</v>
      </c>
      <c r="H1484">
        <v>1318.4553223</v>
      </c>
      <c r="I1484">
        <v>1365.1163329999999</v>
      </c>
      <c r="J1484">
        <v>1354.2943115</v>
      </c>
      <c r="K1484">
        <v>80</v>
      </c>
      <c r="L1484">
        <v>78.494247436999999</v>
      </c>
      <c r="M1484">
        <v>50</v>
      </c>
      <c r="N1484">
        <v>49.955204010000003</v>
      </c>
    </row>
    <row r="1485" spans="1:14" x14ac:dyDescent="0.25">
      <c r="A1485">
        <v>1297.266584</v>
      </c>
      <c r="B1485" s="1">
        <f>DATE(2013,11,18) + TIME(6,23,52)</f>
        <v>41596.266574074078</v>
      </c>
      <c r="C1485">
        <v>0</v>
      </c>
      <c r="D1485">
        <v>2400</v>
      </c>
      <c r="E1485">
        <v>2400</v>
      </c>
      <c r="F1485">
        <v>0</v>
      </c>
      <c r="G1485">
        <v>1323.4450684000001</v>
      </c>
      <c r="H1485">
        <v>1318.4123535000001</v>
      </c>
      <c r="I1485">
        <v>1365.0996094</v>
      </c>
      <c r="J1485">
        <v>1354.2808838000001</v>
      </c>
      <c r="K1485">
        <v>80</v>
      </c>
      <c r="L1485">
        <v>78.435119628999999</v>
      </c>
      <c r="M1485">
        <v>50</v>
      </c>
      <c r="N1485">
        <v>49.955226897999999</v>
      </c>
    </row>
    <row r="1486" spans="1:14" x14ac:dyDescent="0.25">
      <c r="A1486">
        <v>1298.080348</v>
      </c>
      <c r="B1486" s="1">
        <f>DATE(2013,11,19) + TIME(1,55,42)</f>
        <v>41597.080347222225</v>
      </c>
      <c r="C1486">
        <v>0</v>
      </c>
      <c r="D1486">
        <v>2400</v>
      </c>
      <c r="E1486">
        <v>2400</v>
      </c>
      <c r="F1486">
        <v>0</v>
      </c>
      <c r="G1486">
        <v>1323.4097899999999</v>
      </c>
      <c r="H1486">
        <v>1318.3677978999999</v>
      </c>
      <c r="I1486">
        <v>1365.0832519999999</v>
      </c>
      <c r="J1486">
        <v>1354.2677002</v>
      </c>
      <c r="K1486">
        <v>80</v>
      </c>
      <c r="L1486">
        <v>78.374877929999997</v>
      </c>
      <c r="M1486">
        <v>50</v>
      </c>
      <c r="N1486">
        <v>49.955249786000003</v>
      </c>
    </row>
    <row r="1487" spans="1:14" x14ac:dyDescent="0.25">
      <c r="A1487">
        <v>1298.9189610000001</v>
      </c>
      <c r="B1487" s="1">
        <f>DATE(2013,11,19) + TIME(22,3,18)</f>
        <v>41597.918958333335</v>
      </c>
      <c r="C1487">
        <v>0</v>
      </c>
      <c r="D1487">
        <v>2400</v>
      </c>
      <c r="E1487">
        <v>2400</v>
      </c>
      <c r="F1487">
        <v>0</v>
      </c>
      <c r="G1487">
        <v>1323.3731689000001</v>
      </c>
      <c r="H1487">
        <v>1318.3212891000001</v>
      </c>
      <c r="I1487">
        <v>1365.0671387</v>
      </c>
      <c r="J1487">
        <v>1354.2545166</v>
      </c>
      <c r="K1487">
        <v>80</v>
      </c>
      <c r="L1487">
        <v>78.313446045000006</v>
      </c>
      <c r="M1487">
        <v>50</v>
      </c>
      <c r="N1487">
        <v>49.955276488999999</v>
      </c>
    </row>
    <row r="1488" spans="1:14" x14ac:dyDescent="0.25">
      <c r="A1488">
        <v>1299.78424</v>
      </c>
      <c r="B1488" s="1">
        <f>DATE(2013,11,20) + TIME(18,49,18)</f>
        <v>41598.784236111111</v>
      </c>
      <c r="C1488">
        <v>0</v>
      </c>
      <c r="D1488">
        <v>2400</v>
      </c>
      <c r="E1488">
        <v>2400</v>
      </c>
      <c r="F1488">
        <v>0</v>
      </c>
      <c r="G1488">
        <v>1323.3350829999999</v>
      </c>
      <c r="H1488">
        <v>1318.2727050999999</v>
      </c>
      <c r="I1488">
        <v>1365.0512695</v>
      </c>
      <c r="J1488">
        <v>1354.2414550999999</v>
      </c>
      <c r="K1488">
        <v>80</v>
      </c>
      <c r="L1488">
        <v>78.250732421999999</v>
      </c>
      <c r="M1488">
        <v>50</v>
      </c>
      <c r="N1488">
        <v>49.955303192000002</v>
      </c>
    </row>
    <row r="1489" spans="1:14" x14ac:dyDescent="0.25">
      <c r="A1489">
        <v>1300.678144</v>
      </c>
      <c r="B1489" s="1">
        <f>DATE(2013,11,21) + TIME(16,16,31)</f>
        <v>41599.678136574075</v>
      </c>
      <c r="C1489">
        <v>0</v>
      </c>
      <c r="D1489">
        <v>2400</v>
      </c>
      <c r="E1489">
        <v>2400</v>
      </c>
      <c r="F1489">
        <v>0</v>
      </c>
      <c r="G1489">
        <v>1323.2954102000001</v>
      </c>
      <c r="H1489">
        <v>1318.2219238</v>
      </c>
      <c r="I1489">
        <v>1365.0356445</v>
      </c>
      <c r="J1489">
        <v>1354.2285156</v>
      </c>
      <c r="K1489">
        <v>80</v>
      </c>
      <c r="L1489">
        <v>78.186630249000004</v>
      </c>
      <c r="M1489">
        <v>50</v>
      </c>
      <c r="N1489">
        <v>49.955329894999998</v>
      </c>
    </row>
    <row r="1490" spans="1:14" x14ac:dyDescent="0.25">
      <c r="A1490">
        <v>1301.6025749999999</v>
      </c>
      <c r="B1490" s="1">
        <f>DATE(2013,11,22) + TIME(14,27,42)</f>
        <v>41600.602569444447</v>
      </c>
      <c r="C1490">
        <v>0</v>
      </c>
      <c r="D1490">
        <v>2400</v>
      </c>
      <c r="E1490">
        <v>2400</v>
      </c>
      <c r="F1490">
        <v>0</v>
      </c>
      <c r="G1490">
        <v>1323.2539062000001</v>
      </c>
      <c r="H1490">
        <v>1318.1689452999999</v>
      </c>
      <c r="I1490">
        <v>1365.0201416</v>
      </c>
      <c r="J1490">
        <v>1354.2155762</v>
      </c>
      <c r="K1490">
        <v>80</v>
      </c>
      <c r="L1490">
        <v>78.121055603000002</v>
      </c>
      <c r="M1490">
        <v>50</v>
      </c>
      <c r="N1490">
        <v>49.955356598000002</v>
      </c>
    </row>
    <row r="1491" spans="1:14" x14ac:dyDescent="0.25">
      <c r="A1491">
        <v>1302.5597789999999</v>
      </c>
      <c r="B1491" s="1">
        <f>DATE(2013,11,23) + TIME(13,26,4)</f>
        <v>41601.55976851852</v>
      </c>
      <c r="C1491">
        <v>0</v>
      </c>
      <c r="D1491">
        <v>2400</v>
      </c>
      <c r="E1491">
        <v>2400</v>
      </c>
      <c r="F1491">
        <v>0</v>
      </c>
      <c r="G1491">
        <v>1323.2105713000001</v>
      </c>
      <c r="H1491">
        <v>1318.1134033000001</v>
      </c>
      <c r="I1491">
        <v>1365.0048827999999</v>
      </c>
      <c r="J1491">
        <v>1354.2026367000001</v>
      </c>
      <c r="K1491">
        <v>80</v>
      </c>
      <c r="L1491">
        <v>78.053901671999995</v>
      </c>
      <c r="M1491">
        <v>50</v>
      </c>
      <c r="N1491">
        <v>49.955387115000001</v>
      </c>
    </row>
    <row r="1492" spans="1:14" x14ac:dyDescent="0.25">
      <c r="A1492">
        <v>1303.5458980000001</v>
      </c>
      <c r="B1492" s="1">
        <f>DATE(2013,11,24) + TIME(13,6,5)</f>
        <v>41602.545891203707</v>
      </c>
      <c r="C1492">
        <v>0</v>
      </c>
      <c r="D1492">
        <v>2400</v>
      </c>
      <c r="E1492">
        <v>2400</v>
      </c>
      <c r="F1492">
        <v>0</v>
      </c>
      <c r="G1492">
        <v>1323.1651611</v>
      </c>
      <c r="H1492">
        <v>1318.0551757999999</v>
      </c>
      <c r="I1492">
        <v>1364.989624</v>
      </c>
      <c r="J1492">
        <v>1354.1898193</v>
      </c>
      <c r="K1492">
        <v>80</v>
      </c>
      <c r="L1492">
        <v>77.985351562000005</v>
      </c>
      <c r="M1492">
        <v>50</v>
      </c>
      <c r="N1492">
        <v>49.955413817999997</v>
      </c>
    </row>
    <row r="1493" spans="1:14" x14ac:dyDescent="0.25">
      <c r="A1493">
        <v>1304.5503020000001</v>
      </c>
      <c r="B1493" s="1">
        <f>DATE(2013,11,25) + TIME(13,12,26)</f>
        <v>41603.550300925926</v>
      </c>
      <c r="C1493">
        <v>0</v>
      </c>
      <c r="D1493">
        <v>2400</v>
      </c>
      <c r="E1493">
        <v>2400</v>
      </c>
      <c r="F1493">
        <v>0</v>
      </c>
      <c r="G1493">
        <v>1323.1180420000001</v>
      </c>
      <c r="H1493">
        <v>1317.9946289</v>
      </c>
      <c r="I1493">
        <v>1364.9747314000001</v>
      </c>
      <c r="J1493">
        <v>1354.1768798999999</v>
      </c>
      <c r="K1493">
        <v>80</v>
      </c>
      <c r="L1493">
        <v>77.915931701999995</v>
      </c>
      <c r="M1493">
        <v>50</v>
      </c>
      <c r="N1493">
        <v>49.955440521</v>
      </c>
    </row>
    <row r="1494" spans="1:14" x14ac:dyDescent="0.25">
      <c r="A1494">
        <v>1305.574979</v>
      </c>
      <c r="B1494" s="1">
        <f>DATE(2013,11,26) + TIME(13,47,58)</f>
        <v>41604.574976851851</v>
      </c>
      <c r="C1494">
        <v>0</v>
      </c>
      <c r="D1494">
        <v>2400</v>
      </c>
      <c r="E1494">
        <v>2400</v>
      </c>
      <c r="F1494">
        <v>0</v>
      </c>
      <c r="G1494">
        <v>1323.0694579999999</v>
      </c>
      <c r="H1494">
        <v>1317.9320068</v>
      </c>
      <c r="I1494">
        <v>1364.9600829999999</v>
      </c>
      <c r="J1494">
        <v>1354.1643065999999</v>
      </c>
      <c r="K1494">
        <v>80</v>
      </c>
      <c r="L1494">
        <v>77.845642089999998</v>
      </c>
      <c r="M1494">
        <v>50</v>
      </c>
      <c r="N1494">
        <v>49.955471039000003</v>
      </c>
    </row>
    <row r="1495" spans="1:14" x14ac:dyDescent="0.25">
      <c r="A1495">
        <v>1306.6217790000001</v>
      </c>
      <c r="B1495" s="1">
        <f>DATE(2013,11,27) + TIME(14,55,21)</f>
        <v>41605.621770833335</v>
      </c>
      <c r="C1495">
        <v>0</v>
      </c>
      <c r="D1495">
        <v>2400</v>
      </c>
      <c r="E1495">
        <v>2400</v>
      </c>
      <c r="F1495">
        <v>0</v>
      </c>
      <c r="G1495">
        <v>1323.0192870999999</v>
      </c>
      <c r="H1495">
        <v>1317.8674315999999</v>
      </c>
      <c r="I1495">
        <v>1364.9459228999999</v>
      </c>
      <c r="J1495">
        <v>1354.1518555</v>
      </c>
      <c r="K1495">
        <v>80</v>
      </c>
      <c r="L1495">
        <v>77.774482727000006</v>
      </c>
      <c r="M1495">
        <v>50</v>
      </c>
      <c r="N1495">
        <v>49.955497741999999</v>
      </c>
    </row>
    <row r="1496" spans="1:14" x14ac:dyDescent="0.25">
      <c r="A1496">
        <v>1307.6926510000001</v>
      </c>
      <c r="B1496" s="1">
        <f>DATE(2013,11,28) + TIME(16,37,25)</f>
        <v>41606.692650462966</v>
      </c>
      <c r="C1496">
        <v>0</v>
      </c>
      <c r="D1496">
        <v>2400</v>
      </c>
      <c r="E1496">
        <v>2400</v>
      </c>
      <c r="F1496">
        <v>0</v>
      </c>
      <c r="G1496">
        <v>1322.9676514</v>
      </c>
      <c r="H1496">
        <v>1317.8006591999999</v>
      </c>
      <c r="I1496">
        <v>1364.9318848</v>
      </c>
      <c r="J1496">
        <v>1354.1394043</v>
      </c>
      <c r="K1496">
        <v>80</v>
      </c>
      <c r="L1496">
        <v>77.702392578000001</v>
      </c>
      <c r="M1496">
        <v>50</v>
      </c>
      <c r="N1496">
        <v>49.955524445000002</v>
      </c>
    </row>
    <row r="1497" spans="1:14" x14ac:dyDescent="0.25">
      <c r="A1497">
        <v>1308.7895559999999</v>
      </c>
      <c r="B1497" s="1">
        <f>DATE(2013,11,29) + TIME(18,56,57)</f>
        <v>41607.789548611108</v>
      </c>
      <c r="C1497">
        <v>0</v>
      </c>
      <c r="D1497">
        <v>2400</v>
      </c>
      <c r="E1497">
        <v>2400</v>
      </c>
      <c r="F1497">
        <v>0</v>
      </c>
      <c r="G1497">
        <v>1322.9141846</v>
      </c>
      <c r="H1497">
        <v>1317.7314452999999</v>
      </c>
      <c r="I1497">
        <v>1364.9182129000001</v>
      </c>
      <c r="J1497">
        <v>1354.1271973</v>
      </c>
      <c r="K1497">
        <v>80</v>
      </c>
      <c r="L1497">
        <v>77.629318237000007</v>
      </c>
      <c r="M1497">
        <v>50</v>
      </c>
      <c r="N1497">
        <v>49.955554962000001</v>
      </c>
    </row>
    <row r="1498" spans="1:14" x14ac:dyDescent="0.25">
      <c r="A1498">
        <v>1309.9145699999999</v>
      </c>
      <c r="B1498" s="1">
        <f>DATE(2013,11,30) + TIME(21,56,58)</f>
        <v>41608.914560185185</v>
      </c>
      <c r="C1498">
        <v>0</v>
      </c>
      <c r="D1498">
        <v>2400</v>
      </c>
      <c r="E1498">
        <v>2400</v>
      </c>
      <c r="F1498">
        <v>0</v>
      </c>
      <c r="G1498">
        <v>1322.8588867000001</v>
      </c>
      <c r="H1498">
        <v>1317.6599120999999</v>
      </c>
      <c r="I1498">
        <v>1364.9047852000001</v>
      </c>
      <c r="J1498">
        <v>1354.1151123</v>
      </c>
      <c r="K1498">
        <v>80</v>
      </c>
      <c r="L1498">
        <v>77.555183411000002</v>
      </c>
      <c r="M1498">
        <v>50</v>
      </c>
      <c r="N1498">
        <v>49.955585480000003</v>
      </c>
    </row>
    <row r="1499" spans="1:14" x14ac:dyDescent="0.25">
      <c r="A1499">
        <v>1310</v>
      </c>
      <c r="B1499" s="1">
        <f>DATE(2013,12,1) + TIME(0,0,0)</f>
        <v>41609</v>
      </c>
      <c r="C1499">
        <v>0</v>
      </c>
      <c r="D1499">
        <v>2400</v>
      </c>
      <c r="E1499">
        <v>2400</v>
      </c>
      <c r="F1499">
        <v>0</v>
      </c>
      <c r="G1499">
        <v>1322.8105469</v>
      </c>
      <c r="H1499">
        <v>1317.6003418</v>
      </c>
      <c r="I1499">
        <v>1364.890625</v>
      </c>
      <c r="J1499">
        <v>1354.1031493999999</v>
      </c>
      <c r="K1499">
        <v>80</v>
      </c>
      <c r="L1499">
        <v>77.546791076999995</v>
      </c>
      <c r="M1499">
        <v>50</v>
      </c>
      <c r="N1499">
        <v>49.955585480000003</v>
      </c>
    </row>
    <row r="1500" spans="1:14" x14ac:dyDescent="0.25">
      <c r="A1500">
        <v>1311.1553120000001</v>
      </c>
      <c r="B1500" s="1">
        <f>DATE(2013,12,2) + TIME(3,43,38)</f>
        <v>41610.155300925922</v>
      </c>
      <c r="C1500">
        <v>0</v>
      </c>
      <c r="D1500">
        <v>2400</v>
      </c>
      <c r="E1500">
        <v>2400</v>
      </c>
      <c r="F1500">
        <v>0</v>
      </c>
      <c r="G1500">
        <v>1322.7965088000001</v>
      </c>
      <c r="H1500">
        <v>1317.5786132999999</v>
      </c>
      <c r="I1500">
        <v>1364.890625</v>
      </c>
      <c r="J1500">
        <v>1354.1020507999999</v>
      </c>
      <c r="K1500">
        <v>80</v>
      </c>
      <c r="L1500">
        <v>77.472534179999997</v>
      </c>
      <c r="M1500">
        <v>50</v>
      </c>
      <c r="N1500">
        <v>49.955615997000002</v>
      </c>
    </row>
    <row r="1501" spans="1:14" x14ac:dyDescent="0.25">
      <c r="A1501">
        <v>1312.3459109999999</v>
      </c>
      <c r="B1501" s="1">
        <f>DATE(2013,12,3) + TIME(8,18,6)</f>
        <v>41611.345902777779</v>
      </c>
      <c r="C1501">
        <v>0</v>
      </c>
      <c r="D1501">
        <v>2400</v>
      </c>
      <c r="E1501">
        <v>2400</v>
      </c>
      <c r="F1501">
        <v>0</v>
      </c>
      <c r="G1501">
        <v>1322.7375488</v>
      </c>
      <c r="H1501">
        <v>1317.5021973</v>
      </c>
      <c r="I1501">
        <v>1364.8775635</v>
      </c>
      <c r="J1501">
        <v>1354.0900879000001</v>
      </c>
      <c r="K1501">
        <v>80</v>
      </c>
      <c r="L1501">
        <v>77.396598815999994</v>
      </c>
      <c r="M1501">
        <v>50</v>
      </c>
      <c r="N1501">
        <v>49.955646514999998</v>
      </c>
    </row>
    <row r="1502" spans="1:14" x14ac:dyDescent="0.25">
      <c r="A1502">
        <v>1313.5713639999999</v>
      </c>
      <c r="B1502" s="1">
        <f>DATE(2013,12,4) + TIME(13,42,45)</f>
        <v>41612.57135416667</v>
      </c>
      <c r="C1502">
        <v>0</v>
      </c>
      <c r="D1502">
        <v>2400</v>
      </c>
      <c r="E1502">
        <v>2400</v>
      </c>
      <c r="F1502">
        <v>0</v>
      </c>
      <c r="G1502">
        <v>1322.6761475000001</v>
      </c>
      <c r="H1502">
        <v>1317.4222411999999</v>
      </c>
      <c r="I1502">
        <v>1364.864624</v>
      </c>
      <c r="J1502">
        <v>1354.0780029</v>
      </c>
      <c r="K1502">
        <v>80</v>
      </c>
      <c r="L1502">
        <v>77.319076538000004</v>
      </c>
      <c r="M1502">
        <v>50</v>
      </c>
      <c r="N1502">
        <v>49.955677031999997</v>
      </c>
    </row>
    <row r="1503" spans="1:14" x14ac:dyDescent="0.25">
      <c r="A1503">
        <v>1314.8342680000001</v>
      </c>
      <c r="B1503" s="1">
        <f>DATE(2013,12,5) + TIME(20,1,20)</f>
        <v>41613.83425925926</v>
      </c>
      <c r="C1503">
        <v>0</v>
      </c>
      <c r="D1503">
        <v>2400</v>
      </c>
      <c r="E1503">
        <v>2400</v>
      </c>
      <c r="F1503">
        <v>0</v>
      </c>
      <c r="G1503">
        <v>1322.6123047000001</v>
      </c>
      <c r="H1503">
        <v>1317.3391113</v>
      </c>
      <c r="I1503">
        <v>1364.8519286999999</v>
      </c>
      <c r="J1503">
        <v>1354.0660399999999</v>
      </c>
      <c r="K1503">
        <v>80</v>
      </c>
      <c r="L1503">
        <v>77.239974975999999</v>
      </c>
      <c r="M1503">
        <v>50</v>
      </c>
      <c r="N1503">
        <v>49.955711364999999</v>
      </c>
    </row>
    <row r="1504" spans="1:14" x14ac:dyDescent="0.25">
      <c r="A1504">
        <v>1316.1377399999999</v>
      </c>
      <c r="B1504" s="1">
        <f>DATE(2013,12,7) + TIME(3,18,20)</f>
        <v>41615.137731481482</v>
      </c>
      <c r="C1504">
        <v>0</v>
      </c>
      <c r="D1504">
        <v>2400</v>
      </c>
      <c r="E1504">
        <v>2400</v>
      </c>
      <c r="F1504">
        <v>0</v>
      </c>
      <c r="G1504">
        <v>1322.5458983999999</v>
      </c>
      <c r="H1504">
        <v>1317.2524414</v>
      </c>
      <c r="I1504">
        <v>1364.8392334</v>
      </c>
      <c r="J1504">
        <v>1354.0539550999999</v>
      </c>
      <c r="K1504">
        <v>80</v>
      </c>
      <c r="L1504">
        <v>77.159210204999994</v>
      </c>
      <c r="M1504">
        <v>50</v>
      </c>
      <c r="N1504">
        <v>49.955745696999998</v>
      </c>
    </row>
    <row r="1505" spans="1:14" x14ac:dyDescent="0.25">
      <c r="A1505">
        <v>1317.472237</v>
      </c>
      <c r="B1505" s="1">
        <f>DATE(2013,12,8) + TIME(11,20,1)</f>
        <v>41616.472233796296</v>
      </c>
      <c r="C1505">
        <v>0</v>
      </c>
      <c r="D1505">
        <v>2400</v>
      </c>
      <c r="E1505">
        <v>2400</v>
      </c>
      <c r="F1505">
        <v>0</v>
      </c>
      <c r="G1505">
        <v>1322.4768065999999</v>
      </c>
      <c r="H1505">
        <v>1317.1621094</v>
      </c>
      <c r="I1505">
        <v>1364.8267822</v>
      </c>
      <c r="J1505">
        <v>1354.0419922000001</v>
      </c>
      <c r="K1505">
        <v>80</v>
      </c>
      <c r="L1505">
        <v>77.077171325999998</v>
      </c>
      <c r="M1505">
        <v>50</v>
      </c>
      <c r="N1505">
        <v>49.955780029000003</v>
      </c>
    </row>
    <row r="1506" spans="1:14" x14ac:dyDescent="0.25">
      <c r="A1506">
        <v>1318.836626</v>
      </c>
      <c r="B1506" s="1">
        <f>DATE(2013,12,9) + TIME(20,4,44)</f>
        <v>41617.83662037037</v>
      </c>
      <c r="C1506">
        <v>0</v>
      </c>
      <c r="D1506">
        <v>2400</v>
      </c>
      <c r="E1506">
        <v>2400</v>
      </c>
      <c r="F1506">
        <v>0</v>
      </c>
      <c r="G1506">
        <v>1322.4052733999999</v>
      </c>
      <c r="H1506">
        <v>1317.0687256000001</v>
      </c>
      <c r="I1506">
        <v>1364.8144531</v>
      </c>
      <c r="J1506">
        <v>1354.0299072</v>
      </c>
      <c r="K1506">
        <v>80</v>
      </c>
      <c r="L1506">
        <v>76.994018554999997</v>
      </c>
      <c r="M1506">
        <v>50</v>
      </c>
      <c r="N1506">
        <v>49.955818176000001</v>
      </c>
    </row>
    <row r="1507" spans="1:14" x14ac:dyDescent="0.25">
      <c r="A1507">
        <v>1320.2335499999999</v>
      </c>
      <c r="B1507" s="1">
        <f>DATE(2013,12,11) + TIME(5,36,18)</f>
        <v>41619.233541666668</v>
      </c>
      <c r="C1507">
        <v>0</v>
      </c>
      <c r="D1507">
        <v>2400</v>
      </c>
      <c r="E1507">
        <v>2400</v>
      </c>
      <c r="F1507">
        <v>0</v>
      </c>
      <c r="G1507">
        <v>1322.331543</v>
      </c>
      <c r="H1507">
        <v>1316.972168</v>
      </c>
      <c r="I1507">
        <v>1364.8023682</v>
      </c>
      <c r="J1507">
        <v>1354.0179443</v>
      </c>
      <c r="K1507">
        <v>80</v>
      </c>
      <c r="L1507">
        <v>76.909751892000003</v>
      </c>
      <c r="M1507">
        <v>50</v>
      </c>
      <c r="N1507">
        <v>49.955856322999999</v>
      </c>
    </row>
    <row r="1508" spans="1:14" x14ac:dyDescent="0.25">
      <c r="A1508">
        <v>1321.6656889999999</v>
      </c>
      <c r="B1508" s="1">
        <f>DATE(2013,12,12) + TIME(15,58,35)</f>
        <v>41620.665682870371</v>
      </c>
      <c r="C1508">
        <v>0</v>
      </c>
      <c r="D1508">
        <v>2400</v>
      </c>
      <c r="E1508">
        <v>2400</v>
      </c>
      <c r="F1508">
        <v>0</v>
      </c>
      <c r="G1508">
        <v>1322.2554932</v>
      </c>
      <c r="H1508">
        <v>1316.8723144999999</v>
      </c>
      <c r="I1508">
        <v>1364.7904053</v>
      </c>
      <c r="J1508">
        <v>1354.0061035000001</v>
      </c>
      <c r="K1508">
        <v>80</v>
      </c>
      <c r="L1508">
        <v>76.824348450000002</v>
      </c>
      <c r="M1508">
        <v>50</v>
      </c>
      <c r="N1508">
        <v>49.955894469999997</v>
      </c>
    </row>
    <row r="1509" spans="1:14" x14ac:dyDescent="0.25">
      <c r="A1509">
        <v>1323.135855</v>
      </c>
      <c r="B1509" s="1">
        <f>DATE(2013,12,14) + TIME(3,15,37)</f>
        <v>41622.135844907411</v>
      </c>
      <c r="C1509">
        <v>0</v>
      </c>
      <c r="D1509">
        <v>2400</v>
      </c>
      <c r="E1509">
        <v>2400</v>
      </c>
      <c r="F1509">
        <v>0</v>
      </c>
      <c r="G1509">
        <v>1322.1768798999999</v>
      </c>
      <c r="H1509">
        <v>1316.769043</v>
      </c>
      <c r="I1509">
        <v>1364.7786865</v>
      </c>
      <c r="J1509">
        <v>1353.9942627</v>
      </c>
      <c r="K1509">
        <v>80</v>
      </c>
      <c r="L1509">
        <v>76.737724303999997</v>
      </c>
      <c r="M1509">
        <v>50</v>
      </c>
      <c r="N1509">
        <v>49.955936432000001</v>
      </c>
    </row>
    <row r="1510" spans="1:14" x14ac:dyDescent="0.25">
      <c r="A1510">
        <v>1324.6468179999999</v>
      </c>
      <c r="B1510" s="1">
        <f>DATE(2013,12,15) + TIME(15,31,25)</f>
        <v>41623.646817129629</v>
      </c>
      <c r="C1510">
        <v>0</v>
      </c>
      <c r="D1510">
        <v>2400</v>
      </c>
      <c r="E1510">
        <v>2400</v>
      </c>
      <c r="F1510">
        <v>0</v>
      </c>
      <c r="G1510">
        <v>1322.0954589999999</v>
      </c>
      <c r="H1510">
        <v>1316.6621094</v>
      </c>
      <c r="I1510">
        <v>1364.7669678</v>
      </c>
      <c r="J1510">
        <v>1353.9824219</v>
      </c>
      <c r="K1510">
        <v>80</v>
      </c>
      <c r="L1510">
        <v>76.649803161999998</v>
      </c>
      <c r="M1510">
        <v>50</v>
      </c>
      <c r="N1510">
        <v>49.955978393999999</v>
      </c>
    </row>
    <row r="1511" spans="1:14" x14ac:dyDescent="0.25">
      <c r="A1511">
        <v>1326.2013400000001</v>
      </c>
      <c r="B1511" s="1">
        <f>DATE(2013,12,17) + TIME(4,49,55)</f>
        <v>41625.201331018521</v>
      </c>
      <c r="C1511">
        <v>0</v>
      </c>
      <c r="D1511">
        <v>2400</v>
      </c>
      <c r="E1511">
        <v>2400</v>
      </c>
      <c r="F1511">
        <v>0</v>
      </c>
      <c r="G1511">
        <v>1322.0113524999999</v>
      </c>
      <c r="H1511">
        <v>1316.5512695</v>
      </c>
      <c r="I1511">
        <v>1364.7554932</v>
      </c>
      <c r="J1511">
        <v>1353.9704589999999</v>
      </c>
      <c r="K1511">
        <v>80</v>
      </c>
      <c r="L1511">
        <v>76.560485839999998</v>
      </c>
      <c r="M1511">
        <v>50</v>
      </c>
      <c r="N1511">
        <v>49.956020355</v>
      </c>
    </row>
    <row r="1512" spans="1:14" x14ac:dyDescent="0.25">
      <c r="A1512">
        <v>1327.8031900000001</v>
      </c>
      <c r="B1512" s="1">
        <f>DATE(2013,12,18) + TIME(19,16,35)</f>
        <v>41626.803182870368</v>
      </c>
      <c r="C1512">
        <v>0</v>
      </c>
      <c r="D1512">
        <v>2400</v>
      </c>
      <c r="E1512">
        <v>2400</v>
      </c>
      <c r="F1512">
        <v>0</v>
      </c>
      <c r="G1512">
        <v>1321.9240723</v>
      </c>
      <c r="H1512">
        <v>1316.4362793</v>
      </c>
      <c r="I1512">
        <v>1364.7441406</v>
      </c>
      <c r="J1512">
        <v>1353.9586182</v>
      </c>
      <c r="K1512">
        <v>80</v>
      </c>
      <c r="L1512">
        <v>76.469657897999994</v>
      </c>
      <c r="M1512">
        <v>50</v>
      </c>
      <c r="N1512">
        <v>49.956066131999997</v>
      </c>
    </row>
    <row r="1513" spans="1:14" x14ac:dyDescent="0.25">
      <c r="A1513">
        <v>1329.4428049999999</v>
      </c>
      <c r="B1513" s="1">
        <f>DATE(2013,12,20) + TIME(10,37,38)</f>
        <v>41628.442800925928</v>
      </c>
      <c r="C1513">
        <v>0</v>
      </c>
      <c r="D1513">
        <v>2400</v>
      </c>
      <c r="E1513">
        <v>2400</v>
      </c>
      <c r="F1513">
        <v>0</v>
      </c>
      <c r="G1513">
        <v>1321.8336182</v>
      </c>
      <c r="H1513">
        <v>1316.3168945</v>
      </c>
      <c r="I1513">
        <v>1364.7327881000001</v>
      </c>
      <c r="J1513">
        <v>1353.9466553</v>
      </c>
      <c r="K1513">
        <v>80</v>
      </c>
      <c r="L1513">
        <v>76.377586364999999</v>
      </c>
      <c r="M1513">
        <v>50</v>
      </c>
      <c r="N1513">
        <v>49.956111907999997</v>
      </c>
    </row>
    <row r="1514" spans="1:14" x14ac:dyDescent="0.25">
      <c r="A1514">
        <v>1331.120592</v>
      </c>
      <c r="B1514" s="1">
        <f>DATE(2013,12,22) + TIME(2,53,39)</f>
        <v>41630.12059027778</v>
      </c>
      <c r="C1514">
        <v>0</v>
      </c>
      <c r="D1514">
        <v>2400</v>
      </c>
      <c r="E1514">
        <v>2400</v>
      </c>
      <c r="F1514">
        <v>0</v>
      </c>
      <c r="G1514">
        <v>1321.7402344</v>
      </c>
      <c r="H1514">
        <v>1316.1937256000001</v>
      </c>
      <c r="I1514">
        <v>1364.7216797000001</v>
      </c>
      <c r="J1514">
        <v>1353.9348144999999</v>
      </c>
      <c r="K1514">
        <v>80</v>
      </c>
      <c r="L1514">
        <v>76.284385681000003</v>
      </c>
      <c r="M1514">
        <v>50</v>
      </c>
      <c r="N1514">
        <v>49.956157683999997</v>
      </c>
    </row>
    <row r="1515" spans="1:14" x14ac:dyDescent="0.25">
      <c r="A1515">
        <v>1332.8398460000001</v>
      </c>
      <c r="B1515" s="1">
        <f>DATE(2013,12,23) + TIME(20,9,22)</f>
        <v>41631.839837962965</v>
      </c>
      <c r="C1515">
        <v>0</v>
      </c>
      <c r="D1515">
        <v>2400</v>
      </c>
      <c r="E1515">
        <v>2400</v>
      </c>
      <c r="F1515">
        <v>0</v>
      </c>
      <c r="G1515">
        <v>1321.644043</v>
      </c>
      <c r="H1515">
        <v>1316.0664062000001</v>
      </c>
      <c r="I1515">
        <v>1364.7106934000001</v>
      </c>
      <c r="J1515">
        <v>1353.9229736</v>
      </c>
      <c r="K1515">
        <v>80</v>
      </c>
      <c r="L1515">
        <v>76.190025329999997</v>
      </c>
      <c r="M1515">
        <v>50</v>
      </c>
      <c r="N1515">
        <v>49.956207274999997</v>
      </c>
    </row>
    <row r="1516" spans="1:14" x14ac:dyDescent="0.25">
      <c r="A1516">
        <v>1334.6040149999999</v>
      </c>
      <c r="B1516" s="1">
        <f>DATE(2013,12,25) + TIME(14,29,46)</f>
        <v>41633.604004629633</v>
      </c>
      <c r="C1516">
        <v>0</v>
      </c>
      <c r="D1516">
        <v>2400</v>
      </c>
      <c r="E1516">
        <v>2400</v>
      </c>
      <c r="F1516">
        <v>0</v>
      </c>
      <c r="G1516">
        <v>1321.5447998</v>
      </c>
      <c r="H1516">
        <v>1315.9350586</v>
      </c>
      <c r="I1516">
        <v>1364.6998291</v>
      </c>
      <c r="J1516">
        <v>1353.9111327999999</v>
      </c>
      <c r="K1516">
        <v>80</v>
      </c>
      <c r="L1516">
        <v>76.094444275000001</v>
      </c>
      <c r="M1516">
        <v>50</v>
      </c>
      <c r="N1516">
        <v>49.956256865999997</v>
      </c>
    </row>
    <row r="1517" spans="1:14" x14ac:dyDescent="0.25">
      <c r="A1517">
        <v>1336.4162329999999</v>
      </c>
      <c r="B1517" s="1">
        <f>DATE(2013,12,27) + TIME(9,59,22)</f>
        <v>41635.416226851848</v>
      </c>
      <c r="C1517">
        <v>0</v>
      </c>
      <c r="D1517">
        <v>2400</v>
      </c>
      <c r="E1517">
        <v>2400</v>
      </c>
      <c r="F1517">
        <v>0</v>
      </c>
      <c r="G1517">
        <v>1321.4422606999999</v>
      </c>
      <c r="H1517">
        <v>1315.7991943</v>
      </c>
      <c r="I1517">
        <v>1364.6890868999999</v>
      </c>
      <c r="J1517">
        <v>1353.8992920000001</v>
      </c>
      <c r="K1517">
        <v>80</v>
      </c>
      <c r="L1517">
        <v>75.997558593999997</v>
      </c>
      <c r="M1517">
        <v>50</v>
      </c>
      <c r="N1517">
        <v>49.956310272000003</v>
      </c>
    </row>
    <row r="1518" spans="1:14" x14ac:dyDescent="0.25">
      <c r="A1518">
        <v>1338.280186</v>
      </c>
      <c r="B1518" s="1">
        <f>DATE(2013,12,29) + TIME(6,43,28)</f>
        <v>41637.280185185184</v>
      </c>
      <c r="C1518">
        <v>0</v>
      </c>
      <c r="D1518">
        <v>2400</v>
      </c>
      <c r="E1518">
        <v>2400</v>
      </c>
      <c r="F1518">
        <v>0</v>
      </c>
      <c r="G1518">
        <v>1321.3363036999999</v>
      </c>
      <c r="H1518">
        <v>1315.6586914</v>
      </c>
      <c r="I1518">
        <v>1364.6784668</v>
      </c>
      <c r="J1518">
        <v>1353.8873291</v>
      </c>
      <c r="K1518">
        <v>80</v>
      </c>
      <c r="L1518">
        <v>75.899253845000004</v>
      </c>
      <c r="M1518">
        <v>50</v>
      </c>
      <c r="N1518">
        <v>49.956363678000002</v>
      </c>
    </row>
    <row r="1519" spans="1:14" x14ac:dyDescent="0.25">
      <c r="A1519">
        <v>1340.1963229999999</v>
      </c>
      <c r="B1519" s="1">
        <f>DATE(2013,12,31) + TIME(4,42,42)</f>
        <v>41639.196319444447</v>
      </c>
      <c r="C1519">
        <v>0</v>
      </c>
      <c r="D1519">
        <v>2400</v>
      </c>
      <c r="E1519">
        <v>2400</v>
      </c>
      <c r="F1519">
        <v>0</v>
      </c>
      <c r="G1519">
        <v>1321.2268065999999</v>
      </c>
      <c r="H1519">
        <v>1315.5133057</v>
      </c>
      <c r="I1519">
        <v>1364.6679687999999</v>
      </c>
      <c r="J1519">
        <v>1353.8754882999999</v>
      </c>
      <c r="K1519">
        <v>80</v>
      </c>
      <c r="L1519">
        <v>75.799491881999998</v>
      </c>
      <c r="M1519">
        <v>50</v>
      </c>
      <c r="N1519">
        <v>49.956417084000002</v>
      </c>
    </row>
    <row r="1520" spans="1:14" x14ac:dyDescent="0.25">
      <c r="A1520">
        <v>1341</v>
      </c>
      <c r="B1520" s="1">
        <f>DATE(2014,1,1) + TIME(0,0,0)</f>
        <v>41640</v>
      </c>
      <c r="C1520">
        <v>0</v>
      </c>
      <c r="D1520">
        <v>2400</v>
      </c>
      <c r="E1520">
        <v>2400</v>
      </c>
      <c r="F1520">
        <v>0</v>
      </c>
      <c r="G1520">
        <v>1321.1217041</v>
      </c>
      <c r="H1520">
        <v>1315.3768310999999</v>
      </c>
      <c r="I1520">
        <v>1364.6567382999999</v>
      </c>
      <c r="J1520">
        <v>1353.8634033000001</v>
      </c>
      <c r="K1520">
        <v>80</v>
      </c>
      <c r="L1520">
        <v>75.740295410000002</v>
      </c>
      <c r="M1520">
        <v>50</v>
      </c>
      <c r="N1520">
        <v>49.956439971999998</v>
      </c>
    </row>
    <row r="1521" spans="1:14" x14ac:dyDescent="0.25">
      <c r="A1521">
        <v>1342.959433</v>
      </c>
      <c r="B1521" s="1">
        <f>DATE(2014,1,2) + TIME(23,1,34)</f>
        <v>41641.959421296298</v>
      </c>
      <c r="C1521">
        <v>0</v>
      </c>
      <c r="D1521">
        <v>2400</v>
      </c>
      <c r="E1521">
        <v>2400</v>
      </c>
      <c r="F1521">
        <v>0</v>
      </c>
      <c r="G1521">
        <v>1321.0581055</v>
      </c>
      <c r="H1521">
        <v>1315.2874756000001</v>
      </c>
      <c r="I1521">
        <v>1364.6533202999999</v>
      </c>
      <c r="J1521">
        <v>1353.8583983999999</v>
      </c>
      <c r="K1521">
        <v>80</v>
      </c>
      <c r="L1521">
        <v>75.648315429999997</v>
      </c>
      <c r="M1521">
        <v>50</v>
      </c>
      <c r="N1521">
        <v>49.956497192</v>
      </c>
    </row>
    <row r="1522" spans="1:14" x14ac:dyDescent="0.25">
      <c r="A1522">
        <v>1344.9879370000001</v>
      </c>
      <c r="B1522" s="1">
        <f>DATE(2014,1,4) + TIME(23,42,37)</f>
        <v>41643.987928240742</v>
      </c>
      <c r="C1522">
        <v>0</v>
      </c>
      <c r="D1522">
        <v>2400</v>
      </c>
      <c r="E1522">
        <v>2400</v>
      </c>
      <c r="F1522">
        <v>0</v>
      </c>
      <c r="G1522">
        <v>1320.9454346</v>
      </c>
      <c r="H1522">
        <v>1315.1381836</v>
      </c>
      <c r="I1522">
        <v>1364.6430664</v>
      </c>
      <c r="J1522">
        <v>1353.8466797000001</v>
      </c>
      <c r="K1522">
        <v>80</v>
      </c>
      <c r="L1522">
        <v>75.550346375000004</v>
      </c>
      <c r="M1522">
        <v>50</v>
      </c>
      <c r="N1522">
        <v>49.956554412999999</v>
      </c>
    </row>
    <row r="1523" spans="1:14" x14ac:dyDescent="0.25">
      <c r="A1523">
        <v>1347.068941</v>
      </c>
      <c r="B1523" s="1">
        <f>DATE(2014,1,7) + TIME(1,39,16)</f>
        <v>41646.068935185183</v>
      </c>
      <c r="C1523">
        <v>0</v>
      </c>
      <c r="D1523">
        <v>2400</v>
      </c>
      <c r="E1523">
        <v>2400</v>
      </c>
      <c r="F1523">
        <v>0</v>
      </c>
      <c r="G1523">
        <v>1320.8260498</v>
      </c>
      <c r="H1523">
        <v>1314.9793701000001</v>
      </c>
      <c r="I1523">
        <v>1364.6328125</v>
      </c>
      <c r="J1523">
        <v>1353.8349608999999</v>
      </c>
      <c r="K1523">
        <v>80</v>
      </c>
      <c r="L1523">
        <v>75.448646545000003</v>
      </c>
      <c r="M1523">
        <v>50</v>
      </c>
      <c r="N1523">
        <v>49.956615448000001</v>
      </c>
    </row>
    <row r="1524" spans="1:14" x14ac:dyDescent="0.25">
      <c r="A1524">
        <v>1349.20643</v>
      </c>
      <c r="B1524" s="1">
        <f>DATE(2014,1,9) + TIME(4,57,15)</f>
        <v>41648.206423611111</v>
      </c>
      <c r="C1524">
        <v>0</v>
      </c>
      <c r="D1524">
        <v>2400</v>
      </c>
      <c r="E1524">
        <v>2400</v>
      </c>
      <c r="F1524">
        <v>0</v>
      </c>
      <c r="G1524">
        <v>1320.7016602000001</v>
      </c>
      <c r="H1524">
        <v>1314.8134766000001</v>
      </c>
      <c r="I1524">
        <v>1364.6225586</v>
      </c>
      <c r="J1524">
        <v>1353.8231201000001</v>
      </c>
      <c r="K1524">
        <v>80</v>
      </c>
      <c r="L1524">
        <v>75.344367981000005</v>
      </c>
      <c r="M1524">
        <v>50</v>
      </c>
      <c r="N1524">
        <v>49.956676483000003</v>
      </c>
    </row>
    <row r="1525" spans="1:14" x14ac:dyDescent="0.25">
      <c r="A1525">
        <v>1351.405544</v>
      </c>
      <c r="B1525" s="1">
        <f>DATE(2014,1,11) + TIME(9,43,58)</f>
        <v>41650.405532407407</v>
      </c>
      <c r="C1525">
        <v>0</v>
      </c>
      <c r="D1525">
        <v>2400</v>
      </c>
      <c r="E1525">
        <v>2400</v>
      </c>
      <c r="F1525">
        <v>0</v>
      </c>
      <c r="G1525">
        <v>1320.572876</v>
      </c>
      <c r="H1525">
        <v>1314.6413574000001</v>
      </c>
      <c r="I1525">
        <v>1364.6125488</v>
      </c>
      <c r="J1525">
        <v>1353.8111572</v>
      </c>
      <c r="K1525">
        <v>80</v>
      </c>
      <c r="L1525">
        <v>75.237976074000002</v>
      </c>
      <c r="M1525">
        <v>50</v>
      </c>
      <c r="N1525">
        <v>49.956737517999997</v>
      </c>
    </row>
    <row r="1526" spans="1:14" x14ac:dyDescent="0.25">
      <c r="A1526">
        <v>1353.6548809999999</v>
      </c>
      <c r="B1526" s="1">
        <f>DATE(2014,1,13) + TIME(15,43,1)</f>
        <v>41652.654872685183</v>
      </c>
      <c r="C1526">
        <v>0</v>
      </c>
      <c r="D1526">
        <v>2400</v>
      </c>
      <c r="E1526">
        <v>2400</v>
      </c>
      <c r="F1526">
        <v>0</v>
      </c>
      <c r="G1526">
        <v>1320.4395752</v>
      </c>
      <c r="H1526">
        <v>1314.4631348</v>
      </c>
      <c r="I1526">
        <v>1364.6024170000001</v>
      </c>
      <c r="J1526">
        <v>1353.7991943</v>
      </c>
      <c r="K1526">
        <v>80</v>
      </c>
      <c r="L1526">
        <v>75.129981994999994</v>
      </c>
      <c r="M1526">
        <v>50</v>
      </c>
      <c r="N1526">
        <v>49.956802367999998</v>
      </c>
    </row>
    <row r="1527" spans="1:14" x14ac:dyDescent="0.25">
      <c r="A1527">
        <v>1355.9573720000001</v>
      </c>
      <c r="B1527" s="1">
        <f>DATE(2014,1,15) + TIME(22,58,36)</f>
        <v>41654.957361111112</v>
      </c>
      <c r="C1527">
        <v>0</v>
      </c>
      <c r="D1527">
        <v>2400</v>
      </c>
      <c r="E1527">
        <v>2400</v>
      </c>
      <c r="F1527">
        <v>0</v>
      </c>
      <c r="G1527">
        <v>1320.3024902</v>
      </c>
      <c r="H1527">
        <v>1314.2795410000001</v>
      </c>
      <c r="I1527">
        <v>1364.5925293</v>
      </c>
      <c r="J1527">
        <v>1353.7873535000001</v>
      </c>
      <c r="K1527">
        <v>80</v>
      </c>
      <c r="L1527">
        <v>75.020606994999994</v>
      </c>
      <c r="M1527">
        <v>50</v>
      </c>
      <c r="N1527">
        <v>49.956867217999999</v>
      </c>
    </row>
    <row r="1528" spans="1:14" x14ac:dyDescent="0.25">
      <c r="A1528">
        <v>1358.3178559999999</v>
      </c>
      <c r="B1528" s="1">
        <f>DATE(2014,1,18) + TIME(7,37,42)</f>
        <v>41657.317847222221</v>
      </c>
      <c r="C1528">
        <v>0</v>
      </c>
      <c r="D1528">
        <v>2400</v>
      </c>
      <c r="E1528">
        <v>2400</v>
      </c>
      <c r="F1528">
        <v>0</v>
      </c>
      <c r="G1528">
        <v>1320.161499</v>
      </c>
      <c r="H1528">
        <v>1314.0904541</v>
      </c>
      <c r="I1528">
        <v>1364.5825195</v>
      </c>
      <c r="J1528">
        <v>1353.7753906</v>
      </c>
      <c r="K1528">
        <v>80</v>
      </c>
      <c r="L1528">
        <v>74.909744262999993</v>
      </c>
      <c r="M1528">
        <v>50</v>
      </c>
      <c r="N1528">
        <v>49.956932068</v>
      </c>
    </row>
    <row r="1529" spans="1:14" x14ac:dyDescent="0.25">
      <c r="A1529">
        <v>1360.7409729999999</v>
      </c>
      <c r="B1529" s="1">
        <f>DATE(2014,1,20) + TIME(17,47,0)</f>
        <v>41659.740972222222</v>
      </c>
      <c r="C1529">
        <v>0</v>
      </c>
      <c r="D1529">
        <v>2400</v>
      </c>
      <c r="E1529">
        <v>2400</v>
      </c>
      <c r="F1529">
        <v>0</v>
      </c>
      <c r="G1529">
        <v>1320.0163574000001</v>
      </c>
      <c r="H1529">
        <v>1313.8957519999999</v>
      </c>
      <c r="I1529">
        <v>1364.5727539</v>
      </c>
      <c r="J1529">
        <v>1353.7635498</v>
      </c>
      <c r="K1529">
        <v>80</v>
      </c>
      <c r="L1529">
        <v>74.797340392999999</v>
      </c>
      <c r="M1529">
        <v>50</v>
      </c>
      <c r="N1529">
        <v>49.957000731999997</v>
      </c>
    </row>
    <row r="1530" spans="1:14" x14ac:dyDescent="0.25">
      <c r="A1530">
        <v>1363.2313449999999</v>
      </c>
      <c r="B1530" s="1">
        <f>DATE(2014,1,23) + TIME(5,33,8)</f>
        <v>41662.231342592589</v>
      </c>
      <c r="C1530">
        <v>0</v>
      </c>
      <c r="D1530">
        <v>2400</v>
      </c>
      <c r="E1530">
        <v>2400</v>
      </c>
      <c r="F1530">
        <v>0</v>
      </c>
      <c r="G1530">
        <v>1319.8669434000001</v>
      </c>
      <c r="H1530">
        <v>1313.6949463000001</v>
      </c>
      <c r="I1530">
        <v>1364.5628661999999</v>
      </c>
      <c r="J1530">
        <v>1353.7515868999999</v>
      </c>
      <c r="K1530">
        <v>80</v>
      </c>
      <c r="L1530">
        <v>74.683258057000003</v>
      </c>
      <c r="M1530">
        <v>50</v>
      </c>
      <c r="N1530">
        <v>49.957069396999998</v>
      </c>
    </row>
    <row r="1531" spans="1:14" x14ac:dyDescent="0.25">
      <c r="A1531">
        <v>1365.782672</v>
      </c>
      <c r="B1531" s="1">
        <f>DATE(2014,1,25) + TIME(18,47,2)</f>
        <v>41664.78266203704</v>
      </c>
      <c r="C1531">
        <v>0</v>
      </c>
      <c r="D1531">
        <v>2400</v>
      </c>
      <c r="E1531">
        <v>2400</v>
      </c>
      <c r="F1531">
        <v>0</v>
      </c>
      <c r="G1531">
        <v>1319.7130127</v>
      </c>
      <c r="H1531">
        <v>1313.487793</v>
      </c>
      <c r="I1531">
        <v>1364.5531006000001</v>
      </c>
      <c r="J1531">
        <v>1353.739624</v>
      </c>
      <c r="K1531">
        <v>80</v>
      </c>
      <c r="L1531">
        <v>74.567535399999997</v>
      </c>
      <c r="M1531">
        <v>50</v>
      </c>
      <c r="N1531">
        <v>49.957141876000001</v>
      </c>
    </row>
    <row r="1532" spans="1:14" x14ac:dyDescent="0.25">
      <c r="A1532">
        <v>1368.392513</v>
      </c>
      <c r="B1532" s="1">
        <f>DATE(2014,1,28) + TIME(9,25,13)</f>
        <v>41667.392511574071</v>
      </c>
      <c r="C1532">
        <v>0</v>
      </c>
      <c r="D1532">
        <v>2400</v>
      </c>
      <c r="E1532">
        <v>2400</v>
      </c>
      <c r="F1532">
        <v>0</v>
      </c>
      <c r="G1532">
        <v>1319.5549315999999</v>
      </c>
      <c r="H1532">
        <v>1313.2746582</v>
      </c>
      <c r="I1532">
        <v>1364.5432129000001</v>
      </c>
      <c r="J1532">
        <v>1353.7277832</v>
      </c>
      <c r="K1532">
        <v>80</v>
      </c>
      <c r="L1532">
        <v>74.450263977000006</v>
      </c>
      <c r="M1532">
        <v>50</v>
      </c>
      <c r="N1532">
        <v>49.957214354999998</v>
      </c>
    </row>
    <row r="1533" spans="1:14" x14ac:dyDescent="0.25">
      <c r="A1533">
        <v>1371.0666550000001</v>
      </c>
      <c r="B1533" s="1">
        <f>DATE(2014,1,31) + TIME(1,35,59)</f>
        <v>41670.066655092596</v>
      </c>
      <c r="C1533">
        <v>0</v>
      </c>
      <c r="D1533">
        <v>2400</v>
      </c>
      <c r="E1533">
        <v>2400</v>
      </c>
      <c r="F1533">
        <v>0</v>
      </c>
      <c r="G1533">
        <v>1319.3925781</v>
      </c>
      <c r="H1533">
        <v>1313.0557861</v>
      </c>
      <c r="I1533">
        <v>1364.5334473</v>
      </c>
      <c r="J1533">
        <v>1353.7158202999999</v>
      </c>
      <c r="K1533">
        <v>80</v>
      </c>
      <c r="L1533">
        <v>74.331359863000003</v>
      </c>
      <c r="M1533">
        <v>50</v>
      </c>
      <c r="N1533">
        <v>49.957286834999998</v>
      </c>
    </row>
    <row r="1534" spans="1:14" x14ac:dyDescent="0.25">
      <c r="A1534">
        <v>1372</v>
      </c>
      <c r="B1534" s="1">
        <f>DATE(2014,2,1) + TIME(0,0,0)</f>
        <v>41671</v>
      </c>
      <c r="C1534">
        <v>0</v>
      </c>
      <c r="D1534">
        <v>2400</v>
      </c>
      <c r="E1534">
        <v>2400</v>
      </c>
      <c r="F1534">
        <v>0</v>
      </c>
      <c r="G1534">
        <v>1319.2393798999999</v>
      </c>
      <c r="H1534">
        <v>1312.8538818</v>
      </c>
      <c r="I1534">
        <v>1364.5228271000001</v>
      </c>
      <c r="J1534">
        <v>1353.7038574000001</v>
      </c>
      <c r="K1534">
        <v>80</v>
      </c>
      <c r="L1534">
        <v>74.262474060000002</v>
      </c>
      <c r="M1534">
        <v>50</v>
      </c>
      <c r="N1534">
        <v>49.957313538000001</v>
      </c>
    </row>
    <row r="1535" spans="1:14" x14ac:dyDescent="0.25">
      <c r="A1535">
        <v>1374.7441819999999</v>
      </c>
      <c r="B1535" s="1">
        <f>DATE(2014,2,3) + TIME(17,51,37)</f>
        <v>41673.74417824074</v>
      </c>
      <c r="C1535">
        <v>0</v>
      </c>
      <c r="D1535">
        <v>2400</v>
      </c>
      <c r="E1535">
        <v>2400</v>
      </c>
      <c r="F1535">
        <v>0</v>
      </c>
      <c r="G1535">
        <v>1319.152832</v>
      </c>
      <c r="H1535">
        <v>1312.7292480000001</v>
      </c>
      <c r="I1535">
        <v>1364.5205077999999</v>
      </c>
      <c r="J1535">
        <v>1353.6994629000001</v>
      </c>
      <c r="K1535">
        <v>80</v>
      </c>
      <c r="L1535">
        <v>74.158439635999997</v>
      </c>
      <c r="M1535">
        <v>50</v>
      </c>
      <c r="N1535">
        <v>49.957386016999997</v>
      </c>
    </row>
    <row r="1536" spans="1:14" x14ac:dyDescent="0.25">
      <c r="A1536">
        <v>1377.5893610000001</v>
      </c>
      <c r="B1536" s="1">
        <f>DATE(2014,2,6) + TIME(14,8,40)</f>
        <v>41676.58935185185</v>
      </c>
      <c r="C1536">
        <v>0</v>
      </c>
      <c r="D1536">
        <v>2400</v>
      </c>
      <c r="E1536">
        <v>2400</v>
      </c>
      <c r="F1536">
        <v>0</v>
      </c>
      <c r="G1536">
        <v>1318.9907227000001</v>
      </c>
      <c r="H1536">
        <v>1312.5114745999999</v>
      </c>
      <c r="I1536">
        <v>1364.5106201000001</v>
      </c>
      <c r="J1536">
        <v>1353.6879882999999</v>
      </c>
      <c r="K1536">
        <v>80</v>
      </c>
      <c r="L1536">
        <v>74.041900635000005</v>
      </c>
      <c r="M1536">
        <v>50</v>
      </c>
      <c r="N1536">
        <v>49.957462311</v>
      </c>
    </row>
    <row r="1537" spans="1:14" x14ac:dyDescent="0.25">
      <c r="A1537">
        <v>1380.498515</v>
      </c>
      <c r="B1537" s="1">
        <f>DATE(2014,2,9) + TIME(11,57,51)</f>
        <v>41679.498506944445</v>
      </c>
      <c r="C1537">
        <v>0</v>
      </c>
      <c r="D1537">
        <v>2400</v>
      </c>
      <c r="E1537">
        <v>2400</v>
      </c>
      <c r="F1537">
        <v>0</v>
      </c>
      <c r="G1537">
        <v>1318.8168945</v>
      </c>
      <c r="H1537">
        <v>1312.2764893000001</v>
      </c>
      <c r="I1537">
        <v>1364.5007324000001</v>
      </c>
      <c r="J1537">
        <v>1353.6761475000001</v>
      </c>
      <c r="K1537">
        <v>80</v>
      </c>
      <c r="L1537">
        <v>73.918823242000002</v>
      </c>
      <c r="M1537">
        <v>50</v>
      </c>
      <c r="N1537">
        <v>49.957538605000003</v>
      </c>
    </row>
    <row r="1538" spans="1:14" x14ac:dyDescent="0.25">
      <c r="A1538">
        <v>1383.4684910000001</v>
      </c>
      <c r="B1538" s="1">
        <f>DATE(2014,2,12) + TIME(11,14,37)</f>
        <v>41682.4684837963</v>
      </c>
      <c r="C1538">
        <v>0</v>
      </c>
      <c r="D1538">
        <v>2400</v>
      </c>
      <c r="E1538">
        <v>2400</v>
      </c>
      <c r="F1538">
        <v>0</v>
      </c>
      <c r="G1538">
        <v>1318.6363524999999</v>
      </c>
      <c r="H1538">
        <v>1312.0317382999999</v>
      </c>
      <c r="I1538">
        <v>1364.4907227000001</v>
      </c>
      <c r="J1538">
        <v>1353.6644286999999</v>
      </c>
      <c r="K1538">
        <v>80</v>
      </c>
      <c r="L1538">
        <v>73.792045592999997</v>
      </c>
      <c r="M1538">
        <v>50</v>
      </c>
      <c r="N1538">
        <v>49.957614898999999</v>
      </c>
    </row>
    <row r="1539" spans="1:14" x14ac:dyDescent="0.25">
      <c r="A1539">
        <v>1386.5036600000001</v>
      </c>
      <c r="B1539" s="1">
        <f>DATE(2014,2,15) + TIME(12,5,16)</f>
        <v>41685.503657407404</v>
      </c>
      <c r="C1539">
        <v>0</v>
      </c>
      <c r="D1539">
        <v>2400</v>
      </c>
      <c r="E1539">
        <v>2400</v>
      </c>
      <c r="F1539">
        <v>0</v>
      </c>
      <c r="G1539">
        <v>1318.4509277</v>
      </c>
      <c r="H1539">
        <v>1311.7799072</v>
      </c>
      <c r="I1539">
        <v>1364.4808350000001</v>
      </c>
      <c r="J1539">
        <v>1353.6525879000001</v>
      </c>
      <c r="K1539">
        <v>80</v>
      </c>
      <c r="L1539">
        <v>73.662513732999997</v>
      </c>
      <c r="M1539">
        <v>50</v>
      </c>
      <c r="N1539">
        <v>49.957695006999998</v>
      </c>
    </row>
    <row r="1540" spans="1:14" x14ac:dyDescent="0.25">
      <c r="A1540">
        <v>1389.6118349999999</v>
      </c>
      <c r="B1540" s="1">
        <f>DATE(2014,2,18) + TIME(14,41,2)</f>
        <v>41688.611828703702</v>
      </c>
      <c r="C1540">
        <v>0</v>
      </c>
      <c r="D1540">
        <v>2400</v>
      </c>
      <c r="E1540">
        <v>2400</v>
      </c>
      <c r="F1540">
        <v>0</v>
      </c>
      <c r="G1540">
        <v>1318.2611084</v>
      </c>
      <c r="H1540">
        <v>1311.5216064000001</v>
      </c>
      <c r="I1540">
        <v>1364.4708252</v>
      </c>
      <c r="J1540">
        <v>1353.6408690999999</v>
      </c>
      <c r="K1540">
        <v>80</v>
      </c>
      <c r="L1540">
        <v>73.530342102000006</v>
      </c>
      <c r="M1540">
        <v>50</v>
      </c>
      <c r="N1540">
        <v>49.957771301000001</v>
      </c>
    </row>
    <row r="1541" spans="1:14" x14ac:dyDescent="0.25">
      <c r="A1541">
        <v>1392.7902529999999</v>
      </c>
      <c r="B1541" s="1">
        <f>DATE(2014,2,21) + TIME(18,57,57)</f>
        <v>41691.790243055555</v>
      </c>
      <c r="C1541">
        <v>0</v>
      </c>
      <c r="D1541">
        <v>2400</v>
      </c>
      <c r="E1541">
        <v>2400</v>
      </c>
      <c r="F1541">
        <v>0</v>
      </c>
      <c r="G1541">
        <v>1318.0667725000001</v>
      </c>
      <c r="H1541">
        <v>1311.2568358999999</v>
      </c>
      <c r="I1541">
        <v>1364.4606934000001</v>
      </c>
      <c r="J1541">
        <v>1353.6290283000001</v>
      </c>
      <c r="K1541">
        <v>80</v>
      </c>
      <c r="L1541">
        <v>73.395378113000007</v>
      </c>
      <c r="M1541">
        <v>50</v>
      </c>
      <c r="N1541">
        <v>49.957851410000004</v>
      </c>
    </row>
    <row r="1542" spans="1:14" x14ac:dyDescent="0.25">
      <c r="A1542">
        <v>1396.0347670000001</v>
      </c>
      <c r="B1542" s="1">
        <f>DATE(2014,2,25) + TIME(0,50,3)</f>
        <v>41695.034756944442</v>
      </c>
      <c r="C1542">
        <v>0</v>
      </c>
      <c r="D1542">
        <v>2400</v>
      </c>
      <c r="E1542">
        <v>2400</v>
      </c>
      <c r="F1542">
        <v>0</v>
      </c>
      <c r="G1542">
        <v>1317.8684082</v>
      </c>
      <c r="H1542">
        <v>1310.9860839999999</v>
      </c>
      <c r="I1542">
        <v>1364.4505615</v>
      </c>
      <c r="J1542">
        <v>1353.6173096</v>
      </c>
      <c r="K1542">
        <v>80</v>
      </c>
      <c r="L1542">
        <v>73.257530212000006</v>
      </c>
      <c r="M1542">
        <v>50</v>
      </c>
      <c r="N1542">
        <v>49.957931518999999</v>
      </c>
    </row>
    <row r="1543" spans="1:14" x14ac:dyDescent="0.25">
      <c r="A1543">
        <v>1399.3539060000001</v>
      </c>
      <c r="B1543" s="1">
        <f>DATE(2014,2,28) + TIME(8,29,37)</f>
        <v>41698.353900462964</v>
      </c>
      <c r="C1543">
        <v>0</v>
      </c>
      <c r="D1543">
        <v>2400</v>
      </c>
      <c r="E1543">
        <v>2400</v>
      </c>
      <c r="F1543">
        <v>0</v>
      </c>
      <c r="G1543">
        <v>1317.6660156</v>
      </c>
      <c r="H1543">
        <v>1310.7093506000001</v>
      </c>
      <c r="I1543">
        <v>1364.4403076000001</v>
      </c>
      <c r="J1543">
        <v>1353.6057129000001</v>
      </c>
      <c r="K1543">
        <v>80</v>
      </c>
      <c r="L1543">
        <v>73.116531371999997</v>
      </c>
      <c r="M1543">
        <v>50</v>
      </c>
      <c r="N1543">
        <v>49.958015441999997</v>
      </c>
    </row>
    <row r="1544" spans="1:14" x14ac:dyDescent="0.25">
      <c r="A1544">
        <v>1400</v>
      </c>
      <c r="B1544" s="1">
        <f>DATE(2014,3,1) + TIME(0,0,0)</f>
        <v>41699</v>
      </c>
      <c r="C1544">
        <v>0</v>
      </c>
      <c r="D1544">
        <v>2400</v>
      </c>
      <c r="E1544">
        <v>2400</v>
      </c>
      <c r="F1544">
        <v>0</v>
      </c>
      <c r="G1544">
        <v>1317.4821777</v>
      </c>
      <c r="H1544">
        <v>1310.4676514</v>
      </c>
      <c r="I1544">
        <v>1364.4287108999999</v>
      </c>
      <c r="J1544">
        <v>1353.5938721</v>
      </c>
      <c r="K1544">
        <v>80</v>
      </c>
      <c r="L1544">
        <v>73.055480957</v>
      </c>
      <c r="M1544">
        <v>50</v>
      </c>
      <c r="N1544">
        <v>49.958026885999999</v>
      </c>
    </row>
    <row r="1545" spans="1:14" x14ac:dyDescent="0.25">
      <c r="A1545">
        <v>1403.402617</v>
      </c>
      <c r="B1545" s="1">
        <f>DATE(2014,3,4) + TIME(9,39,46)</f>
        <v>41702.402615740742</v>
      </c>
      <c r="C1545">
        <v>0</v>
      </c>
      <c r="D1545">
        <v>2400</v>
      </c>
      <c r="E1545">
        <v>2400</v>
      </c>
      <c r="F1545">
        <v>0</v>
      </c>
      <c r="G1545">
        <v>1317.401001</v>
      </c>
      <c r="H1545">
        <v>1310.3433838000001</v>
      </c>
      <c r="I1545">
        <v>1364.4281006000001</v>
      </c>
      <c r="J1545">
        <v>1353.5913086</v>
      </c>
      <c r="K1545">
        <v>80</v>
      </c>
      <c r="L1545">
        <v>72.93296814</v>
      </c>
      <c r="M1545">
        <v>50</v>
      </c>
      <c r="N1545">
        <v>49.958114623999997</v>
      </c>
    </row>
    <row r="1546" spans="1:14" x14ac:dyDescent="0.25">
      <c r="A1546">
        <v>1406.890617</v>
      </c>
      <c r="B1546" s="1">
        <f>DATE(2014,3,7) + TIME(21,22,29)</f>
        <v>41705.890613425923</v>
      </c>
      <c r="C1546">
        <v>0</v>
      </c>
      <c r="D1546">
        <v>2400</v>
      </c>
      <c r="E1546">
        <v>2400</v>
      </c>
      <c r="F1546">
        <v>0</v>
      </c>
      <c r="G1546">
        <v>1317.2026367000001</v>
      </c>
      <c r="H1546">
        <v>1310.0734863</v>
      </c>
      <c r="I1546">
        <v>1364.4174805</v>
      </c>
      <c r="J1546">
        <v>1353.5800781</v>
      </c>
      <c r="K1546">
        <v>80</v>
      </c>
      <c r="L1546">
        <v>72.791000366000006</v>
      </c>
      <c r="M1546">
        <v>50</v>
      </c>
      <c r="N1546">
        <v>49.958194732999999</v>
      </c>
    </row>
    <row r="1547" spans="1:14" x14ac:dyDescent="0.25">
      <c r="A1547">
        <v>1410.4574520000001</v>
      </c>
      <c r="B1547" s="1">
        <f>DATE(2014,3,11) + TIME(10,58,43)</f>
        <v>41709.457442129627</v>
      </c>
      <c r="C1547">
        <v>0</v>
      </c>
      <c r="D1547">
        <v>2400</v>
      </c>
      <c r="E1547">
        <v>2400</v>
      </c>
      <c r="F1547">
        <v>0</v>
      </c>
      <c r="G1547">
        <v>1316.9913329999999</v>
      </c>
      <c r="H1547">
        <v>1309.7836914</v>
      </c>
      <c r="I1547">
        <v>1364.4066161999999</v>
      </c>
      <c r="J1547">
        <v>1353.5686035000001</v>
      </c>
      <c r="K1547">
        <v>80</v>
      </c>
      <c r="L1547">
        <v>72.639419556000007</v>
      </c>
      <c r="M1547">
        <v>50</v>
      </c>
      <c r="N1547">
        <v>49.958274840999998</v>
      </c>
    </row>
    <row r="1548" spans="1:14" x14ac:dyDescent="0.25">
      <c r="A1548">
        <v>1414.114032</v>
      </c>
      <c r="B1548" s="1">
        <f>DATE(2014,3,15) + TIME(2,44,12)</f>
        <v>41713.114027777781</v>
      </c>
      <c r="C1548">
        <v>0</v>
      </c>
      <c r="D1548">
        <v>2400</v>
      </c>
      <c r="E1548">
        <v>2400</v>
      </c>
      <c r="F1548">
        <v>0</v>
      </c>
      <c r="G1548">
        <v>1316.7733154</v>
      </c>
      <c r="H1548">
        <v>1309.4837646000001</v>
      </c>
      <c r="I1548">
        <v>1364.3957519999999</v>
      </c>
      <c r="J1548">
        <v>1353.5570068</v>
      </c>
      <c r="K1548">
        <v>80</v>
      </c>
      <c r="L1548">
        <v>72.481132506999998</v>
      </c>
      <c r="M1548">
        <v>50</v>
      </c>
      <c r="N1548">
        <v>49.958358765</v>
      </c>
    </row>
    <row r="1549" spans="1:14" x14ac:dyDescent="0.25">
      <c r="A1549">
        <v>1417.853435</v>
      </c>
      <c r="B1549" s="1">
        <f>DATE(2014,3,18) + TIME(20,28,56)</f>
        <v>41716.853425925925</v>
      </c>
      <c r="C1549">
        <v>0</v>
      </c>
      <c r="D1549">
        <v>2400</v>
      </c>
      <c r="E1549">
        <v>2400</v>
      </c>
      <c r="F1549">
        <v>0</v>
      </c>
      <c r="G1549">
        <v>1316.5501709</v>
      </c>
      <c r="H1549">
        <v>1309.1760254000001</v>
      </c>
      <c r="I1549">
        <v>1364.3845214999999</v>
      </c>
      <c r="J1549">
        <v>1353.5455322</v>
      </c>
      <c r="K1549">
        <v>80</v>
      </c>
      <c r="L1549">
        <v>72.316635132000002</v>
      </c>
      <c r="M1549">
        <v>50</v>
      </c>
      <c r="N1549">
        <v>49.958442687999998</v>
      </c>
    </row>
    <row r="1550" spans="1:14" x14ac:dyDescent="0.25">
      <c r="A1550">
        <v>1421.677938</v>
      </c>
      <c r="B1550" s="1">
        <f>DATE(2014,3,22) + TIME(16,16,13)</f>
        <v>41720.677928240744</v>
      </c>
      <c r="C1550">
        <v>0</v>
      </c>
      <c r="D1550">
        <v>2400</v>
      </c>
      <c r="E1550">
        <v>2400</v>
      </c>
      <c r="F1550">
        <v>0</v>
      </c>
      <c r="G1550">
        <v>1316.3229980000001</v>
      </c>
      <c r="H1550">
        <v>1308.8620605000001</v>
      </c>
      <c r="I1550">
        <v>1364.3731689000001</v>
      </c>
      <c r="J1550">
        <v>1353.5339355000001</v>
      </c>
      <c r="K1550">
        <v>80</v>
      </c>
      <c r="L1550">
        <v>72.145812988000003</v>
      </c>
      <c r="M1550">
        <v>50</v>
      </c>
      <c r="N1550">
        <v>49.958526611000003</v>
      </c>
    </row>
    <row r="1551" spans="1:14" x14ac:dyDescent="0.25">
      <c r="A1551">
        <v>1425.5996580000001</v>
      </c>
      <c r="B1551" s="1">
        <f>DATE(2014,3,26) + TIME(14,23,30)</f>
        <v>41724.599652777775</v>
      </c>
      <c r="C1551">
        <v>0</v>
      </c>
      <c r="D1551">
        <v>2400</v>
      </c>
      <c r="E1551">
        <v>2400</v>
      </c>
      <c r="F1551">
        <v>0</v>
      </c>
      <c r="G1551">
        <v>1316.0920410000001</v>
      </c>
      <c r="H1551">
        <v>1308.5423584</v>
      </c>
      <c r="I1551">
        <v>1364.3614502</v>
      </c>
      <c r="J1551">
        <v>1353.5223389</v>
      </c>
      <c r="K1551">
        <v>80</v>
      </c>
      <c r="L1551">
        <v>71.968032836999996</v>
      </c>
      <c r="M1551">
        <v>50</v>
      </c>
      <c r="N1551">
        <v>49.958610534999998</v>
      </c>
    </row>
    <row r="1552" spans="1:14" x14ac:dyDescent="0.25">
      <c r="A1552">
        <v>1429.622842</v>
      </c>
      <c r="B1552" s="1">
        <f>DATE(2014,3,30) + TIME(14,56,53)</f>
        <v>41728.622835648152</v>
      </c>
      <c r="C1552">
        <v>0</v>
      </c>
      <c r="D1552">
        <v>2400</v>
      </c>
      <c r="E1552">
        <v>2400</v>
      </c>
      <c r="F1552">
        <v>0</v>
      </c>
      <c r="G1552">
        <v>1315.8571777</v>
      </c>
      <c r="H1552">
        <v>1308.2164307</v>
      </c>
      <c r="I1552">
        <v>1364.3494873</v>
      </c>
      <c r="J1552">
        <v>1353.5106201000001</v>
      </c>
      <c r="K1552">
        <v>80</v>
      </c>
      <c r="L1552">
        <v>71.782371521000002</v>
      </c>
      <c r="M1552">
        <v>50</v>
      </c>
      <c r="N1552">
        <v>49.958694457999997</v>
      </c>
    </row>
    <row r="1553" spans="1:14" x14ac:dyDescent="0.25">
      <c r="A1553">
        <v>1431</v>
      </c>
      <c r="B1553" s="1">
        <f>DATE(2014,4,1) + TIME(0,0,0)</f>
        <v>41730</v>
      </c>
      <c r="C1553">
        <v>0</v>
      </c>
      <c r="D1553">
        <v>2400</v>
      </c>
      <c r="E1553">
        <v>2400</v>
      </c>
      <c r="F1553">
        <v>0</v>
      </c>
      <c r="G1553">
        <v>1315.6337891000001</v>
      </c>
      <c r="H1553">
        <v>1307.9151611</v>
      </c>
      <c r="I1553">
        <v>1364.3363036999999</v>
      </c>
      <c r="J1553">
        <v>1353.4986572</v>
      </c>
      <c r="K1553">
        <v>80</v>
      </c>
      <c r="L1553">
        <v>71.655380249000004</v>
      </c>
      <c r="M1553">
        <v>50</v>
      </c>
      <c r="N1553">
        <v>49.958721161</v>
      </c>
    </row>
    <row r="1554" spans="1:14" x14ac:dyDescent="0.25">
      <c r="A1554">
        <v>1435.1163340000001</v>
      </c>
      <c r="B1554" s="1">
        <f>DATE(2014,4,5) + TIME(2,47,31)</f>
        <v>41734.116331018522</v>
      </c>
      <c r="C1554">
        <v>0</v>
      </c>
      <c r="D1554">
        <v>2400</v>
      </c>
      <c r="E1554">
        <v>2400</v>
      </c>
      <c r="F1554">
        <v>0</v>
      </c>
      <c r="G1554">
        <v>1315.5092772999999</v>
      </c>
      <c r="H1554">
        <v>1307.7274170000001</v>
      </c>
      <c r="I1554">
        <v>1364.3332519999999</v>
      </c>
      <c r="J1554">
        <v>1353.4943848</v>
      </c>
      <c r="K1554">
        <v>80</v>
      </c>
      <c r="L1554">
        <v>71.503837584999999</v>
      </c>
      <c r="M1554">
        <v>50</v>
      </c>
      <c r="N1554">
        <v>49.958808898999997</v>
      </c>
    </row>
    <row r="1555" spans="1:14" x14ac:dyDescent="0.25">
      <c r="A1555">
        <v>1439.3666820000001</v>
      </c>
      <c r="B1555" s="1">
        <f>DATE(2014,4,9) + TIME(8,48,1)</f>
        <v>41738.366678240738</v>
      </c>
      <c r="C1555">
        <v>0</v>
      </c>
      <c r="D1555">
        <v>2400</v>
      </c>
      <c r="E1555">
        <v>2400</v>
      </c>
      <c r="F1555">
        <v>0</v>
      </c>
      <c r="G1555">
        <v>1315.2880858999999</v>
      </c>
      <c r="H1555">
        <v>1307.4227295000001</v>
      </c>
      <c r="I1555">
        <v>1364.3203125</v>
      </c>
      <c r="J1555">
        <v>1353.4831543</v>
      </c>
      <c r="K1555">
        <v>80</v>
      </c>
      <c r="L1555">
        <v>71.309959411999998</v>
      </c>
      <c r="M1555">
        <v>50</v>
      </c>
      <c r="N1555">
        <v>49.958892822000003</v>
      </c>
    </row>
    <row r="1556" spans="1:14" x14ac:dyDescent="0.25">
      <c r="A1556">
        <v>1443.7259389999999</v>
      </c>
      <c r="B1556" s="1">
        <f>DATE(2014,4,13) + TIME(17,25,21)</f>
        <v>41742.725937499999</v>
      </c>
      <c r="C1556">
        <v>0</v>
      </c>
      <c r="D1556">
        <v>2400</v>
      </c>
      <c r="E1556">
        <v>2400</v>
      </c>
      <c r="F1556">
        <v>0</v>
      </c>
      <c r="G1556">
        <v>1315.0478516000001</v>
      </c>
      <c r="H1556">
        <v>1307.0878906</v>
      </c>
      <c r="I1556">
        <v>1364.3070068</v>
      </c>
      <c r="J1556">
        <v>1353.4714355000001</v>
      </c>
      <c r="K1556">
        <v>80</v>
      </c>
      <c r="L1556">
        <v>71.095954895000006</v>
      </c>
      <c r="M1556">
        <v>50</v>
      </c>
      <c r="N1556">
        <v>49.958980560000001</v>
      </c>
    </row>
    <row r="1557" spans="1:14" x14ac:dyDescent="0.25">
      <c r="A1557">
        <v>1448.2036439999999</v>
      </c>
      <c r="B1557" s="1">
        <f>DATE(2014,4,18) + TIME(4,53,14)</f>
        <v>41747.203634259262</v>
      </c>
      <c r="C1557">
        <v>0</v>
      </c>
      <c r="D1557">
        <v>2400</v>
      </c>
      <c r="E1557">
        <v>2400</v>
      </c>
      <c r="F1557">
        <v>0</v>
      </c>
      <c r="G1557">
        <v>1314.8001709</v>
      </c>
      <c r="H1557">
        <v>1306.7412108999999</v>
      </c>
      <c r="I1557">
        <v>1364.293457</v>
      </c>
      <c r="J1557">
        <v>1353.4595947</v>
      </c>
      <c r="K1557">
        <v>80</v>
      </c>
      <c r="L1557">
        <v>70.867874146000005</v>
      </c>
      <c r="M1557">
        <v>50</v>
      </c>
      <c r="N1557">
        <v>49.959064484000002</v>
      </c>
    </row>
    <row r="1558" spans="1:14" x14ac:dyDescent="0.25">
      <c r="A1558">
        <v>1452.7826</v>
      </c>
      <c r="B1558" s="1">
        <f>DATE(2014,4,22) + TIME(18,46,56)</f>
        <v>41751.782592592594</v>
      </c>
      <c r="C1558">
        <v>0</v>
      </c>
      <c r="D1558">
        <v>2400</v>
      </c>
      <c r="E1558">
        <v>2400</v>
      </c>
      <c r="F1558">
        <v>0</v>
      </c>
      <c r="G1558">
        <v>1314.5483397999999</v>
      </c>
      <c r="H1558">
        <v>1306.3875731999999</v>
      </c>
      <c r="I1558">
        <v>1364.2792969</v>
      </c>
      <c r="J1558">
        <v>1353.4475098</v>
      </c>
      <c r="K1558">
        <v>80</v>
      </c>
      <c r="L1558">
        <v>70.626571655000006</v>
      </c>
      <c r="M1558">
        <v>50</v>
      </c>
      <c r="N1558">
        <v>49.959152222</v>
      </c>
    </row>
    <row r="1559" spans="1:14" x14ac:dyDescent="0.25">
      <c r="A1559">
        <v>1457.477243</v>
      </c>
      <c r="B1559" s="1">
        <f>DATE(2014,4,27) + TIME(11,27,13)</f>
        <v>41756.477233796293</v>
      </c>
      <c r="C1559">
        <v>0</v>
      </c>
      <c r="D1559">
        <v>2400</v>
      </c>
      <c r="E1559">
        <v>2400</v>
      </c>
      <c r="F1559">
        <v>0</v>
      </c>
      <c r="G1559">
        <v>1314.2941894999999</v>
      </c>
      <c r="H1559">
        <v>1306.0295410000001</v>
      </c>
      <c r="I1559">
        <v>1364.2647704999999</v>
      </c>
      <c r="J1559">
        <v>1353.4354248</v>
      </c>
      <c r="K1559">
        <v>80</v>
      </c>
      <c r="L1559">
        <v>70.372009277000004</v>
      </c>
      <c r="M1559">
        <v>50</v>
      </c>
      <c r="N1559">
        <v>49.959236144999998</v>
      </c>
    </row>
    <row r="1560" spans="1:14" x14ac:dyDescent="0.25">
      <c r="A1560">
        <v>1461</v>
      </c>
      <c r="B1560" s="1">
        <f>DATE(2014,5,1) + TIME(0,0,0)</f>
        <v>41760</v>
      </c>
      <c r="C1560">
        <v>0</v>
      </c>
      <c r="D1560">
        <v>2400</v>
      </c>
      <c r="E1560">
        <v>2400</v>
      </c>
      <c r="F1560">
        <v>0</v>
      </c>
      <c r="G1560">
        <v>1314.041626</v>
      </c>
      <c r="H1560">
        <v>1305.6757812000001</v>
      </c>
      <c r="I1560">
        <v>1364.2495117000001</v>
      </c>
      <c r="J1560">
        <v>1353.4229736</v>
      </c>
      <c r="K1560">
        <v>80</v>
      </c>
      <c r="L1560">
        <v>70.123825073000006</v>
      </c>
      <c r="M1560">
        <v>50</v>
      </c>
      <c r="N1560">
        <v>49.95929718</v>
      </c>
    </row>
    <row r="1561" spans="1:14" x14ac:dyDescent="0.25">
      <c r="A1561">
        <v>1461.0000010000001</v>
      </c>
      <c r="B1561" s="1">
        <f>DATE(2014,5,1) + TIME(0,0,0)</f>
        <v>41760</v>
      </c>
      <c r="C1561">
        <v>2400</v>
      </c>
      <c r="D1561">
        <v>0</v>
      </c>
      <c r="E1561">
        <v>0</v>
      </c>
      <c r="F1561">
        <v>2400</v>
      </c>
      <c r="G1561">
        <v>1325.1053466999999</v>
      </c>
      <c r="H1561">
        <v>1314.6174315999999</v>
      </c>
      <c r="I1561">
        <v>1352.9858397999999</v>
      </c>
      <c r="J1561">
        <v>1344.6424560999999</v>
      </c>
      <c r="K1561">
        <v>80</v>
      </c>
      <c r="L1561">
        <v>70.123916625999996</v>
      </c>
      <c r="M1561">
        <v>50</v>
      </c>
      <c r="N1561">
        <v>49.959243774000001</v>
      </c>
    </row>
    <row r="1562" spans="1:14" x14ac:dyDescent="0.25">
      <c r="A1562">
        <v>1461.000004</v>
      </c>
      <c r="B1562" s="1">
        <f>DATE(2014,5,1) + TIME(0,0,0)</f>
        <v>41760</v>
      </c>
      <c r="C1562">
        <v>2400</v>
      </c>
      <c r="D1562">
        <v>0</v>
      </c>
      <c r="E1562">
        <v>0</v>
      </c>
      <c r="F1562">
        <v>2400</v>
      </c>
      <c r="G1562">
        <v>1326.3420410000001</v>
      </c>
      <c r="H1562">
        <v>1316.0810547000001</v>
      </c>
      <c r="I1562">
        <v>1351.8199463000001</v>
      </c>
      <c r="J1562">
        <v>1343.4760742000001</v>
      </c>
      <c r="K1562">
        <v>80</v>
      </c>
      <c r="L1562">
        <v>70.124137877999999</v>
      </c>
      <c r="M1562">
        <v>50</v>
      </c>
      <c r="N1562">
        <v>49.959095001000001</v>
      </c>
    </row>
    <row r="1563" spans="1:14" x14ac:dyDescent="0.25">
      <c r="A1563">
        <v>1461.0000130000001</v>
      </c>
      <c r="B1563" s="1">
        <f>DATE(2014,5,1) + TIME(0,0,1)</f>
        <v>41760.000011574077</v>
      </c>
      <c r="C1563">
        <v>2400</v>
      </c>
      <c r="D1563">
        <v>0</v>
      </c>
      <c r="E1563">
        <v>0</v>
      </c>
      <c r="F1563">
        <v>2400</v>
      </c>
      <c r="G1563">
        <v>1329.0352783000001</v>
      </c>
      <c r="H1563">
        <v>1319.0810547000001</v>
      </c>
      <c r="I1563">
        <v>1349.2042236</v>
      </c>
      <c r="J1563">
        <v>1340.8597411999999</v>
      </c>
      <c r="K1563">
        <v>80</v>
      </c>
      <c r="L1563">
        <v>70.124626160000005</v>
      </c>
      <c r="M1563">
        <v>50</v>
      </c>
      <c r="N1563">
        <v>49.958766937</v>
      </c>
    </row>
    <row r="1564" spans="1:14" x14ac:dyDescent="0.25">
      <c r="A1564">
        <v>1461.0000399999999</v>
      </c>
      <c r="B1564" s="1">
        <f>DATE(2014,5,1) + TIME(0,0,3)</f>
        <v>41760.000034722223</v>
      </c>
      <c r="C1564">
        <v>2400</v>
      </c>
      <c r="D1564">
        <v>0</v>
      </c>
      <c r="E1564">
        <v>0</v>
      </c>
      <c r="F1564">
        <v>2400</v>
      </c>
      <c r="G1564">
        <v>1333.4248047000001</v>
      </c>
      <c r="H1564">
        <v>1323.6011963000001</v>
      </c>
      <c r="I1564">
        <v>1344.8325195</v>
      </c>
      <c r="J1564">
        <v>1336.4886475000001</v>
      </c>
      <c r="K1564">
        <v>80</v>
      </c>
      <c r="L1564">
        <v>70.125473021999994</v>
      </c>
      <c r="M1564">
        <v>50</v>
      </c>
      <c r="N1564">
        <v>49.958213806000003</v>
      </c>
    </row>
    <row r="1565" spans="1:14" x14ac:dyDescent="0.25">
      <c r="A1565">
        <v>1461.000121</v>
      </c>
      <c r="B1565" s="1">
        <f>DATE(2014,5,1) + TIME(0,0,10)</f>
        <v>41760.000115740739</v>
      </c>
      <c r="C1565">
        <v>2400</v>
      </c>
      <c r="D1565">
        <v>0</v>
      </c>
      <c r="E1565">
        <v>0</v>
      </c>
      <c r="F1565">
        <v>2400</v>
      </c>
      <c r="G1565">
        <v>1338.7774658000001</v>
      </c>
      <c r="H1565">
        <v>1328.8526611</v>
      </c>
      <c r="I1565">
        <v>1339.4941406</v>
      </c>
      <c r="J1565">
        <v>1331.1545410000001</v>
      </c>
      <c r="K1565">
        <v>80</v>
      </c>
      <c r="L1565">
        <v>70.126869201999995</v>
      </c>
      <c r="M1565">
        <v>50</v>
      </c>
      <c r="N1565">
        <v>49.957534789999997</v>
      </c>
    </row>
    <row r="1566" spans="1:14" x14ac:dyDescent="0.25">
      <c r="A1566">
        <v>1461.000364</v>
      </c>
      <c r="B1566" s="1">
        <f>DATE(2014,5,1) + TIME(0,0,31)</f>
        <v>41760.000358796293</v>
      </c>
      <c r="C1566">
        <v>2400</v>
      </c>
      <c r="D1566">
        <v>0</v>
      </c>
      <c r="E1566">
        <v>0</v>
      </c>
      <c r="F1566">
        <v>2400</v>
      </c>
      <c r="G1566">
        <v>1344.3869629000001</v>
      </c>
      <c r="H1566">
        <v>1334.3139647999999</v>
      </c>
      <c r="I1566">
        <v>1333.994751</v>
      </c>
      <c r="J1566">
        <v>1325.6610106999999</v>
      </c>
      <c r="K1566">
        <v>80</v>
      </c>
      <c r="L1566">
        <v>70.129676818999997</v>
      </c>
      <c r="M1566">
        <v>50</v>
      </c>
      <c r="N1566">
        <v>49.956825256000002</v>
      </c>
    </row>
    <row r="1567" spans="1:14" x14ac:dyDescent="0.25">
      <c r="A1567">
        <v>1461.0010930000001</v>
      </c>
      <c r="B1567" s="1">
        <f>DATE(2014,5,1) + TIME(0,1,34)</f>
        <v>41760.001087962963</v>
      </c>
      <c r="C1567">
        <v>2400</v>
      </c>
      <c r="D1567">
        <v>0</v>
      </c>
      <c r="E1567">
        <v>0</v>
      </c>
      <c r="F1567">
        <v>2400</v>
      </c>
      <c r="G1567">
        <v>1350.1622314000001</v>
      </c>
      <c r="H1567">
        <v>1339.9293213000001</v>
      </c>
      <c r="I1567">
        <v>1328.4864502</v>
      </c>
      <c r="J1567">
        <v>1320.1312256000001</v>
      </c>
      <c r="K1567">
        <v>80</v>
      </c>
      <c r="L1567">
        <v>70.136711121000005</v>
      </c>
      <c r="M1567">
        <v>50</v>
      </c>
      <c r="N1567">
        <v>49.956066131999997</v>
      </c>
    </row>
    <row r="1568" spans="1:14" x14ac:dyDescent="0.25">
      <c r="A1568">
        <v>1461.0032799999999</v>
      </c>
      <c r="B1568" s="1">
        <f>DATE(2014,5,1) + TIME(0,4,43)</f>
        <v>41760.003275462965</v>
      </c>
      <c r="C1568">
        <v>2400</v>
      </c>
      <c r="D1568">
        <v>0</v>
      </c>
      <c r="E1568">
        <v>0</v>
      </c>
      <c r="F1568">
        <v>2400</v>
      </c>
      <c r="G1568">
        <v>1356.0075684000001</v>
      </c>
      <c r="H1568">
        <v>1345.6010742000001</v>
      </c>
      <c r="I1568">
        <v>1323.0500488</v>
      </c>
      <c r="J1568">
        <v>1314.5432129000001</v>
      </c>
      <c r="K1568">
        <v>80</v>
      </c>
      <c r="L1568">
        <v>70.156593322999996</v>
      </c>
      <c r="M1568">
        <v>50</v>
      </c>
      <c r="N1568">
        <v>49.955184936999999</v>
      </c>
    </row>
    <row r="1569" spans="1:14" x14ac:dyDescent="0.25">
      <c r="A1569">
        <v>1461.0098410000001</v>
      </c>
      <c r="B1569" s="1">
        <f>DATE(2014,5,1) + TIME(0,14,10)</f>
        <v>41760.009837962964</v>
      </c>
      <c r="C1569">
        <v>2400</v>
      </c>
      <c r="D1569">
        <v>0</v>
      </c>
      <c r="E1569">
        <v>0</v>
      </c>
      <c r="F1569">
        <v>2400</v>
      </c>
      <c r="G1569">
        <v>1361.1348877</v>
      </c>
      <c r="H1569">
        <v>1350.6361084</v>
      </c>
      <c r="I1569">
        <v>1318.276001</v>
      </c>
      <c r="J1569">
        <v>1309.4639893000001</v>
      </c>
      <c r="K1569">
        <v>80</v>
      </c>
      <c r="L1569">
        <v>70.214782714999998</v>
      </c>
      <c r="M1569">
        <v>50</v>
      </c>
      <c r="N1569">
        <v>49.953979492000002</v>
      </c>
    </row>
    <row r="1570" spans="1:14" x14ac:dyDescent="0.25">
      <c r="A1570">
        <v>1461.029524</v>
      </c>
      <c r="B1570" s="1">
        <f>DATE(2014,5,1) + TIME(0,42,30)</f>
        <v>41760.029513888891</v>
      </c>
      <c r="C1570">
        <v>2400</v>
      </c>
      <c r="D1570">
        <v>0</v>
      </c>
      <c r="E1570">
        <v>0</v>
      </c>
      <c r="F1570">
        <v>2400</v>
      </c>
      <c r="G1570">
        <v>1364.5456543</v>
      </c>
      <c r="H1570">
        <v>1354.0799560999999</v>
      </c>
      <c r="I1570">
        <v>1315.0413818</v>
      </c>
      <c r="J1570">
        <v>1305.9472656</v>
      </c>
      <c r="K1570">
        <v>80</v>
      </c>
      <c r="L1570">
        <v>70.384597778</v>
      </c>
      <c r="M1570">
        <v>50</v>
      </c>
      <c r="N1570">
        <v>49.951728821000003</v>
      </c>
    </row>
    <row r="1571" spans="1:14" x14ac:dyDescent="0.25">
      <c r="A1571">
        <v>1461.0831599999999</v>
      </c>
      <c r="B1571" s="1">
        <f>DATE(2014,5,1) + TIME(1,59,45)</f>
        <v>41760.08315972222</v>
      </c>
      <c r="C1571">
        <v>2400</v>
      </c>
      <c r="D1571">
        <v>0</v>
      </c>
      <c r="E1571">
        <v>0</v>
      </c>
      <c r="F1571">
        <v>2400</v>
      </c>
      <c r="G1571">
        <v>1365.9610596</v>
      </c>
      <c r="H1571">
        <v>1355.5754394999999</v>
      </c>
      <c r="I1571">
        <v>1313.7076416</v>
      </c>
      <c r="J1571">
        <v>1304.4885254000001</v>
      </c>
      <c r="K1571">
        <v>80</v>
      </c>
      <c r="L1571">
        <v>70.824203491000006</v>
      </c>
      <c r="M1571">
        <v>50</v>
      </c>
      <c r="N1571">
        <v>49.946609496999997</v>
      </c>
    </row>
    <row r="1572" spans="1:14" x14ac:dyDescent="0.25">
      <c r="A1572">
        <v>1461.1375680000001</v>
      </c>
      <c r="B1572" s="1">
        <f>DATE(2014,5,1) + TIME(3,18,5)</f>
        <v>41760.137557870374</v>
      </c>
      <c r="C1572">
        <v>2400</v>
      </c>
      <c r="D1572">
        <v>0</v>
      </c>
      <c r="E1572">
        <v>0</v>
      </c>
      <c r="F1572">
        <v>2400</v>
      </c>
      <c r="G1572">
        <v>1366.2553711</v>
      </c>
      <c r="H1572">
        <v>1355.9077147999999</v>
      </c>
      <c r="I1572">
        <v>1313.4760742000001</v>
      </c>
      <c r="J1572">
        <v>1304.2333983999999</v>
      </c>
      <c r="K1572">
        <v>80</v>
      </c>
      <c r="L1572">
        <v>71.250045775999993</v>
      </c>
      <c r="M1572">
        <v>50</v>
      </c>
      <c r="N1572">
        <v>49.941593169999997</v>
      </c>
    </row>
    <row r="1573" spans="1:14" x14ac:dyDescent="0.25">
      <c r="A1573">
        <v>1461.1929990000001</v>
      </c>
      <c r="B1573" s="1">
        <f>DATE(2014,5,1) + TIME(4,37,55)</f>
        <v>41760.192997685182</v>
      </c>
      <c r="C1573">
        <v>2400</v>
      </c>
      <c r="D1573">
        <v>0</v>
      </c>
      <c r="E1573">
        <v>0</v>
      </c>
      <c r="F1573">
        <v>2400</v>
      </c>
      <c r="G1573">
        <v>1366.302124</v>
      </c>
      <c r="H1573">
        <v>1355.9886475000001</v>
      </c>
      <c r="I1573">
        <v>1313.4423827999999</v>
      </c>
      <c r="J1573">
        <v>1304.1947021000001</v>
      </c>
      <c r="K1573">
        <v>80</v>
      </c>
      <c r="L1573">
        <v>71.664123535000002</v>
      </c>
      <c r="M1573">
        <v>50</v>
      </c>
      <c r="N1573">
        <v>49.936553955000001</v>
      </c>
    </row>
    <row r="1574" spans="1:14" x14ac:dyDescent="0.25">
      <c r="A1574">
        <v>1461.2495269999999</v>
      </c>
      <c r="B1574" s="1">
        <f>DATE(2014,5,1) + TIME(5,59,19)</f>
        <v>41760.249525462961</v>
      </c>
      <c r="C1574">
        <v>2400</v>
      </c>
      <c r="D1574">
        <v>0</v>
      </c>
      <c r="E1574">
        <v>0</v>
      </c>
      <c r="F1574">
        <v>2400</v>
      </c>
      <c r="G1574">
        <v>1366.2886963000001</v>
      </c>
      <c r="H1574">
        <v>1356.0075684000001</v>
      </c>
      <c r="I1574">
        <v>1313.4423827999999</v>
      </c>
      <c r="J1574">
        <v>1304.1932373</v>
      </c>
      <c r="K1574">
        <v>80</v>
      </c>
      <c r="L1574">
        <v>72.066741942999997</v>
      </c>
      <c r="M1574">
        <v>50</v>
      </c>
      <c r="N1574">
        <v>49.931472778</v>
      </c>
    </row>
    <row r="1575" spans="1:14" x14ac:dyDescent="0.25">
      <c r="A1575">
        <v>1461.3072070000001</v>
      </c>
      <c r="B1575" s="1">
        <f>DATE(2014,5,1) + TIME(7,22,22)</f>
        <v>41760.307199074072</v>
      </c>
      <c r="C1575">
        <v>2400</v>
      </c>
      <c r="D1575">
        <v>0</v>
      </c>
      <c r="E1575">
        <v>0</v>
      </c>
      <c r="F1575">
        <v>2400</v>
      </c>
      <c r="G1575">
        <v>1366.2606201000001</v>
      </c>
      <c r="H1575">
        <v>1356.0100098</v>
      </c>
      <c r="I1575">
        <v>1313.4456786999999</v>
      </c>
      <c r="J1575">
        <v>1304.1958007999999</v>
      </c>
      <c r="K1575">
        <v>80</v>
      </c>
      <c r="L1575">
        <v>72.458015442000004</v>
      </c>
      <c r="M1575">
        <v>50</v>
      </c>
      <c r="N1575">
        <v>49.926342009999999</v>
      </c>
    </row>
    <row r="1576" spans="1:14" x14ac:dyDescent="0.25">
      <c r="A1576">
        <v>1461.3660990000001</v>
      </c>
      <c r="B1576" s="1">
        <f>DATE(2014,5,1) + TIME(8,47,10)</f>
        <v>41760.366087962961</v>
      </c>
      <c r="C1576">
        <v>2400</v>
      </c>
      <c r="D1576">
        <v>0</v>
      </c>
      <c r="E1576">
        <v>0</v>
      </c>
      <c r="F1576">
        <v>2400</v>
      </c>
      <c r="G1576">
        <v>1366.2301024999999</v>
      </c>
      <c r="H1576">
        <v>1356.0083007999999</v>
      </c>
      <c r="I1576">
        <v>1313.4482422000001</v>
      </c>
      <c r="J1576">
        <v>1304.1976318</v>
      </c>
      <c r="K1576">
        <v>80</v>
      </c>
      <c r="L1576">
        <v>72.838066100999995</v>
      </c>
      <c r="M1576">
        <v>50</v>
      </c>
      <c r="N1576">
        <v>49.921154022000003</v>
      </c>
    </row>
    <row r="1577" spans="1:14" x14ac:dyDescent="0.25">
      <c r="A1577">
        <v>1461.42625</v>
      </c>
      <c r="B1577" s="1">
        <f>DATE(2014,5,1) + TIME(10,13,47)</f>
        <v>41760.426238425927</v>
      </c>
      <c r="C1577">
        <v>2400</v>
      </c>
      <c r="D1577">
        <v>0</v>
      </c>
      <c r="E1577">
        <v>0</v>
      </c>
      <c r="F1577">
        <v>2400</v>
      </c>
      <c r="G1577">
        <v>1366.2008057</v>
      </c>
      <c r="H1577">
        <v>1356.0062256000001</v>
      </c>
      <c r="I1577">
        <v>1313.4498291</v>
      </c>
      <c r="J1577">
        <v>1304.1983643000001</v>
      </c>
      <c r="K1577">
        <v>80</v>
      </c>
      <c r="L1577">
        <v>73.206886291999993</v>
      </c>
      <c r="M1577">
        <v>50</v>
      </c>
      <c r="N1577">
        <v>49.915904998999999</v>
      </c>
    </row>
    <row r="1578" spans="1:14" x14ac:dyDescent="0.25">
      <c r="A1578">
        <v>1461.4876810000001</v>
      </c>
      <c r="B1578" s="1">
        <f>DATE(2014,5,1) + TIME(11,42,15)</f>
        <v>41760.487673611111</v>
      </c>
      <c r="C1578">
        <v>2400</v>
      </c>
      <c r="D1578">
        <v>0</v>
      </c>
      <c r="E1578">
        <v>0</v>
      </c>
      <c r="F1578">
        <v>2400</v>
      </c>
      <c r="G1578">
        <v>1366.1740723</v>
      </c>
      <c r="H1578">
        <v>1356.0048827999999</v>
      </c>
      <c r="I1578">
        <v>1313.4509277</v>
      </c>
      <c r="J1578">
        <v>1304.1986084</v>
      </c>
      <c r="K1578">
        <v>80</v>
      </c>
      <c r="L1578">
        <v>73.564353943</v>
      </c>
      <c r="M1578">
        <v>50</v>
      </c>
      <c r="N1578">
        <v>49.910598755000002</v>
      </c>
    </row>
    <row r="1579" spans="1:14" x14ac:dyDescent="0.25">
      <c r="A1579">
        <v>1461.5504619999999</v>
      </c>
      <c r="B1579" s="1">
        <f>DATE(2014,5,1) + TIME(13,12,39)</f>
        <v>41760.550451388888</v>
      </c>
      <c r="C1579">
        <v>2400</v>
      </c>
      <c r="D1579">
        <v>0</v>
      </c>
      <c r="E1579">
        <v>0</v>
      </c>
      <c r="F1579">
        <v>2400</v>
      </c>
      <c r="G1579">
        <v>1366.1500243999999</v>
      </c>
      <c r="H1579">
        <v>1356.0047606999999</v>
      </c>
      <c r="I1579">
        <v>1313.4517822</v>
      </c>
      <c r="J1579">
        <v>1304.1986084</v>
      </c>
      <c r="K1579">
        <v>80</v>
      </c>
      <c r="L1579">
        <v>73.910583496000001</v>
      </c>
      <c r="M1579">
        <v>50</v>
      </c>
      <c r="N1579">
        <v>49.905231475999997</v>
      </c>
    </row>
    <row r="1580" spans="1:14" x14ac:dyDescent="0.25">
      <c r="A1580">
        <v>1461.6146650000001</v>
      </c>
      <c r="B1580" s="1">
        <f>DATE(2014,5,1) + TIME(14,45,7)</f>
        <v>41760.614664351851</v>
      </c>
      <c r="C1580">
        <v>2400</v>
      </c>
      <c r="D1580">
        <v>0</v>
      </c>
      <c r="E1580">
        <v>0</v>
      </c>
      <c r="F1580">
        <v>2400</v>
      </c>
      <c r="G1580">
        <v>1366.1286620999999</v>
      </c>
      <c r="H1580">
        <v>1356.0057373</v>
      </c>
      <c r="I1580">
        <v>1313.4525146000001</v>
      </c>
      <c r="J1580">
        <v>1304.1984863</v>
      </c>
      <c r="K1580">
        <v>80</v>
      </c>
      <c r="L1580">
        <v>74.245697020999998</v>
      </c>
      <c r="M1580">
        <v>50</v>
      </c>
      <c r="N1580">
        <v>49.899795531999999</v>
      </c>
    </row>
    <row r="1581" spans="1:14" x14ac:dyDescent="0.25">
      <c r="A1581">
        <v>1461.680368</v>
      </c>
      <c r="B1581" s="1">
        <f>DATE(2014,5,1) + TIME(16,19,43)</f>
        <v>41760.680358796293</v>
      </c>
      <c r="C1581">
        <v>2400</v>
      </c>
      <c r="D1581">
        <v>0</v>
      </c>
      <c r="E1581">
        <v>0</v>
      </c>
      <c r="F1581">
        <v>2400</v>
      </c>
      <c r="G1581">
        <v>1366.1099853999999</v>
      </c>
      <c r="H1581">
        <v>1356.0078125</v>
      </c>
      <c r="I1581">
        <v>1313.4533690999999</v>
      </c>
      <c r="J1581">
        <v>1304.1982422000001</v>
      </c>
      <c r="K1581">
        <v>80</v>
      </c>
      <c r="L1581">
        <v>74.569808960000003</v>
      </c>
      <c r="M1581">
        <v>50</v>
      </c>
      <c r="N1581">
        <v>49.894290924000003</v>
      </c>
    </row>
    <row r="1582" spans="1:14" x14ac:dyDescent="0.25">
      <c r="A1582">
        <v>1461.747654</v>
      </c>
      <c r="B1582" s="1">
        <f>DATE(2014,5,1) + TIME(17,56,37)</f>
        <v>41760.747650462959</v>
      </c>
      <c r="C1582">
        <v>2400</v>
      </c>
      <c r="D1582">
        <v>0</v>
      </c>
      <c r="E1582">
        <v>0</v>
      </c>
      <c r="F1582">
        <v>2400</v>
      </c>
      <c r="G1582">
        <v>1366.0936279</v>
      </c>
      <c r="H1582">
        <v>1356.0108643000001</v>
      </c>
      <c r="I1582">
        <v>1313.4541016000001</v>
      </c>
      <c r="J1582">
        <v>1304.197876</v>
      </c>
      <c r="K1582">
        <v>80</v>
      </c>
      <c r="L1582">
        <v>74.883033752000003</v>
      </c>
      <c r="M1582">
        <v>50</v>
      </c>
      <c r="N1582">
        <v>49.888710021999998</v>
      </c>
    </row>
    <row r="1583" spans="1:14" x14ac:dyDescent="0.25">
      <c r="A1583">
        <v>1461.8166080000001</v>
      </c>
      <c r="B1583" s="1">
        <f>DATE(2014,5,1) + TIME(19,35,54)</f>
        <v>41760.81659722222</v>
      </c>
      <c r="C1583">
        <v>2400</v>
      </c>
      <c r="D1583">
        <v>0</v>
      </c>
      <c r="E1583">
        <v>0</v>
      </c>
      <c r="F1583">
        <v>2400</v>
      </c>
      <c r="G1583">
        <v>1366.0797118999999</v>
      </c>
      <c r="H1583">
        <v>1356.0150146000001</v>
      </c>
      <c r="I1583">
        <v>1313.4548339999999</v>
      </c>
      <c r="J1583">
        <v>1304.1975098</v>
      </c>
      <c r="K1583">
        <v>80</v>
      </c>
      <c r="L1583">
        <v>75.185317992999998</v>
      </c>
      <c r="M1583">
        <v>50</v>
      </c>
      <c r="N1583">
        <v>49.883045197000001</v>
      </c>
    </row>
    <row r="1584" spans="1:14" x14ac:dyDescent="0.25">
      <c r="A1584">
        <v>1461.8872690000001</v>
      </c>
      <c r="B1584" s="1">
        <f>DATE(2014,5,1) + TIME(21,17,40)</f>
        <v>41760.88726851852</v>
      </c>
      <c r="C1584">
        <v>2400</v>
      </c>
      <c r="D1584">
        <v>0</v>
      </c>
      <c r="E1584">
        <v>0</v>
      </c>
      <c r="F1584">
        <v>2400</v>
      </c>
      <c r="G1584">
        <v>1366.0678711</v>
      </c>
      <c r="H1584">
        <v>1356.0200195</v>
      </c>
      <c r="I1584">
        <v>1313.4555664</v>
      </c>
      <c r="J1584">
        <v>1304.1970214999999</v>
      </c>
      <c r="K1584">
        <v>80</v>
      </c>
      <c r="L1584">
        <v>75.476600646999998</v>
      </c>
      <c r="M1584">
        <v>50</v>
      </c>
      <c r="N1584">
        <v>49.877300261999999</v>
      </c>
    </row>
    <row r="1585" spans="1:14" x14ac:dyDescent="0.25">
      <c r="A1585">
        <v>1461.9597329999999</v>
      </c>
      <c r="B1585" s="1">
        <f>DATE(2014,5,1) + TIME(23,2,0)</f>
        <v>41760.959722222222</v>
      </c>
      <c r="C1585">
        <v>2400</v>
      </c>
      <c r="D1585">
        <v>0</v>
      </c>
      <c r="E1585">
        <v>0</v>
      </c>
      <c r="F1585">
        <v>2400</v>
      </c>
      <c r="G1585">
        <v>1366.0581055</v>
      </c>
      <c r="H1585">
        <v>1356.0258789</v>
      </c>
      <c r="I1585">
        <v>1313.4562988</v>
      </c>
      <c r="J1585">
        <v>1304.1965332</v>
      </c>
      <c r="K1585">
        <v>80</v>
      </c>
      <c r="L1585">
        <v>75.757080078000001</v>
      </c>
      <c r="M1585">
        <v>50</v>
      </c>
      <c r="N1585">
        <v>49.871467590000002</v>
      </c>
    </row>
    <row r="1586" spans="1:14" x14ac:dyDescent="0.25">
      <c r="A1586">
        <v>1462.0341040000001</v>
      </c>
      <c r="B1586" s="1">
        <f>DATE(2014,5,2) + TIME(0,49,6)</f>
        <v>41761.034097222226</v>
      </c>
      <c r="C1586">
        <v>2400</v>
      </c>
      <c r="D1586">
        <v>0</v>
      </c>
      <c r="E1586">
        <v>0</v>
      </c>
      <c r="F1586">
        <v>2400</v>
      </c>
      <c r="G1586">
        <v>1366.050293</v>
      </c>
      <c r="H1586">
        <v>1356.0324707</v>
      </c>
      <c r="I1586">
        <v>1313.4570312000001</v>
      </c>
      <c r="J1586">
        <v>1304.1960449000001</v>
      </c>
      <c r="K1586">
        <v>80</v>
      </c>
      <c r="L1586">
        <v>76.026870728000006</v>
      </c>
      <c r="M1586">
        <v>50</v>
      </c>
      <c r="N1586">
        <v>49.865543365000001</v>
      </c>
    </row>
    <row r="1587" spans="1:14" x14ac:dyDescent="0.25">
      <c r="A1587">
        <v>1462.11049</v>
      </c>
      <c r="B1587" s="1">
        <f>DATE(2014,5,2) + TIME(2,39,6)</f>
        <v>41761.110486111109</v>
      </c>
      <c r="C1587">
        <v>2400</v>
      </c>
      <c r="D1587">
        <v>0</v>
      </c>
      <c r="E1587">
        <v>0</v>
      </c>
      <c r="F1587">
        <v>2400</v>
      </c>
      <c r="G1587">
        <v>1366.0441894999999</v>
      </c>
      <c r="H1587">
        <v>1356.0396728999999</v>
      </c>
      <c r="I1587">
        <v>1313.4577637</v>
      </c>
      <c r="J1587">
        <v>1304.1954346</v>
      </c>
      <c r="K1587">
        <v>80</v>
      </c>
      <c r="L1587">
        <v>76.286087035999998</v>
      </c>
      <c r="M1587">
        <v>50</v>
      </c>
      <c r="N1587">
        <v>49.859516143999997</v>
      </c>
    </row>
    <row r="1588" spans="1:14" x14ac:dyDescent="0.25">
      <c r="A1588">
        <v>1462.1890040000001</v>
      </c>
      <c r="B1588" s="1">
        <f>DATE(2014,5,2) + TIME(4,32,9)</f>
        <v>41761.188993055555</v>
      </c>
      <c r="C1588">
        <v>2400</v>
      </c>
      <c r="D1588">
        <v>0</v>
      </c>
      <c r="E1588">
        <v>0</v>
      </c>
      <c r="F1588">
        <v>2400</v>
      </c>
      <c r="G1588">
        <v>1366.0396728999999</v>
      </c>
      <c r="H1588">
        <v>1356.0474853999999</v>
      </c>
      <c r="I1588">
        <v>1313.4586182</v>
      </c>
      <c r="J1588">
        <v>1304.1948242000001</v>
      </c>
      <c r="K1588">
        <v>80</v>
      </c>
      <c r="L1588">
        <v>76.534828185999999</v>
      </c>
      <c r="M1588">
        <v>50</v>
      </c>
      <c r="N1588">
        <v>49.853385924999998</v>
      </c>
    </row>
    <row r="1589" spans="1:14" x14ac:dyDescent="0.25">
      <c r="A1589">
        <v>1462.269763</v>
      </c>
      <c r="B1589" s="1">
        <f>DATE(2014,5,2) + TIME(6,28,27)</f>
        <v>41761.269756944443</v>
      </c>
      <c r="C1589">
        <v>2400</v>
      </c>
      <c r="D1589">
        <v>0</v>
      </c>
      <c r="E1589">
        <v>0</v>
      </c>
      <c r="F1589">
        <v>2400</v>
      </c>
      <c r="G1589">
        <v>1366.0366211</v>
      </c>
      <c r="H1589">
        <v>1356.0556641000001</v>
      </c>
      <c r="I1589">
        <v>1313.4593506000001</v>
      </c>
      <c r="J1589">
        <v>1304.1940918</v>
      </c>
      <c r="K1589">
        <v>80</v>
      </c>
      <c r="L1589">
        <v>76.773178100999999</v>
      </c>
      <c r="M1589">
        <v>50</v>
      </c>
      <c r="N1589">
        <v>49.847145081000001</v>
      </c>
    </row>
    <row r="1590" spans="1:14" x14ac:dyDescent="0.25">
      <c r="A1590">
        <v>1462.3529160000001</v>
      </c>
      <c r="B1590" s="1">
        <f>DATE(2014,5,2) + TIME(8,28,11)</f>
        <v>41761.352905092594</v>
      </c>
      <c r="C1590">
        <v>2400</v>
      </c>
      <c r="D1590">
        <v>0</v>
      </c>
      <c r="E1590">
        <v>0</v>
      </c>
      <c r="F1590">
        <v>2400</v>
      </c>
      <c r="G1590">
        <v>1366.0349120999999</v>
      </c>
      <c r="H1590">
        <v>1356.0643310999999</v>
      </c>
      <c r="I1590">
        <v>1313.4600829999999</v>
      </c>
      <c r="J1590">
        <v>1304.1933594</v>
      </c>
      <c r="K1590">
        <v>80</v>
      </c>
      <c r="L1590">
        <v>77.001296996999997</v>
      </c>
      <c r="M1590">
        <v>50</v>
      </c>
      <c r="N1590">
        <v>49.840782165999997</v>
      </c>
    </row>
    <row r="1591" spans="1:14" x14ac:dyDescent="0.25">
      <c r="A1591">
        <v>1462.438607</v>
      </c>
      <c r="B1591" s="1">
        <f>DATE(2014,5,2) + TIME(10,31,35)</f>
        <v>41761.438599537039</v>
      </c>
      <c r="C1591">
        <v>2400</v>
      </c>
      <c r="D1591">
        <v>0</v>
      </c>
      <c r="E1591">
        <v>0</v>
      </c>
      <c r="F1591">
        <v>2400</v>
      </c>
      <c r="G1591">
        <v>1366.0344238</v>
      </c>
      <c r="H1591">
        <v>1356.0732422000001</v>
      </c>
      <c r="I1591">
        <v>1313.4606934000001</v>
      </c>
      <c r="J1591">
        <v>1304.1926269999999</v>
      </c>
      <c r="K1591">
        <v>80</v>
      </c>
      <c r="L1591">
        <v>77.219276428000001</v>
      </c>
      <c r="M1591">
        <v>50</v>
      </c>
      <c r="N1591">
        <v>49.834293365000001</v>
      </c>
    </row>
    <row r="1592" spans="1:14" x14ac:dyDescent="0.25">
      <c r="A1592">
        <v>1462.5269940000001</v>
      </c>
      <c r="B1592" s="1">
        <f>DATE(2014,5,2) + TIME(12,38,52)</f>
        <v>41761.526990740742</v>
      </c>
      <c r="C1592">
        <v>2400</v>
      </c>
      <c r="D1592">
        <v>0</v>
      </c>
      <c r="E1592">
        <v>0</v>
      </c>
      <c r="F1592">
        <v>2400</v>
      </c>
      <c r="G1592">
        <v>1366.0350341999999</v>
      </c>
      <c r="H1592">
        <v>1356.0823975000001</v>
      </c>
      <c r="I1592">
        <v>1313.4614257999999</v>
      </c>
      <c r="J1592">
        <v>1304.1917725000001</v>
      </c>
      <c r="K1592">
        <v>80</v>
      </c>
      <c r="L1592">
        <v>77.427253723000007</v>
      </c>
      <c r="M1592">
        <v>50</v>
      </c>
      <c r="N1592">
        <v>49.827667236000003</v>
      </c>
    </row>
    <row r="1593" spans="1:14" x14ac:dyDescent="0.25">
      <c r="A1593">
        <v>1462.6182470000001</v>
      </c>
      <c r="B1593" s="1">
        <f>DATE(2014,5,2) + TIME(14,50,16)</f>
        <v>41761.61824074074</v>
      </c>
      <c r="C1593">
        <v>2400</v>
      </c>
      <c r="D1593">
        <v>0</v>
      </c>
      <c r="E1593">
        <v>0</v>
      </c>
      <c r="F1593">
        <v>2400</v>
      </c>
      <c r="G1593">
        <v>1366.0366211</v>
      </c>
      <c r="H1593">
        <v>1356.0916748</v>
      </c>
      <c r="I1593">
        <v>1313.4621582</v>
      </c>
      <c r="J1593">
        <v>1304.1910399999999</v>
      </c>
      <c r="K1593">
        <v>80</v>
      </c>
      <c r="L1593">
        <v>77.625328064000001</v>
      </c>
      <c r="M1593">
        <v>50</v>
      </c>
      <c r="N1593">
        <v>49.820899963000002</v>
      </c>
    </row>
    <row r="1594" spans="1:14" x14ac:dyDescent="0.25">
      <c r="A1594">
        <v>1462.7125490000001</v>
      </c>
      <c r="B1594" s="1">
        <f>DATE(2014,5,2) + TIME(17,6,4)</f>
        <v>41761.712546296294</v>
      </c>
      <c r="C1594">
        <v>2400</v>
      </c>
      <c r="D1594">
        <v>0</v>
      </c>
      <c r="E1594">
        <v>0</v>
      </c>
      <c r="F1594">
        <v>2400</v>
      </c>
      <c r="G1594">
        <v>1366.0390625</v>
      </c>
      <c r="H1594">
        <v>1356.1010742000001</v>
      </c>
      <c r="I1594">
        <v>1313.4628906</v>
      </c>
      <c r="J1594">
        <v>1304.1900635</v>
      </c>
      <c r="K1594">
        <v>80</v>
      </c>
      <c r="L1594">
        <v>77.813629149999997</v>
      </c>
      <c r="M1594">
        <v>50</v>
      </c>
      <c r="N1594">
        <v>49.813972473</v>
      </c>
    </row>
    <row r="1595" spans="1:14" x14ac:dyDescent="0.25">
      <c r="A1595">
        <v>1462.810101</v>
      </c>
      <c r="B1595" s="1">
        <f>DATE(2014,5,2) + TIME(19,26,32)</f>
        <v>41761.81009259259</v>
      </c>
      <c r="C1595">
        <v>2400</v>
      </c>
      <c r="D1595">
        <v>0</v>
      </c>
      <c r="E1595">
        <v>0</v>
      </c>
      <c r="F1595">
        <v>2400</v>
      </c>
      <c r="G1595">
        <v>1366.0422363</v>
      </c>
      <c r="H1595">
        <v>1356.1104736</v>
      </c>
      <c r="I1595">
        <v>1313.463501</v>
      </c>
      <c r="J1595">
        <v>1304.1892089999999</v>
      </c>
      <c r="K1595">
        <v>80</v>
      </c>
      <c r="L1595">
        <v>77.992286682</v>
      </c>
      <c r="M1595">
        <v>50</v>
      </c>
      <c r="N1595">
        <v>49.806884766000003</v>
      </c>
    </row>
    <row r="1596" spans="1:14" x14ac:dyDescent="0.25">
      <c r="A1596">
        <v>1462.9111190000001</v>
      </c>
      <c r="B1596" s="1">
        <f>DATE(2014,5,2) + TIME(21,52,0)</f>
        <v>41761.911111111112</v>
      </c>
      <c r="C1596">
        <v>2400</v>
      </c>
      <c r="D1596">
        <v>0</v>
      </c>
      <c r="E1596">
        <v>0</v>
      </c>
      <c r="F1596">
        <v>2400</v>
      </c>
      <c r="G1596">
        <v>1366.0460204999999</v>
      </c>
      <c r="H1596">
        <v>1356.119751</v>
      </c>
      <c r="I1596">
        <v>1313.4642334</v>
      </c>
      <c r="J1596">
        <v>1304.1882324000001</v>
      </c>
      <c r="K1596">
        <v>80</v>
      </c>
      <c r="L1596">
        <v>78.161437988000003</v>
      </c>
      <c r="M1596">
        <v>50</v>
      </c>
      <c r="N1596">
        <v>49.799617767000001</v>
      </c>
    </row>
    <row r="1597" spans="1:14" x14ac:dyDescent="0.25">
      <c r="A1597">
        <v>1463.0158409999999</v>
      </c>
      <c r="B1597" s="1">
        <f>DATE(2014,5,3) + TIME(0,22,48)</f>
        <v>41762.015833333331</v>
      </c>
      <c r="C1597">
        <v>2400</v>
      </c>
      <c r="D1597">
        <v>0</v>
      </c>
      <c r="E1597">
        <v>0</v>
      </c>
      <c r="F1597">
        <v>2400</v>
      </c>
      <c r="G1597">
        <v>1366.050293</v>
      </c>
      <c r="H1597">
        <v>1356.1290283000001</v>
      </c>
      <c r="I1597">
        <v>1313.4648437999999</v>
      </c>
      <c r="J1597">
        <v>1304.1872559000001</v>
      </c>
      <c r="K1597">
        <v>80</v>
      </c>
      <c r="L1597">
        <v>78.321212768999999</v>
      </c>
      <c r="M1597">
        <v>50</v>
      </c>
      <c r="N1597">
        <v>49.792163848999998</v>
      </c>
    </row>
    <row r="1598" spans="1:14" x14ac:dyDescent="0.25">
      <c r="A1598">
        <v>1463.1245240000001</v>
      </c>
      <c r="B1598" s="1">
        <f>DATE(2014,5,3) + TIME(2,59,18)</f>
        <v>41762.124513888892</v>
      </c>
      <c r="C1598">
        <v>2400</v>
      </c>
      <c r="D1598">
        <v>0</v>
      </c>
      <c r="E1598">
        <v>0</v>
      </c>
      <c r="F1598">
        <v>2400</v>
      </c>
      <c r="G1598">
        <v>1366.0549315999999</v>
      </c>
      <c r="H1598">
        <v>1356.1379394999999</v>
      </c>
      <c r="I1598">
        <v>1313.4654541</v>
      </c>
      <c r="J1598">
        <v>1304.1861572</v>
      </c>
      <c r="K1598">
        <v>80</v>
      </c>
      <c r="L1598">
        <v>78.471771239999995</v>
      </c>
      <c r="M1598">
        <v>50</v>
      </c>
      <c r="N1598">
        <v>49.784507751</v>
      </c>
    </row>
    <row r="1599" spans="1:14" x14ac:dyDescent="0.25">
      <c r="A1599">
        <v>1463.2375050000001</v>
      </c>
      <c r="B1599" s="1">
        <f>DATE(2014,5,3) + TIME(5,42,0)</f>
        <v>41762.237500000003</v>
      </c>
      <c r="C1599">
        <v>2400</v>
      </c>
      <c r="D1599">
        <v>0</v>
      </c>
      <c r="E1599">
        <v>0</v>
      </c>
      <c r="F1599">
        <v>2400</v>
      </c>
      <c r="G1599">
        <v>1366.0598144999999</v>
      </c>
      <c r="H1599">
        <v>1356.1467285000001</v>
      </c>
      <c r="I1599">
        <v>1313.4660644999999</v>
      </c>
      <c r="J1599">
        <v>1304.1850586</v>
      </c>
      <c r="K1599">
        <v>80</v>
      </c>
      <c r="L1599">
        <v>78.613334656000006</v>
      </c>
      <c r="M1599">
        <v>50</v>
      </c>
      <c r="N1599">
        <v>49.776630402000002</v>
      </c>
    </row>
    <row r="1600" spans="1:14" x14ac:dyDescent="0.25">
      <c r="A1600">
        <v>1463.355053</v>
      </c>
      <c r="B1600" s="1">
        <f>DATE(2014,5,3) + TIME(8,31,16)</f>
        <v>41762.355046296296</v>
      </c>
      <c r="C1600">
        <v>2400</v>
      </c>
      <c r="D1600">
        <v>0</v>
      </c>
      <c r="E1600">
        <v>0</v>
      </c>
      <c r="F1600">
        <v>2400</v>
      </c>
      <c r="G1600">
        <v>1366.0648193</v>
      </c>
      <c r="H1600">
        <v>1356.1550293</v>
      </c>
      <c r="I1600">
        <v>1313.4665527</v>
      </c>
      <c r="J1600">
        <v>1304.1839600000001</v>
      </c>
      <c r="K1600">
        <v>80</v>
      </c>
      <c r="L1600">
        <v>78.746002196999996</v>
      </c>
      <c r="M1600">
        <v>50</v>
      </c>
      <c r="N1600">
        <v>49.768520355</v>
      </c>
    </row>
    <row r="1601" spans="1:14" x14ac:dyDescent="0.25">
      <c r="A1601">
        <v>1463.4775099999999</v>
      </c>
      <c r="B1601" s="1">
        <f>DATE(2014,5,3) + TIME(11,27,36)</f>
        <v>41762.477500000001</v>
      </c>
      <c r="C1601">
        <v>2400</v>
      </c>
      <c r="D1601">
        <v>0</v>
      </c>
      <c r="E1601">
        <v>0</v>
      </c>
      <c r="F1601">
        <v>2400</v>
      </c>
      <c r="G1601">
        <v>1366.0699463000001</v>
      </c>
      <c r="H1601">
        <v>1356.1629639</v>
      </c>
      <c r="I1601">
        <v>1313.4671631000001</v>
      </c>
      <c r="J1601">
        <v>1304.1828613</v>
      </c>
      <c r="K1601">
        <v>80</v>
      </c>
      <c r="L1601">
        <v>78.869964600000003</v>
      </c>
      <c r="M1601">
        <v>50</v>
      </c>
      <c r="N1601">
        <v>49.760162354000002</v>
      </c>
    </row>
    <row r="1602" spans="1:14" x14ac:dyDescent="0.25">
      <c r="A1602">
        <v>1463.605258</v>
      </c>
      <c r="B1602" s="1">
        <f>DATE(2014,5,3) + TIME(14,31,34)</f>
        <v>41762.605254629627</v>
      </c>
      <c r="C1602">
        <v>2400</v>
      </c>
      <c r="D1602">
        <v>0</v>
      </c>
      <c r="E1602">
        <v>0</v>
      </c>
      <c r="F1602">
        <v>2400</v>
      </c>
      <c r="G1602">
        <v>1366.0748291</v>
      </c>
      <c r="H1602">
        <v>1356.1704102000001</v>
      </c>
      <c r="I1602">
        <v>1313.4676514</v>
      </c>
      <c r="J1602">
        <v>1304.1816406</v>
      </c>
      <c r="K1602">
        <v>80</v>
      </c>
      <c r="L1602">
        <v>78.985404967999997</v>
      </c>
      <c r="M1602">
        <v>50</v>
      </c>
      <c r="N1602">
        <v>49.751533508000001</v>
      </c>
    </row>
    <row r="1603" spans="1:14" x14ac:dyDescent="0.25">
      <c r="A1603">
        <v>1463.7387209999999</v>
      </c>
      <c r="B1603" s="1">
        <f>DATE(2014,5,3) + TIME(17,43,45)</f>
        <v>41762.738715277781</v>
      </c>
      <c r="C1603">
        <v>2400</v>
      </c>
      <c r="D1603">
        <v>0</v>
      </c>
      <c r="E1603">
        <v>0</v>
      </c>
      <c r="F1603">
        <v>2400</v>
      </c>
      <c r="G1603">
        <v>1366.0797118999999</v>
      </c>
      <c r="H1603">
        <v>1356.1772461</v>
      </c>
      <c r="I1603">
        <v>1313.4681396000001</v>
      </c>
      <c r="J1603">
        <v>1304.1804199000001</v>
      </c>
      <c r="K1603">
        <v>80</v>
      </c>
      <c r="L1603">
        <v>79.092544556000007</v>
      </c>
      <c r="M1603">
        <v>50</v>
      </c>
      <c r="N1603">
        <v>49.742614746000001</v>
      </c>
    </row>
    <row r="1604" spans="1:14" x14ac:dyDescent="0.25">
      <c r="A1604">
        <v>1463.878369</v>
      </c>
      <c r="B1604" s="1">
        <f>DATE(2014,5,3) + TIME(21,4,51)</f>
        <v>41762.878368055557</v>
      </c>
      <c r="C1604">
        <v>2400</v>
      </c>
      <c r="D1604">
        <v>0</v>
      </c>
      <c r="E1604">
        <v>0</v>
      </c>
      <c r="F1604">
        <v>2400</v>
      </c>
      <c r="G1604">
        <v>1366.0841064000001</v>
      </c>
      <c r="H1604">
        <v>1356.1834716999999</v>
      </c>
      <c r="I1604">
        <v>1313.4685059000001</v>
      </c>
      <c r="J1604">
        <v>1304.1790771000001</v>
      </c>
      <c r="K1604">
        <v>80</v>
      </c>
      <c r="L1604">
        <v>79.191596985000004</v>
      </c>
      <c r="M1604">
        <v>50</v>
      </c>
      <c r="N1604">
        <v>49.733383179</v>
      </c>
    </row>
    <row r="1605" spans="1:14" x14ac:dyDescent="0.25">
      <c r="A1605">
        <v>1464.0247300000001</v>
      </c>
      <c r="B1605" s="1">
        <f>DATE(2014,5,4) + TIME(0,35,36)</f>
        <v>41763.024722222224</v>
      </c>
      <c r="C1605">
        <v>2400</v>
      </c>
      <c r="D1605">
        <v>0</v>
      </c>
      <c r="E1605">
        <v>0</v>
      </c>
      <c r="F1605">
        <v>2400</v>
      </c>
      <c r="G1605">
        <v>1366.0881348</v>
      </c>
      <c r="H1605">
        <v>1356.1889647999999</v>
      </c>
      <c r="I1605">
        <v>1313.4689940999999</v>
      </c>
      <c r="J1605">
        <v>1304.1777344</v>
      </c>
      <c r="K1605">
        <v>80</v>
      </c>
      <c r="L1605">
        <v>79.282798767000003</v>
      </c>
      <c r="M1605">
        <v>50</v>
      </c>
      <c r="N1605">
        <v>49.723812103</v>
      </c>
    </row>
    <row r="1606" spans="1:14" x14ac:dyDescent="0.25">
      <c r="A1606">
        <v>1464.1783969999999</v>
      </c>
      <c r="B1606" s="1">
        <f>DATE(2014,5,4) + TIME(4,16,53)</f>
        <v>41763.178391203706</v>
      </c>
      <c r="C1606">
        <v>2400</v>
      </c>
      <c r="D1606">
        <v>0</v>
      </c>
      <c r="E1606">
        <v>0</v>
      </c>
      <c r="F1606">
        <v>2400</v>
      </c>
      <c r="G1606">
        <v>1366.0915527</v>
      </c>
      <c r="H1606">
        <v>1356.1936035000001</v>
      </c>
      <c r="I1606">
        <v>1313.4693603999999</v>
      </c>
      <c r="J1606">
        <v>1304.1763916</v>
      </c>
      <c r="K1606">
        <v>80</v>
      </c>
      <c r="L1606">
        <v>79.366401671999995</v>
      </c>
      <c r="M1606">
        <v>50</v>
      </c>
      <c r="N1606">
        <v>49.713867188000002</v>
      </c>
    </row>
    <row r="1607" spans="1:14" x14ac:dyDescent="0.25">
      <c r="A1607">
        <v>1464.3400369999999</v>
      </c>
      <c r="B1607" s="1">
        <f>DATE(2014,5,4) + TIME(8,9,39)</f>
        <v>41763.34003472222</v>
      </c>
      <c r="C1607">
        <v>2400</v>
      </c>
      <c r="D1607">
        <v>0</v>
      </c>
      <c r="E1607">
        <v>0</v>
      </c>
      <c r="F1607">
        <v>2400</v>
      </c>
      <c r="G1607">
        <v>1366.0942382999999</v>
      </c>
      <c r="H1607">
        <v>1356.1973877</v>
      </c>
      <c r="I1607">
        <v>1313.4696045000001</v>
      </c>
      <c r="J1607">
        <v>1304.1749268000001</v>
      </c>
      <c r="K1607">
        <v>80</v>
      </c>
      <c r="L1607">
        <v>79.442665099999999</v>
      </c>
      <c r="M1607">
        <v>50</v>
      </c>
      <c r="N1607">
        <v>49.703525542999998</v>
      </c>
    </row>
    <row r="1608" spans="1:14" x14ac:dyDescent="0.25">
      <c r="A1608">
        <v>1464.510407</v>
      </c>
      <c r="B1608" s="1">
        <f>DATE(2014,5,4) + TIME(12,14,59)</f>
        <v>41763.510405092595</v>
      </c>
      <c r="C1608">
        <v>2400</v>
      </c>
      <c r="D1608">
        <v>0</v>
      </c>
      <c r="E1608">
        <v>0</v>
      </c>
      <c r="F1608">
        <v>2400</v>
      </c>
      <c r="G1608">
        <v>1366.0961914</v>
      </c>
      <c r="H1608">
        <v>1356.2003173999999</v>
      </c>
      <c r="I1608">
        <v>1313.4698486</v>
      </c>
      <c r="J1608">
        <v>1304.1733397999999</v>
      </c>
      <c r="K1608">
        <v>80</v>
      </c>
      <c r="L1608">
        <v>79.511886597</v>
      </c>
      <c r="M1608">
        <v>50</v>
      </c>
      <c r="N1608">
        <v>49.692741394000002</v>
      </c>
    </row>
    <row r="1609" spans="1:14" x14ac:dyDescent="0.25">
      <c r="A1609">
        <v>1464.6904360000001</v>
      </c>
      <c r="B1609" s="1">
        <f>DATE(2014,5,4) + TIME(16,34,13)</f>
        <v>41763.690428240741</v>
      </c>
      <c r="C1609">
        <v>2400</v>
      </c>
      <c r="D1609">
        <v>0</v>
      </c>
      <c r="E1609">
        <v>0</v>
      </c>
      <c r="F1609">
        <v>2400</v>
      </c>
      <c r="G1609">
        <v>1366.0970459</v>
      </c>
      <c r="H1609">
        <v>1356.2021483999999</v>
      </c>
      <c r="I1609">
        <v>1313.4700928</v>
      </c>
      <c r="J1609">
        <v>1304.1717529</v>
      </c>
      <c r="K1609">
        <v>80</v>
      </c>
      <c r="L1609">
        <v>79.574371338000006</v>
      </c>
      <c r="M1609">
        <v>50</v>
      </c>
      <c r="N1609">
        <v>49.681472778</v>
      </c>
    </row>
    <row r="1610" spans="1:14" x14ac:dyDescent="0.25">
      <c r="A1610">
        <v>1464.8811310000001</v>
      </c>
      <c r="B1610" s="1">
        <f>DATE(2014,5,4) + TIME(21,8,49)</f>
        <v>41763.881122685183</v>
      </c>
      <c r="C1610">
        <v>2400</v>
      </c>
      <c r="D1610">
        <v>0</v>
      </c>
      <c r="E1610">
        <v>0</v>
      </c>
      <c r="F1610">
        <v>2400</v>
      </c>
      <c r="G1610">
        <v>1366.0969238</v>
      </c>
      <c r="H1610">
        <v>1356.2028809000001</v>
      </c>
      <c r="I1610">
        <v>1313.4702147999999</v>
      </c>
      <c r="J1610">
        <v>1304.1701660000001</v>
      </c>
      <c r="K1610">
        <v>80</v>
      </c>
      <c r="L1610">
        <v>79.630424500000004</v>
      </c>
      <c r="M1610">
        <v>50</v>
      </c>
      <c r="N1610">
        <v>49.669673920000001</v>
      </c>
    </row>
    <row r="1611" spans="1:14" x14ac:dyDescent="0.25">
      <c r="A1611">
        <v>1465.0835770000001</v>
      </c>
      <c r="B1611" s="1">
        <f>DATE(2014,5,5) + TIME(2,0,21)</f>
        <v>41764.08357638889</v>
      </c>
      <c r="C1611">
        <v>2400</v>
      </c>
      <c r="D1611">
        <v>0</v>
      </c>
      <c r="E1611">
        <v>0</v>
      </c>
      <c r="F1611">
        <v>2400</v>
      </c>
      <c r="G1611">
        <v>1366.0955810999999</v>
      </c>
      <c r="H1611">
        <v>1356.2022704999999</v>
      </c>
      <c r="I1611">
        <v>1313.4702147999999</v>
      </c>
      <c r="J1611">
        <v>1304.168457</v>
      </c>
      <c r="K1611">
        <v>80</v>
      </c>
      <c r="L1611">
        <v>79.680358886999997</v>
      </c>
      <c r="M1611">
        <v>50</v>
      </c>
      <c r="N1611">
        <v>49.657287598000003</v>
      </c>
    </row>
    <row r="1612" spans="1:14" x14ac:dyDescent="0.25">
      <c r="A1612">
        <v>1465.2991059999999</v>
      </c>
      <c r="B1612" s="1">
        <f>DATE(2014,5,5) + TIME(7,10,42)</f>
        <v>41764.299097222225</v>
      </c>
      <c r="C1612">
        <v>2400</v>
      </c>
      <c r="D1612">
        <v>0</v>
      </c>
      <c r="E1612">
        <v>0</v>
      </c>
      <c r="F1612">
        <v>2400</v>
      </c>
      <c r="G1612">
        <v>1366.0927733999999</v>
      </c>
      <c r="H1612">
        <v>1356.2005615</v>
      </c>
      <c r="I1612">
        <v>1313.4702147999999</v>
      </c>
      <c r="J1612">
        <v>1304.166626</v>
      </c>
      <c r="K1612">
        <v>80</v>
      </c>
      <c r="L1612">
        <v>79.724517821999996</v>
      </c>
      <c r="M1612">
        <v>50</v>
      </c>
      <c r="N1612">
        <v>49.644256591999998</v>
      </c>
    </row>
    <row r="1613" spans="1:14" x14ac:dyDescent="0.25">
      <c r="A1613">
        <v>1465.529276</v>
      </c>
      <c r="B1613" s="1">
        <f>DATE(2014,5,5) + TIME(12,42,9)</f>
        <v>41764.529270833336</v>
      </c>
      <c r="C1613">
        <v>2400</v>
      </c>
      <c r="D1613">
        <v>0</v>
      </c>
      <c r="E1613">
        <v>0</v>
      </c>
      <c r="F1613">
        <v>2400</v>
      </c>
      <c r="G1613">
        <v>1366.0883789</v>
      </c>
      <c r="H1613">
        <v>1356.1973877</v>
      </c>
      <c r="I1613">
        <v>1313.4700928</v>
      </c>
      <c r="J1613">
        <v>1304.1646728999999</v>
      </c>
      <c r="K1613">
        <v>80</v>
      </c>
      <c r="L1613">
        <v>79.763244628999999</v>
      </c>
      <c r="M1613">
        <v>50</v>
      </c>
      <c r="N1613">
        <v>49.630500793000003</v>
      </c>
    </row>
    <row r="1614" spans="1:14" x14ac:dyDescent="0.25">
      <c r="A1614">
        <v>1465.7759169999999</v>
      </c>
      <c r="B1614" s="1">
        <f>DATE(2014,5,5) + TIME(18,37,19)</f>
        <v>41764.775914351849</v>
      </c>
      <c r="C1614">
        <v>2400</v>
      </c>
      <c r="D1614">
        <v>0</v>
      </c>
      <c r="E1614">
        <v>0</v>
      </c>
      <c r="F1614">
        <v>2400</v>
      </c>
      <c r="G1614">
        <v>1366.0823975000001</v>
      </c>
      <c r="H1614">
        <v>1356.1926269999999</v>
      </c>
      <c r="I1614">
        <v>1313.4698486</v>
      </c>
      <c r="J1614">
        <v>1304.1625977000001</v>
      </c>
      <c r="K1614">
        <v>80</v>
      </c>
      <c r="L1614">
        <v>79.796905518000003</v>
      </c>
      <c r="M1614">
        <v>50</v>
      </c>
      <c r="N1614">
        <v>49.615943909000002</v>
      </c>
    </row>
    <row r="1615" spans="1:14" x14ac:dyDescent="0.25">
      <c r="A1615">
        <v>1466.0262379999999</v>
      </c>
      <c r="B1615" s="1">
        <f>DATE(2014,5,6) + TIME(0,37,46)</f>
        <v>41765.026226851849</v>
      </c>
      <c r="C1615">
        <v>2400</v>
      </c>
      <c r="D1615">
        <v>0</v>
      </c>
      <c r="E1615">
        <v>0</v>
      </c>
      <c r="F1615">
        <v>2400</v>
      </c>
      <c r="G1615">
        <v>1366.0759277</v>
      </c>
      <c r="H1615">
        <v>1356.1872559000001</v>
      </c>
      <c r="I1615">
        <v>1313.4694824000001</v>
      </c>
      <c r="J1615">
        <v>1304.1604004000001</v>
      </c>
      <c r="K1615">
        <v>80</v>
      </c>
      <c r="L1615">
        <v>79.824554442999997</v>
      </c>
      <c r="M1615">
        <v>50</v>
      </c>
      <c r="N1615">
        <v>49.601238250999998</v>
      </c>
    </row>
    <row r="1616" spans="1:14" x14ac:dyDescent="0.25">
      <c r="A1616">
        <v>1466.2807210000001</v>
      </c>
      <c r="B1616" s="1">
        <f>DATE(2014,5,6) + TIME(6,44,14)</f>
        <v>41765.280717592592</v>
      </c>
      <c r="C1616">
        <v>2400</v>
      </c>
      <c r="D1616">
        <v>0</v>
      </c>
      <c r="E1616">
        <v>0</v>
      </c>
      <c r="F1616">
        <v>2400</v>
      </c>
      <c r="G1616">
        <v>1366.067749</v>
      </c>
      <c r="H1616">
        <v>1356.1806641000001</v>
      </c>
      <c r="I1616">
        <v>1313.4689940999999</v>
      </c>
      <c r="J1616">
        <v>1304.1582031</v>
      </c>
      <c r="K1616">
        <v>80</v>
      </c>
      <c r="L1616">
        <v>79.847244262999993</v>
      </c>
      <c r="M1616">
        <v>50</v>
      </c>
      <c r="N1616">
        <v>49.586368561</v>
      </c>
    </row>
    <row r="1617" spans="1:14" x14ac:dyDescent="0.25">
      <c r="A1617">
        <v>1466.5390400000001</v>
      </c>
      <c r="B1617" s="1">
        <f>DATE(2014,5,6) + TIME(12,56,13)</f>
        <v>41765.539039351854</v>
      </c>
      <c r="C1617">
        <v>2400</v>
      </c>
      <c r="D1617">
        <v>0</v>
      </c>
      <c r="E1617">
        <v>0</v>
      </c>
      <c r="F1617">
        <v>2400</v>
      </c>
      <c r="G1617">
        <v>1366.0581055</v>
      </c>
      <c r="H1617">
        <v>1356.1727295000001</v>
      </c>
      <c r="I1617">
        <v>1313.4685059000001</v>
      </c>
      <c r="J1617">
        <v>1304.1560059000001</v>
      </c>
      <c r="K1617">
        <v>80</v>
      </c>
      <c r="L1617">
        <v>79.865798949999999</v>
      </c>
      <c r="M1617">
        <v>50</v>
      </c>
      <c r="N1617">
        <v>49.571353911999999</v>
      </c>
    </row>
    <row r="1618" spans="1:14" x14ac:dyDescent="0.25">
      <c r="A1618">
        <v>1466.8016660000001</v>
      </c>
      <c r="B1618" s="1">
        <f>DATE(2014,5,6) + TIME(19,14,23)</f>
        <v>41765.801655092589</v>
      </c>
      <c r="C1618">
        <v>2400</v>
      </c>
      <c r="D1618">
        <v>0</v>
      </c>
      <c r="E1618">
        <v>0</v>
      </c>
      <c r="F1618">
        <v>2400</v>
      </c>
      <c r="G1618">
        <v>1366.0471190999999</v>
      </c>
      <c r="H1618">
        <v>1356.1636963000001</v>
      </c>
      <c r="I1618">
        <v>1313.4678954999999</v>
      </c>
      <c r="J1618">
        <v>1304.1536865</v>
      </c>
      <c r="K1618">
        <v>80</v>
      </c>
      <c r="L1618">
        <v>79.880950928000004</v>
      </c>
      <c r="M1618">
        <v>50</v>
      </c>
      <c r="N1618">
        <v>49.556163787999999</v>
      </c>
    </row>
    <row r="1619" spans="1:14" x14ac:dyDescent="0.25">
      <c r="A1619">
        <v>1467.069289</v>
      </c>
      <c r="B1619" s="1">
        <f>DATE(2014,5,7) + TIME(1,39,46)</f>
        <v>41766.069282407407</v>
      </c>
      <c r="C1619">
        <v>2400</v>
      </c>
      <c r="D1619">
        <v>0</v>
      </c>
      <c r="E1619">
        <v>0</v>
      </c>
      <c r="F1619">
        <v>2400</v>
      </c>
      <c r="G1619">
        <v>1366.034668</v>
      </c>
      <c r="H1619">
        <v>1356.1536865</v>
      </c>
      <c r="I1619">
        <v>1313.4671631000001</v>
      </c>
      <c r="J1619">
        <v>1304.1513672000001</v>
      </c>
      <c r="K1619">
        <v>80</v>
      </c>
      <c r="L1619">
        <v>79.893325806000007</v>
      </c>
      <c r="M1619">
        <v>50</v>
      </c>
      <c r="N1619">
        <v>49.540775299000003</v>
      </c>
    </row>
    <row r="1620" spans="1:14" x14ac:dyDescent="0.25">
      <c r="A1620">
        <v>1467.3424299999999</v>
      </c>
      <c r="B1620" s="1">
        <f>DATE(2014,5,7) + TIME(8,13,5)</f>
        <v>41766.342418981483</v>
      </c>
      <c r="C1620">
        <v>2400</v>
      </c>
      <c r="D1620">
        <v>0</v>
      </c>
      <c r="E1620">
        <v>0</v>
      </c>
      <c r="F1620">
        <v>2400</v>
      </c>
      <c r="G1620">
        <v>1366.0209961</v>
      </c>
      <c r="H1620">
        <v>1356.1428223</v>
      </c>
      <c r="I1620">
        <v>1313.4663086</v>
      </c>
      <c r="J1620">
        <v>1304.1490478999999</v>
      </c>
      <c r="K1620">
        <v>80</v>
      </c>
      <c r="L1620">
        <v>79.903411864999995</v>
      </c>
      <c r="M1620">
        <v>50</v>
      </c>
      <c r="N1620">
        <v>49.525161742999998</v>
      </c>
    </row>
    <row r="1621" spans="1:14" x14ac:dyDescent="0.25">
      <c r="A1621">
        <v>1467.6213760000001</v>
      </c>
      <c r="B1621" s="1">
        <f>DATE(2014,5,7) + TIME(14,54,46)</f>
        <v>41766.621365740742</v>
      </c>
      <c r="C1621">
        <v>2400</v>
      </c>
      <c r="D1621">
        <v>0</v>
      </c>
      <c r="E1621">
        <v>0</v>
      </c>
      <c r="F1621">
        <v>2400</v>
      </c>
      <c r="G1621">
        <v>1366.0061035000001</v>
      </c>
      <c r="H1621">
        <v>1356.1309814000001</v>
      </c>
      <c r="I1621">
        <v>1313.4654541</v>
      </c>
      <c r="J1621">
        <v>1304.1466064000001</v>
      </c>
      <c r="K1621">
        <v>80</v>
      </c>
      <c r="L1621">
        <v>79.911621093999997</v>
      </c>
      <c r="M1621">
        <v>50</v>
      </c>
      <c r="N1621">
        <v>49.509311676000003</v>
      </c>
    </row>
    <row r="1622" spans="1:14" x14ac:dyDescent="0.25">
      <c r="A1622">
        <v>1467.9059600000001</v>
      </c>
      <c r="B1622" s="1">
        <f>DATE(2014,5,7) + TIME(21,44,34)</f>
        <v>41766.905949074076</v>
      </c>
      <c r="C1622">
        <v>2400</v>
      </c>
      <c r="D1622">
        <v>0</v>
      </c>
      <c r="E1622">
        <v>0</v>
      </c>
      <c r="F1622">
        <v>2400</v>
      </c>
      <c r="G1622">
        <v>1365.9903564000001</v>
      </c>
      <c r="H1622">
        <v>1356.1184082</v>
      </c>
      <c r="I1622">
        <v>1313.4644774999999</v>
      </c>
      <c r="J1622">
        <v>1304.1441649999999</v>
      </c>
      <c r="K1622">
        <v>80</v>
      </c>
      <c r="L1622">
        <v>79.918273925999998</v>
      </c>
      <c r="M1622">
        <v>50</v>
      </c>
      <c r="N1622">
        <v>49.493228911999999</v>
      </c>
    </row>
    <row r="1623" spans="1:14" x14ac:dyDescent="0.25">
      <c r="A1623">
        <v>1468.1968710000001</v>
      </c>
      <c r="B1623" s="1">
        <f>DATE(2014,5,8) + TIME(4,43,29)</f>
        <v>41767.196863425925</v>
      </c>
      <c r="C1623">
        <v>2400</v>
      </c>
      <c r="D1623">
        <v>0</v>
      </c>
      <c r="E1623">
        <v>0</v>
      </c>
      <c r="F1623">
        <v>2400</v>
      </c>
      <c r="G1623">
        <v>1365.9735106999999</v>
      </c>
      <c r="H1623">
        <v>1356.1052245999999</v>
      </c>
      <c r="I1623">
        <v>1313.463501</v>
      </c>
      <c r="J1623">
        <v>1304.1416016000001</v>
      </c>
      <c r="K1623">
        <v>80</v>
      </c>
      <c r="L1623">
        <v>79.923660278</v>
      </c>
      <c r="M1623">
        <v>50</v>
      </c>
      <c r="N1623">
        <v>49.476890564000001</v>
      </c>
    </row>
    <row r="1624" spans="1:14" x14ac:dyDescent="0.25">
      <c r="A1624">
        <v>1468.4946500000001</v>
      </c>
      <c r="B1624" s="1">
        <f>DATE(2014,5,8) + TIME(11,52,17)</f>
        <v>41767.494641203702</v>
      </c>
      <c r="C1624">
        <v>2400</v>
      </c>
      <c r="D1624">
        <v>0</v>
      </c>
      <c r="E1624">
        <v>0</v>
      </c>
      <c r="F1624">
        <v>2400</v>
      </c>
      <c r="G1624">
        <v>1365.9558105000001</v>
      </c>
      <c r="H1624">
        <v>1356.0913086</v>
      </c>
      <c r="I1624">
        <v>1313.4624022999999</v>
      </c>
      <c r="J1624">
        <v>1304.1390381000001</v>
      </c>
      <c r="K1624">
        <v>80</v>
      </c>
      <c r="L1624">
        <v>79.928024292000003</v>
      </c>
      <c r="M1624">
        <v>50</v>
      </c>
      <c r="N1624">
        <v>49.460269928000002</v>
      </c>
    </row>
    <row r="1625" spans="1:14" x14ac:dyDescent="0.25">
      <c r="A1625">
        <v>1468.7999830000001</v>
      </c>
      <c r="B1625" s="1">
        <f>DATE(2014,5,8) + TIME(19,11,58)</f>
        <v>41767.799976851849</v>
      </c>
      <c r="C1625">
        <v>2400</v>
      </c>
      <c r="D1625">
        <v>0</v>
      </c>
      <c r="E1625">
        <v>0</v>
      </c>
      <c r="F1625">
        <v>2400</v>
      </c>
      <c r="G1625">
        <v>1365.9371338000001</v>
      </c>
      <c r="H1625">
        <v>1356.0769043</v>
      </c>
      <c r="I1625">
        <v>1313.4611815999999</v>
      </c>
      <c r="J1625">
        <v>1304.1363524999999</v>
      </c>
      <c r="K1625">
        <v>80</v>
      </c>
      <c r="L1625">
        <v>79.931549071999996</v>
      </c>
      <c r="M1625">
        <v>50</v>
      </c>
      <c r="N1625">
        <v>49.443332671999997</v>
      </c>
    </row>
    <row r="1626" spans="1:14" x14ac:dyDescent="0.25">
      <c r="A1626">
        <v>1469.1131600000001</v>
      </c>
      <c r="B1626" s="1">
        <f>DATE(2014,5,9) + TIME(2,42,57)</f>
        <v>41768.113159722219</v>
      </c>
      <c r="C1626">
        <v>2400</v>
      </c>
      <c r="D1626">
        <v>0</v>
      </c>
      <c r="E1626">
        <v>0</v>
      </c>
      <c r="F1626">
        <v>2400</v>
      </c>
      <c r="G1626">
        <v>1365.9177245999999</v>
      </c>
      <c r="H1626">
        <v>1356.0618896000001</v>
      </c>
      <c r="I1626">
        <v>1313.4599608999999</v>
      </c>
      <c r="J1626">
        <v>1304.1336670000001</v>
      </c>
      <c r="K1626">
        <v>80</v>
      </c>
      <c r="L1626">
        <v>79.934394835999996</v>
      </c>
      <c r="M1626">
        <v>50</v>
      </c>
      <c r="N1626">
        <v>49.426074982000003</v>
      </c>
    </row>
    <row r="1627" spans="1:14" x14ac:dyDescent="0.25">
      <c r="A1627">
        <v>1469.433982</v>
      </c>
      <c r="B1627" s="1">
        <f>DATE(2014,5,9) + TIME(10,24,56)</f>
        <v>41768.433981481481</v>
      </c>
      <c r="C1627">
        <v>2400</v>
      </c>
      <c r="D1627">
        <v>0</v>
      </c>
      <c r="E1627">
        <v>0</v>
      </c>
      <c r="F1627">
        <v>2400</v>
      </c>
      <c r="G1627">
        <v>1365.8975829999999</v>
      </c>
      <c r="H1627">
        <v>1356.0462646000001</v>
      </c>
      <c r="I1627">
        <v>1313.4586182</v>
      </c>
      <c r="J1627">
        <v>1304.1308594</v>
      </c>
      <c r="K1627">
        <v>80</v>
      </c>
      <c r="L1627">
        <v>79.936683654999996</v>
      </c>
      <c r="M1627">
        <v>50</v>
      </c>
      <c r="N1627">
        <v>49.408500670999999</v>
      </c>
    </row>
    <row r="1628" spans="1:14" x14ac:dyDescent="0.25">
      <c r="A1628">
        <v>1469.763115</v>
      </c>
      <c r="B1628" s="1">
        <f>DATE(2014,5,9) + TIME(18,18,53)</f>
        <v>41768.763113425928</v>
      </c>
      <c r="C1628">
        <v>2400</v>
      </c>
      <c r="D1628">
        <v>0</v>
      </c>
      <c r="E1628">
        <v>0</v>
      </c>
      <c r="F1628">
        <v>2400</v>
      </c>
      <c r="G1628">
        <v>1365.8768310999999</v>
      </c>
      <c r="H1628">
        <v>1356.0302733999999</v>
      </c>
      <c r="I1628">
        <v>1313.4572754000001</v>
      </c>
      <c r="J1628">
        <v>1304.1279297000001</v>
      </c>
      <c r="K1628">
        <v>80</v>
      </c>
      <c r="L1628">
        <v>79.938522339000002</v>
      </c>
      <c r="M1628">
        <v>50</v>
      </c>
      <c r="N1628">
        <v>49.390583038000003</v>
      </c>
    </row>
    <row r="1629" spans="1:14" x14ac:dyDescent="0.25">
      <c r="A1629">
        <v>1470.101314</v>
      </c>
      <c r="B1629" s="1">
        <f>DATE(2014,5,10) + TIME(2,25,53)</f>
        <v>41769.101307870369</v>
      </c>
      <c r="C1629">
        <v>2400</v>
      </c>
      <c r="D1629">
        <v>0</v>
      </c>
      <c r="E1629">
        <v>0</v>
      </c>
      <c r="F1629">
        <v>2400</v>
      </c>
      <c r="G1629">
        <v>1365.8553466999999</v>
      </c>
      <c r="H1629">
        <v>1356.0139160000001</v>
      </c>
      <c r="I1629">
        <v>1313.4556885</v>
      </c>
      <c r="J1629">
        <v>1304.1248779</v>
      </c>
      <c r="K1629">
        <v>80</v>
      </c>
      <c r="L1629">
        <v>79.940002441000004</v>
      </c>
      <c r="M1629">
        <v>50</v>
      </c>
      <c r="N1629">
        <v>49.372291564999998</v>
      </c>
    </row>
    <row r="1630" spans="1:14" x14ac:dyDescent="0.25">
      <c r="A1630">
        <v>1470.449404</v>
      </c>
      <c r="B1630" s="1">
        <f>DATE(2014,5,10) + TIME(10,47,8)</f>
        <v>41769.44939814815</v>
      </c>
      <c r="C1630">
        <v>2400</v>
      </c>
      <c r="D1630">
        <v>0</v>
      </c>
      <c r="E1630">
        <v>0</v>
      </c>
      <c r="F1630">
        <v>2400</v>
      </c>
      <c r="G1630">
        <v>1365.8332519999999</v>
      </c>
      <c r="H1630">
        <v>1355.9970702999999</v>
      </c>
      <c r="I1630">
        <v>1313.4542236</v>
      </c>
      <c r="J1630">
        <v>1304.1218262</v>
      </c>
      <c r="K1630">
        <v>80</v>
      </c>
      <c r="L1630">
        <v>79.941192627000007</v>
      </c>
      <c r="M1630">
        <v>50</v>
      </c>
      <c r="N1630">
        <v>49.353591919000003</v>
      </c>
    </row>
    <row r="1631" spans="1:14" x14ac:dyDescent="0.25">
      <c r="A1631">
        <v>1470.8082079999999</v>
      </c>
      <c r="B1631" s="1">
        <f>DATE(2014,5,10) + TIME(19,23,49)</f>
        <v>41769.808206018519</v>
      </c>
      <c r="C1631">
        <v>2400</v>
      </c>
      <c r="D1631">
        <v>0</v>
      </c>
      <c r="E1631">
        <v>0</v>
      </c>
      <c r="F1631">
        <v>2400</v>
      </c>
      <c r="G1631">
        <v>1365.8105469</v>
      </c>
      <c r="H1631">
        <v>1355.9798584</v>
      </c>
      <c r="I1631">
        <v>1313.4525146000001</v>
      </c>
      <c r="J1631">
        <v>1304.1185303</v>
      </c>
      <c r="K1631">
        <v>80</v>
      </c>
      <c r="L1631">
        <v>79.942153931000007</v>
      </c>
      <c r="M1631">
        <v>50</v>
      </c>
      <c r="N1631">
        <v>49.334449767999999</v>
      </c>
    </row>
    <row r="1632" spans="1:14" x14ac:dyDescent="0.25">
      <c r="A1632">
        <v>1471.1771799999999</v>
      </c>
      <c r="B1632" s="1">
        <f>DATE(2014,5,11) + TIME(4,15,8)</f>
        <v>41770.177175925928</v>
      </c>
      <c r="C1632">
        <v>2400</v>
      </c>
      <c r="D1632">
        <v>0</v>
      </c>
      <c r="E1632">
        <v>0</v>
      </c>
      <c r="F1632">
        <v>2400</v>
      </c>
      <c r="G1632">
        <v>1365.7873535000001</v>
      </c>
      <c r="H1632">
        <v>1355.9622803</v>
      </c>
      <c r="I1632">
        <v>1313.4508057</v>
      </c>
      <c r="J1632">
        <v>1304.1151123</v>
      </c>
      <c r="K1632">
        <v>80</v>
      </c>
      <c r="L1632">
        <v>79.942924500000004</v>
      </c>
      <c r="M1632">
        <v>50</v>
      </c>
      <c r="N1632">
        <v>49.314891815000003</v>
      </c>
    </row>
    <row r="1633" spans="1:14" x14ac:dyDescent="0.25">
      <c r="A1633">
        <v>1471.556883</v>
      </c>
      <c r="B1633" s="1">
        <f>DATE(2014,5,11) + TIME(13,21,54)</f>
        <v>41770.556875000002</v>
      </c>
      <c r="C1633">
        <v>2400</v>
      </c>
      <c r="D1633">
        <v>0</v>
      </c>
      <c r="E1633">
        <v>0</v>
      </c>
      <c r="F1633">
        <v>2400</v>
      </c>
      <c r="G1633">
        <v>1365.7635498</v>
      </c>
      <c r="H1633">
        <v>1355.9443358999999</v>
      </c>
      <c r="I1633">
        <v>1313.4489745999999</v>
      </c>
      <c r="J1633">
        <v>1304.1116943</v>
      </c>
      <c r="K1633">
        <v>80</v>
      </c>
      <c r="L1633">
        <v>79.943550110000004</v>
      </c>
      <c r="M1633">
        <v>50</v>
      </c>
      <c r="N1633">
        <v>49.294895171999997</v>
      </c>
    </row>
    <row r="1634" spans="1:14" x14ac:dyDescent="0.25">
      <c r="A1634">
        <v>1471.9481840000001</v>
      </c>
      <c r="B1634" s="1">
        <f>DATE(2014,5,11) + TIME(22,45,23)</f>
        <v>41770.948182870372</v>
      </c>
      <c r="C1634">
        <v>2400</v>
      </c>
      <c r="D1634">
        <v>0</v>
      </c>
      <c r="E1634">
        <v>0</v>
      </c>
      <c r="F1634">
        <v>2400</v>
      </c>
      <c r="G1634">
        <v>1365.7392577999999</v>
      </c>
      <c r="H1634">
        <v>1355.9261475000001</v>
      </c>
      <c r="I1634">
        <v>1313.4470214999999</v>
      </c>
      <c r="J1634">
        <v>1304.1080322</v>
      </c>
      <c r="K1634">
        <v>80</v>
      </c>
      <c r="L1634">
        <v>79.944046021000005</v>
      </c>
      <c r="M1634">
        <v>50</v>
      </c>
      <c r="N1634">
        <v>49.274425506999997</v>
      </c>
    </row>
    <row r="1635" spans="1:14" x14ac:dyDescent="0.25">
      <c r="A1635">
        <v>1472.3520470000001</v>
      </c>
      <c r="B1635" s="1">
        <f>DATE(2014,5,12) + TIME(8,26,56)</f>
        <v>41771.352037037039</v>
      </c>
      <c r="C1635">
        <v>2400</v>
      </c>
      <c r="D1635">
        <v>0</v>
      </c>
      <c r="E1635">
        <v>0</v>
      </c>
      <c r="F1635">
        <v>2400</v>
      </c>
      <c r="G1635">
        <v>1365.7145995999999</v>
      </c>
      <c r="H1635">
        <v>1355.9075928</v>
      </c>
      <c r="I1635">
        <v>1313.4449463000001</v>
      </c>
      <c r="J1635">
        <v>1304.1042480000001</v>
      </c>
      <c r="K1635">
        <v>80</v>
      </c>
      <c r="L1635">
        <v>79.944450377999999</v>
      </c>
      <c r="M1635">
        <v>50</v>
      </c>
      <c r="N1635">
        <v>49.253444672000001</v>
      </c>
    </row>
    <row r="1636" spans="1:14" x14ac:dyDescent="0.25">
      <c r="A1636">
        <v>1472.7696000000001</v>
      </c>
      <c r="B1636" s="1">
        <f>DATE(2014,5,12) + TIME(18,28,13)</f>
        <v>41771.769594907404</v>
      </c>
      <c r="C1636">
        <v>2400</v>
      </c>
      <c r="D1636">
        <v>0</v>
      </c>
      <c r="E1636">
        <v>0</v>
      </c>
      <c r="F1636">
        <v>2400</v>
      </c>
      <c r="G1636">
        <v>1365.6893310999999</v>
      </c>
      <c r="H1636">
        <v>1355.8887939000001</v>
      </c>
      <c r="I1636">
        <v>1313.4428711</v>
      </c>
      <c r="J1636">
        <v>1304.1003418</v>
      </c>
      <c r="K1636">
        <v>80</v>
      </c>
      <c r="L1636">
        <v>79.944778442</v>
      </c>
      <c r="M1636">
        <v>50</v>
      </c>
      <c r="N1636">
        <v>49.231906891000001</v>
      </c>
    </row>
    <row r="1637" spans="1:14" x14ac:dyDescent="0.25">
      <c r="A1637">
        <v>1473.202233</v>
      </c>
      <c r="B1637" s="1">
        <f>DATE(2014,5,13) + TIME(4,51,12)</f>
        <v>41772.202222222222</v>
      </c>
      <c r="C1637">
        <v>2400</v>
      </c>
      <c r="D1637">
        <v>0</v>
      </c>
      <c r="E1637">
        <v>0</v>
      </c>
      <c r="F1637">
        <v>2400</v>
      </c>
      <c r="G1637">
        <v>1365.6635742000001</v>
      </c>
      <c r="H1637">
        <v>1355.8696289</v>
      </c>
      <c r="I1637">
        <v>1313.4406738</v>
      </c>
      <c r="J1637">
        <v>1304.0961914</v>
      </c>
      <c r="K1637">
        <v>80</v>
      </c>
      <c r="L1637">
        <v>79.945045471</v>
      </c>
      <c r="M1637">
        <v>50</v>
      </c>
      <c r="N1637">
        <v>49.209758759000003</v>
      </c>
    </row>
    <row r="1638" spans="1:14" x14ac:dyDescent="0.25">
      <c r="A1638">
        <v>1473.6503970000001</v>
      </c>
      <c r="B1638" s="1">
        <f>DATE(2014,5,13) + TIME(15,36,34)</f>
        <v>41772.650393518517</v>
      </c>
      <c r="C1638">
        <v>2400</v>
      </c>
      <c r="D1638">
        <v>0</v>
      </c>
      <c r="E1638">
        <v>0</v>
      </c>
      <c r="F1638">
        <v>2400</v>
      </c>
      <c r="G1638">
        <v>1365.6373291</v>
      </c>
      <c r="H1638">
        <v>1355.8502197</v>
      </c>
      <c r="I1638">
        <v>1313.4382324000001</v>
      </c>
      <c r="J1638">
        <v>1304.0919189000001</v>
      </c>
      <c r="K1638">
        <v>80</v>
      </c>
      <c r="L1638">
        <v>79.945266724000007</v>
      </c>
      <c r="M1638">
        <v>50</v>
      </c>
      <c r="N1638">
        <v>49.186988831000001</v>
      </c>
    </row>
    <row r="1639" spans="1:14" x14ac:dyDescent="0.25">
      <c r="A1639">
        <v>1474.1133560000001</v>
      </c>
      <c r="B1639" s="1">
        <f>DATE(2014,5,14) + TIME(2,43,13)</f>
        <v>41773.113344907404</v>
      </c>
      <c r="C1639">
        <v>2400</v>
      </c>
      <c r="D1639">
        <v>0</v>
      </c>
      <c r="E1639">
        <v>0</v>
      </c>
      <c r="F1639">
        <v>2400</v>
      </c>
      <c r="G1639">
        <v>1365.6105957</v>
      </c>
      <c r="H1639">
        <v>1355.8304443</v>
      </c>
      <c r="I1639">
        <v>1313.4357910000001</v>
      </c>
      <c r="J1639">
        <v>1304.0874022999999</v>
      </c>
      <c r="K1639">
        <v>80</v>
      </c>
      <c r="L1639">
        <v>79.945442200000002</v>
      </c>
      <c r="M1639">
        <v>50</v>
      </c>
      <c r="N1639">
        <v>49.163619994999998</v>
      </c>
    </row>
    <row r="1640" spans="1:14" x14ac:dyDescent="0.25">
      <c r="A1640">
        <v>1474.592484</v>
      </c>
      <c r="B1640" s="1">
        <f>DATE(2014,5,14) + TIME(14,13,10)</f>
        <v>41773.592476851853</v>
      </c>
      <c r="C1640">
        <v>2400</v>
      </c>
      <c r="D1640">
        <v>0</v>
      </c>
      <c r="E1640">
        <v>0</v>
      </c>
      <c r="F1640">
        <v>2400</v>
      </c>
      <c r="G1640">
        <v>1365.583374</v>
      </c>
      <c r="H1640">
        <v>1355.8104248</v>
      </c>
      <c r="I1640">
        <v>1313.4332274999999</v>
      </c>
      <c r="J1640">
        <v>1304.0826416</v>
      </c>
      <c r="K1640">
        <v>80</v>
      </c>
      <c r="L1640">
        <v>79.945579529</v>
      </c>
      <c r="M1640">
        <v>50</v>
      </c>
      <c r="N1640">
        <v>49.139610290999997</v>
      </c>
    </row>
    <row r="1641" spans="1:14" x14ac:dyDescent="0.25">
      <c r="A1641">
        <v>1475.089228</v>
      </c>
      <c r="B1641" s="1">
        <f>DATE(2014,5,15) + TIME(2,8,29)</f>
        <v>41774.089224537034</v>
      </c>
      <c r="C1641">
        <v>2400</v>
      </c>
      <c r="D1641">
        <v>0</v>
      </c>
      <c r="E1641">
        <v>0</v>
      </c>
      <c r="F1641">
        <v>2400</v>
      </c>
      <c r="G1641">
        <v>1365.5557861</v>
      </c>
      <c r="H1641">
        <v>1355.7900391000001</v>
      </c>
      <c r="I1641">
        <v>1313.4304199000001</v>
      </c>
      <c r="J1641">
        <v>1304.0776367000001</v>
      </c>
      <c r="K1641">
        <v>80</v>
      </c>
      <c r="L1641">
        <v>79.945693969999994</v>
      </c>
      <c r="M1641">
        <v>50</v>
      </c>
      <c r="N1641">
        <v>49.114902495999999</v>
      </c>
    </row>
    <row r="1642" spans="1:14" x14ac:dyDescent="0.25">
      <c r="A1642">
        <v>1475.603662</v>
      </c>
      <c r="B1642" s="1">
        <f>DATE(2014,5,15) + TIME(14,29,16)</f>
        <v>41774.60365740741</v>
      </c>
      <c r="C1642">
        <v>2400</v>
      </c>
      <c r="D1642">
        <v>0</v>
      </c>
      <c r="E1642">
        <v>0</v>
      </c>
      <c r="F1642">
        <v>2400</v>
      </c>
      <c r="G1642">
        <v>1365.5277100000001</v>
      </c>
      <c r="H1642">
        <v>1355.7695312000001</v>
      </c>
      <c r="I1642">
        <v>1313.4274902</v>
      </c>
      <c r="J1642">
        <v>1304.0723877</v>
      </c>
      <c r="K1642">
        <v>80</v>
      </c>
      <c r="L1642">
        <v>79.945793151999993</v>
      </c>
      <c r="M1642">
        <v>50</v>
      </c>
      <c r="N1642">
        <v>49.089496613000001</v>
      </c>
    </row>
    <row r="1643" spans="1:14" x14ac:dyDescent="0.25">
      <c r="A1643">
        <v>1476.1256860000001</v>
      </c>
      <c r="B1643" s="1">
        <f>DATE(2014,5,16) + TIME(3,0,59)</f>
        <v>41775.12568287037</v>
      </c>
      <c r="C1643">
        <v>2400</v>
      </c>
      <c r="D1643">
        <v>0</v>
      </c>
      <c r="E1643">
        <v>0</v>
      </c>
      <c r="F1643">
        <v>2400</v>
      </c>
      <c r="G1643">
        <v>1365.4992675999999</v>
      </c>
      <c r="H1643">
        <v>1355.7486572</v>
      </c>
      <c r="I1643">
        <v>1313.4244385</v>
      </c>
      <c r="J1643">
        <v>1304.0668945</v>
      </c>
      <c r="K1643">
        <v>80</v>
      </c>
      <c r="L1643">
        <v>79.945861816000004</v>
      </c>
      <c r="M1643">
        <v>50</v>
      </c>
      <c r="N1643">
        <v>49.063781738000003</v>
      </c>
    </row>
    <row r="1644" spans="1:14" x14ac:dyDescent="0.25">
      <c r="A1644">
        <v>1476.6539829999999</v>
      </c>
      <c r="B1644" s="1">
        <f>DATE(2014,5,16) + TIME(15,41,44)</f>
        <v>41775.653981481482</v>
      </c>
      <c r="C1644">
        <v>2400</v>
      </c>
      <c r="D1644">
        <v>0</v>
      </c>
      <c r="E1644">
        <v>0</v>
      </c>
      <c r="F1644">
        <v>2400</v>
      </c>
      <c r="G1644">
        <v>1365.4710693</v>
      </c>
      <c r="H1644">
        <v>1355.7280272999999</v>
      </c>
      <c r="I1644">
        <v>1313.4212646000001</v>
      </c>
      <c r="J1644">
        <v>1304.0612793</v>
      </c>
      <c r="K1644">
        <v>80</v>
      </c>
      <c r="L1644">
        <v>79.945915221999996</v>
      </c>
      <c r="M1644">
        <v>50</v>
      </c>
      <c r="N1644">
        <v>49.037830352999997</v>
      </c>
    </row>
    <row r="1645" spans="1:14" x14ac:dyDescent="0.25">
      <c r="A1645">
        <v>1477.189746</v>
      </c>
      <c r="B1645" s="1">
        <f>DATE(2014,5,17) + TIME(4,33,14)</f>
        <v>41776.189745370371</v>
      </c>
      <c r="C1645">
        <v>2400</v>
      </c>
      <c r="D1645">
        <v>0</v>
      </c>
      <c r="E1645">
        <v>0</v>
      </c>
      <c r="F1645">
        <v>2400</v>
      </c>
      <c r="G1645">
        <v>1365.4429932</v>
      </c>
      <c r="H1645">
        <v>1355.7076416</v>
      </c>
      <c r="I1645">
        <v>1313.4180908000001</v>
      </c>
      <c r="J1645">
        <v>1304.0554199000001</v>
      </c>
      <c r="K1645">
        <v>80</v>
      </c>
      <c r="L1645">
        <v>79.945960998999993</v>
      </c>
      <c r="M1645">
        <v>50</v>
      </c>
      <c r="N1645">
        <v>49.011623383</v>
      </c>
    </row>
    <row r="1646" spans="1:14" x14ac:dyDescent="0.25">
      <c r="A1646">
        <v>1477.7342229999999</v>
      </c>
      <c r="B1646" s="1">
        <f>DATE(2014,5,17) + TIME(17,37,16)</f>
        <v>41776.734212962961</v>
      </c>
      <c r="C1646">
        <v>2400</v>
      </c>
      <c r="D1646">
        <v>0</v>
      </c>
      <c r="E1646">
        <v>0</v>
      </c>
      <c r="F1646">
        <v>2400</v>
      </c>
      <c r="G1646">
        <v>1365.4151611</v>
      </c>
      <c r="H1646">
        <v>1355.6873779</v>
      </c>
      <c r="I1646">
        <v>1313.4146728999999</v>
      </c>
      <c r="J1646">
        <v>1304.0494385</v>
      </c>
      <c r="K1646">
        <v>80</v>
      </c>
      <c r="L1646">
        <v>79.945991516000007</v>
      </c>
      <c r="M1646">
        <v>50</v>
      </c>
      <c r="N1646">
        <v>48.985130310000002</v>
      </c>
    </row>
    <row r="1647" spans="1:14" x14ac:dyDescent="0.25">
      <c r="A1647">
        <v>1478.2888089999999</v>
      </c>
      <c r="B1647" s="1">
        <f>DATE(2014,5,18) + TIME(6,55,53)</f>
        <v>41777.288807870369</v>
      </c>
      <c r="C1647">
        <v>2400</v>
      </c>
      <c r="D1647">
        <v>0</v>
      </c>
      <c r="E1647">
        <v>0</v>
      </c>
      <c r="F1647">
        <v>2400</v>
      </c>
      <c r="G1647">
        <v>1365.3875731999999</v>
      </c>
      <c r="H1647">
        <v>1355.6673584</v>
      </c>
      <c r="I1647">
        <v>1313.4112548999999</v>
      </c>
      <c r="J1647">
        <v>1304.0432129000001</v>
      </c>
      <c r="K1647">
        <v>80</v>
      </c>
      <c r="L1647">
        <v>79.946014403999996</v>
      </c>
      <c r="M1647">
        <v>50</v>
      </c>
      <c r="N1647">
        <v>48.958312988000003</v>
      </c>
    </row>
    <row r="1648" spans="1:14" x14ac:dyDescent="0.25">
      <c r="A1648">
        <v>1478.8520269999999</v>
      </c>
      <c r="B1648" s="1">
        <f>DATE(2014,5,18) + TIME(20,26,55)</f>
        <v>41777.852025462962</v>
      </c>
      <c r="C1648">
        <v>2400</v>
      </c>
      <c r="D1648">
        <v>0</v>
      </c>
      <c r="E1648">
        <v>0</v>
      </c>
      <c r="F1648">
        <v>2400</v>
      </c>
      <c r="G1648">
        <v>1365.3599853999999</v>
      </c>
      <c r="H1648">
        <v>1355.6473389</v>
      </c>
      <c r="I1648">
        <v>1313.4075928</v>
      </c>
      <c r="J1648">
        <v>1304.0368652</v>
      </c>
      <c r="K1648">
        <v>80</v>
      </c>
      <c r="L1648">
        <v>79.946029663000004</v>
      </c>
      <c r="M1648">
        <v>50</v>
      </c>
      <c r="N1648">
        <v>48.931232452000003</v>
      </c>
    </row>
    <row r="1649" spans="1:14" x14ac:dyDescent="0.25">
      <c r="A1649">
        <v>1479.424139</v>
      </c>
      <c r="B1649" s="1">
        <f>DATE(2014,5,19) + TIME(10,10,45)</f>
        <v>41778.424131944441</v>
      </c>
      <c r="C1649">
        <v>2400</v>
      </c>
      <c r="D1649">
        <v>0</v>
      </c>
      <c r="E1649">
        <v>0</v>
      </c>
      <c r="F1649">
        <v>2400</v>
      </c>
      <c r="G1649">
        <v>1365.3325195</v>
      </c>
      <c r="H1649">
        <v>1355.6275635</v>
      </c>
      <c r="I1649">
        <v>1313.4039307</v>
      </c>
      <c r="J1649">
        <v>1304.0302733999999</v>
      </c>
      <c r="K1649">
        <v>80</v>
      </c>
      <c r="L1649">
        <v>79.946037292</v>
      </c>
      <c r="M1649">
        <v>50</v>
      </c>
      <c r="N1649">
        <v>48.903888702000003</v>
      </c>
    </row>
    <row r="1650" spans="1:14" x14ac:dyDescent="0.25">
      <c r="A1650">
        <v>1480.0063929999999</v>
      </c>
      <c r="B1650" s="1">
        <f>DATE(2014,5,20) + TIME(0,9,12)</f>
        <v>41779.006388888891</v>
      </c>
      <c r="C1650">
        <v>2400</v>
      </c>
      <c r="D1650">
        <v>0</v>
      </c>
      <c r="E1650">
        <v>0</v>
      </c>
      <c r="F1650">
        <v>2400</v>
      </c>
      <c r="G1650">
        <v>1365.3051757999999</v>
      </c>
      <c r="H1650">
        <v>1355.6079102000001</v>
      </c>
      <c r="I1650">
        <v>1313.4000243999999</v>
      </c>
      <c r="J1650">
        <v>1304.0233154</v>
      </c>
      <c r="K1650">
        <v>80</v>
      </c>
      <c r="L1650">
        <v>79.946037292</v>
      </c>
      <c r="M1650">
        <v>50</v>
      </c>
      <c r="N1650">
        <v>48.876247405999997</v>
      </c>
    </row>
    <row r="1651" spans="1:14" x14ac:dyDescent="0.25">
      <c r="A1651">
        <v>1480.600175</v>
      </c>
      <c r="B1651" s="1">
        <f>DATE(2014,5,20) + TIME(14,24,15)</f>
        <v>41779.600173611114</v>
      </c>
      <c r="C1651">
        <v>2400</v>
      </c>
      <c r="D1651">
        <v>0</v>
      </c>
      <c r="E1651">
        <v>0</v>
      </c>
      <c r="F1651">
        <v>2400</v>
      </c>
      <c r="G1651">
        <v>1365.2780762</v>
      </c>
      <c r="H1651">
        <v>1355.5882568</v>
      </c>
      <c r="I1651">
        <v>1313.3961182</v>
      </c>
      <c r="J1651">
        <v>1304.0162353999999</v>
      </c>
      <c r="K1651">
        <v>80</v>
      </c>
      <c r="L1651">
        <v>79.946037292</v>
      </c>
      <c r="M1651">
        <v>50</v>
      </c>
      <c r="N1651">
        <v>48.848262787000003</v>
      </c>
    </row>
    <row r="1652" spans="1:14" x14ac:dyDescent="0.25">
      <c r="A1652">
        <v>1481.2069819999999</v>
      </c>
      <c r="B1652" s="1">
        <f>DATE(2014,5,21) + TIME(4,58,3)</f>
        <v>41780.206979166665</v>
      </c>
      <c r="C1652">
        <v>2400</v>
      </c>
      <c r="D1652">
        <v>0</v>
      </c>
      <c r="E1652">
        <v>0</v>
      </c>
      <c r="F1652">
        <v>2400</v>
      </c>
      <c r="G1652">
        <v>1365.2508545000001</v>
      </c>
      <c r="H1652">
        <v>1355.5688477000001</v>
      </c>
      <c r="I1652">
        <v>1313.3919678</v>
      </c>
      <c r="J1652">
        <v>1304.0089111</v>
      </c>
      <c r="K1652">
        <v>80</v>
      </c>
      <c r="L1652">
        <v>79.946037292</v>
      </c>
      <c r="M1652">
        <v>50</v>
      </c>
      <c r="N1652">
        <v>48.819889068999998</v>
      </c>
    </row>
    <row r="1653" spans="1:14" x14ac:dyDescent="0.25">
      <c r="A1653">
        <v>1481.824384</v>
      </c>
      <c r="B1653" s="1">
        <f>DATE(2014,5,21) + TIME(19,47,6)</f>
        <v>41780.824374999997</v>
      </c>
      <c r="C1653">
        <v>2400</v>
      </c>
      <c r="D1653">
        <v>0</v>
      </c>
      <c r="E1653">
        <v>0</v>
      </c>
      <c r="F1653">
        <v>2400</v>
      </c>
      <c r="G1653">
        <v>1365.2236327999999</v>
      </c>
      <c r="H1653">
        <v>1355.5493164</v>
      </c>
      <c r="I1653">
        <v>1313.3876952999999</v>
      </c>
      <c r="J1653">
        <v>1304.0012207</v>
      </c>
      <c r="K1653">
        <v>80</v>
      </c>
      <c r="L1653">
        <v>79.946029663000004</v>
      </c>
      <c r="M1653">
        <v>50</v>
      </c>
      <c r="N1653">
        <v>48.791206359999997</v>
      </c>
    </row>
    <row r="1654" spans="1:14" x14ac:dyDescent="0.25">
      <c r="A1654">
        <v>1482.4527599999999</v>
      </c>
      <c r="B1654" s="1">
        <f>DATE(2014,5,22) + TIME(10,51,58)</f>
        <v>41781.45275462963</v>
      </c>
      <c r="C1654">
        <v>2400</v>
      </c>
      <c r="D1654">
        <v>0</v>
      </c>
      <c r="E1654">
        <v>0</v>
      </c>
      <c r="F1654">
        <v>2400</v>
      </c>
      <c r="G1654">
        <v>1365.1965332</v>
      </c>
      <c r="H1654">
        <v>1355.5299072</v>
      </c>
      <c r="I1654">
        <v>1313.3831786999999</v>
      </c>
      <c r="J1654">
        <v>1303.9932861</v>
      </c>
      <c r="K1654">
        <v>80</v>
      </c>
      <c r="L1654">
        <v>79.946014403999996</v>
      </c>
      <c r="M1654">
        <v>50</v>
      </c>
      <c r="N1654">
        <v>48.762214661000002</v>
      </c>
    </row>
    <row r="1655" spans="1:14" x14ac:dyDescent="0.25">
      <c r="A1655">
        <v>1483.093498</v>
      </c>
      <c r="B1655" s="1">
        <f>DATE(2014,5,23) + TIME(2,14,38)</f>
        <v>41782.093495370369</v>
      </c>
      <c r="C1655">
        <v>2400</v>
      </c>
      <c r="D1655">
        <v>0</v>
      </c>
      <c r="E1655">
        <v>0</v>
      </c>
      <c r="F1655">
        <v>2400</v>
      </c>
      <c r="G1655">
        <v>1365.1695557</v>
      </c>
      <c r="H1655">
        <v>1355.5106201000001</v>
      </c>
      <c r="I1655">
        <v>1313.3785399999999</v>
      </c>
      <c r="J1655">
        <v>1303.9851074000001</v>
      </c>
      <c r="K1655">
        <v>80</v>
      </c>
      <c r="L1655">
        <v>79.946006775000001</v>
      </c>
      <c r="M1655">
        <v>50</v>
      </c>
      <c r="N1655">
        <v>48.732868195000002</v>
      </c>
    </row>
    <row r="1656" spans="1:14" x14ac:dyDescent="0.25">
      <c r="A1656">
        <v>1483.7482399999999</v>
      </c>
      <c r="B1656" s="1">
        <f>DATE(2014,5,23) + TIME(17,57,27)</f>
        <v>41782.748229166667</v>
      </c>
      <c r="C1656">
        <v>2400</v>
      </c>
      <c r="D1656">
        <v>0</v>
      </c>
      <c r="E1656">
        <v>0</v>
      </c>
      <c r="F1656">
        <v>2400</v>
      </c>
      <c r="G1656">
        <v>1365.1425781</v>
      </c>
      <c r="H1656">
        <v>1355.4913329999999</v>
      </c>
      <c r="I1656">
        <v>1313.3737793</v>
      </c>
      <c r="J1656">
        <v>1303.9765625</v>
      </c>
      <c r="K1656">
        <v>80</v>
      </c>
      <c r="L1656">
        <v>79.945991516000007</v>
      </c>
      <c r="M1656">
        <v>50</v>
      </c>
      <c r="N1656">
        <v>48.703125</v>
      </c>
    </row>
    <row r="1657" spans="1:14" x14ac:dyDescent="0.25">
      <c r="A1657">
        <v>1484.4188549999999</v>
      </c>
      <c r="B1657" s="1">
        <f>DATE(2014,5,24) + TIME(10,3,9)</f>
        <v>41783.418854166666</v>
      </c>
      <c r="C1657">
        <v>2400</v>
      </c>
      <c r="D1657">
        <v>0</v>
      </c>
      <c r="E1657">
        <v>0</v>
      </c>
      <c r="F1657">
        <v>2400</v>
      </c>
      <c r="G1657">
        <v>1365.1156006000001</v>
      </c>
      <c r="H1657">
        <v>1355.472168</v>
      </c>
      <c r="I1657">
        <v>1313.3687743999999</v>
      </c>
      <c r="J1657">
        <v>1303.9676514</v>
      </c>
      <c r="K1657">
        <v>80</v>
      </c>
      <c r="L1657">
        <v>79.945976256999998</v>
      </c>
      <c r="M1657">
        <v>50</v>
      </c>
      <c r="N1657">
        <v>48.672920226999999</v>
      </c>
    </row>
    <row r="1658" spans="1:14" x14ac:dyDescent="0.25">
      <c r="A1658">
        <v>1485.1071260000001</v>
      </c>
      <c r="B1658" s="1">
        <f>DATE(2014,5,25) + TIME(2,34,15)</f>
        <v>41784.107118055559</v>
      </c>
      <c r="C1658">
        <v>2400</v>
      </c>
      <c r="D1658">
        <v>0</v>
      </c>
      <c r="E1658">
        <v>0</v>
      </c>
      <c r="F1658">
        <v>2400</v>
      </c>
      <c r="G1658">
        <v>1365.088501</v>
      </c>
      <c r="H1658">
        <v>1355.4528809000001</v>
      </c>
      <c r="I1658">
        <v>1313.3635254000001</v>
      </c>
      <c r="J1658">
        <v>1303.958374</v>
      </c>
      <c r="K1658">
        <v>80</v>
      </c>
      <c r="L1658">
        <v>79.945960998999993</v>
      </c>
      <c r="M1658">
        <v>50</v>
      </c>
      <c r="N1658">
        <v>48.642192841000004</v>
      </c>
    </row>
    <row r="1659" spans="1:14" x14ac:dyDescent="0.25">
      <c r="A1659">
        <v>1485.8086840000001</v>
      </c>
      <c r="B1659" s="1">
        <f>DATE(2014,5,25) + TIME(19,24,30)</f>
        <v>41784.808680555558</v>
      </c>
      <c r="C1659">
        <v>2400</v>
      </c>
      <c r="D1659">
        <v>0</v>
      </c>
      <c r="E1659">
        <v>0</v>
      </c>
      <c r="F1659">
        <v>2400</v>
      </c>
      <c r="G1659">
        <v>1365.0612793</v>
      </c>
      <c r="H1659">
        <v>1355.4334716999999</v>
      </c>
      <c r="I1659">
        <v>1313.3580322</v>
      </c>
      <c r="J1659">
        <v>1303.9487305</v>
      </c>
      <c r="K1659">
        <v>80</v>
      </c>
      <c r="L1659">
        <v>79.945945739999999</v>
      </c>
      <c r="M1659">
        <v>50</v>
      </c>
      <c r="N1659">
        <v>48.611087799000003</v>
      </c>
    </row>
    <row r="1660" spans="1:14" x14ac:dyDescent="0.25">
      <c r="A1660">
        <v>1486.5242900000001</v>
      </c>
      <c r="B1660" s="1">
        <f>DATE(2014,5,26) + TIME(12,34,58)</f>
        <v>41785.524282407408</v>
      </c>
      <c r="C1660">
        <v>2400</v>
      </c>
      <c r="D1660">
        <v>0</v>
      </c>
      <c r="E1660">
        <v>0</v>
      </c>
      <c r="F1660">
        <v>2400</v>
      </c>
      <c r="G1660">
        <v>1365.0340576000001</v>
      </c>
      <c r="H1660">
        <v>1355.4141846</v>
      </c>
      <c r="I1660">
        <v>1313.3522949000001</v>
      </c>
      <c r="J1660">
        <v>1303.9385986</v>
      </c>
      <c r="K1660">
        <v>80</v>
      </c>
      <c r="L1660">
        <v>79.945930481000005</v>
      </c>
      <c r="M1660">
        <v>50</v>
      </c>
      <c r="N1660">
        <v>48.579586028999998</v>
      </c>
    </row>
    <row r="1661" spans="1:14" x14ac:dyDescent="0.25">
      <c r="A1661">
        <v>1487.255985</v>
      </c>
      <c r="B1661" s="1">
        <f>DATE(2014,5,27) + TIME(6,8,37)</f>
        <v>41786.255983796298</v>
      </c>
      <c r="C1661">
        <v>2400</v>
      </c>
      <c r="D1661">
        <v>0</v>
      </c>
      <c r="E1661">
        <v>0</v>
      </c>
      <c r="F1661">
        <v>2400</v>
      </c>
      <c r="G1661">
        <v>1365.0069579999999</v>
      </c>
      <c r="H1661">
        <v>1355.3948975000001</v>
      </c>
      <c r="I1661">
        <v>1313.3464355000001</v>
      </c>
      <c r="J1661">
        <v>1303.9281006000001</v>
      </c>
      <c r="K1661">
        <v>80</v>
      </c>
      <c r="L1661">
        <v>79.945915221999996</v>
      </c>
      <c r="M1661">
        <v>50</v>
      </c>
      <c r="N1661">
        <v>48.547645568999997</v>
      </c>
    </row>
    <row r="1662" spans="1:14" x14ac:dyDescent="0.25">
      <c r="A1662">
        <v>1488.0055150000001</v>
      </c>
      <c r="B1662" s="1">
        <f>DATE(2014,5,28) + TIME(0,7,56)</f>
        <v>41787.005509259259</v>
      </c>
      <c r="C1662">
        <v>2400</v>
      </c>
      <c r="D1662">
        <v>0</v>
      </c>
      <c r="E1662">
        <v>0</v>
      </c>
      <c r="F1662">
        <v>2400</v>
      </c>
      <c r="G1662">
        <v>1364.9796143000001</v>
      </c>
      <c r="H1662">
        <v>1355.3757324000001</v>
      </c>
      <c r="I1662">
        <v>1313.3402100000001</v>
      </c>
      <c r="J1662">
        <v>1303.9172363</v>
      </c>
      <c r="K1662">
        <v>80</v>
      </c>
      <c r="L1662">
        <v>79.945892334000007</v>
      </c>
      <c r="M1662">
        <v>50</v>
      </c>
      <c r="N1662">
        <v>48.515209198000001</v>
      </c>
    </row>
    <row r="1663" spans="1:14" x14ac:dyDescent="0.25">
      <c r="A1663">
        <v>1488.774811</v>
      </c>
      <c r="B1663" s="1">
        <f>DATE(2014,5,28) + TIME(18,35,43)</f>
        <v>41787.77480324074</v>
      </c>
      <c r="C1663">
        <v>2400</v>
      </c>
      <c r="D1663">
        <v>0</v>
      </c>
      <c r="E1663">
        <v>0</v>
      </c>
      <c r="F1663">
        <v>2400</v>
      </c>
      <c r="G1663">
        <v>1364.9522704999999</v>
      </c>
      <c r="H1663">
        <v>1355.3563231999999</v>
      </c>
      <c r="I1663">
        <v>1313.3337402</v>
      </c>
      <c r="J1663">
        <v>1303.9057617000001</v>
      </c>
      <c r="K1663">
        <v>80</v>
      </c>
      <c r="L1663">
        <v>79.945877074999999</v>
      </c>
      <c r="M1663">
        <v>50</v>
      </c>
      <c r="N1663">
        <v>48.482231140000003</v>
      </c>
    </row>
    <row r="1664" spans="1:14" x14ac:dyDescent="0.25">
      <c r="A1664">
        <v>1489.566002</v>
      </c>
      <c r="B1664" s="1">
        <f>DATE(2014,5,29) + TIME(13,35,2)</f>
        <v>41788.565995370373</v>
      </c>
      <c r="C1664">
        <v>2400</v>
      </c>
      <c r="D1664">
        <v>0</v>
      </c>
      <c r="E1664">
        <v>0</v>
      </c>
      <c r="F1664">
        <v>2400</v>
      </c>
      <c r="G1664">
        <v>1364.9248047000001</v>
      </c>
      <c r="H1664">
        <v>1355.3369141000001</v>
      </c>
      <c r="I1664">
        <v>1313.3270264</v>
      </c>
      <c r="J1664">
        <v>1303.8937988</v>
      </c>
      <c r="K1664">
        <v>80</v>
      </c>
      <c r="L1664">
        <v>79.945854186999995</v>
      </c>
      <c r="M1664">
        <v>50</v>
      </c>
      <c r="N1664">
        <v>48.448650360000002</v>
      </c>
    </row>
    <row r="1665" spans="1:14" x14ac:dyDescent="0.25">
      <c r="A1665">
        <v>1490.3814540000001</v>
      </c>
      <c r="B1665" s="1">
        <f>DATE(2014,5,30) + TIME(9,9,17)</f>
        <v>41789.38144675926</v>
      </c>
      <c r="C1665">
        <v>2400</v>
      </c>
      <c r="D1665">
        <v>0</v>
      </c>
      <c r="E1665">
        <v>0</v>
      </c>
      <c r="F1665">
        <v>2400</v>
      </c>
      <c r="G1665">
        <v>1364.8970947</v>
      </c>
      <c r="H1665">
        <v>1355.3173827999999</v>
      </c>
      <c r="I1665">
        <v>1313.3198242000001</v>
      </c>
      <c r="J1665">
        <v>1303.8813477000001</v>
      </c>
      <c r="K1665">
        <v>80</v>
      </c>
      <c r="L1665">
        <v>79.945838928000001</v>
      </c>
      <c r="M1665">
        <v>50</v>
      </c>
      <c r="N1665">
        <v>48.414390564000001</v>
      </c>
    </row>
    <row r="1666" spans="1:14" x14ac:dyDescent="0.25">
      <c r="A1666">
        <v>1491.213152</v>
      </c>
      <c r="B1666" s="1">
        <f>DATE(2014,5,31) + TIME(5,6,56)</f>
        <v>41790.213148148148</v>
      </c>
      <c r="C1666">
        <v>2400</v>
      </c>
      <c r="D1666">
        <v>0</v>
      </c>
      <c r="E1666">
        <v>0</v>
      </c>
      <c r="F1666">
        <v>2400</v>
      </c>
      <c r="G1666">
        <v>1364.8690185999999</v>
      </c>
      <c r="H1666">
        <v>1355.2976074000001</v>
      </c>
      <c r="I1666">
        <v>1313.3123779</v>
      </c>
      <c r="J1666">
        <v>1303.8681641000001</v>
      </c>
      <c r="K1666">
        <v>80</v>
      </c>
      <c r="L1666">
        <v>79.945816039999997</v>
      </c>
      <c r="M1666">
        <v>50</v>
      </c>
      <c r="N1666">
        <v>48.379684447999999</v>
      </c>
    </row>
    <row r="1667" spans="1:14" x14ac:dyDescent="0.25">
      <c r="A1667">
        <v>1492</v>
      </c>
      <c r="B1667" s="1">
        <f>DATE(2014,6,1) + TIME(0,0,0)</f>
        <v>41791</v>
      </c>
      <c r="C1667">
        <v>2400</v>
      </c>
      <c r="D1667">
        <v>0</v>
      </c>
      <c r="E1667">
        <v>0</v>
      </c>
      <c r="F1667">
        <v>2400</v>
      </c>
      <c r="G1667">
        <v>1364.8410644999999</v>
      </c>
      <c r="H1667">
        <v>1355.277832</v>
      </c>
      <c r="I1667">
        <v>1313.3045654</v>
      </c>
      <c r="J1667">
        <v>1303.8544922000001</v>
      </c>
      <c r="K1667">
        <v>80</v>
      </c>
      <c r="L1667">
        <v>79.945800781000003</v>
      </c>
      <c r="M1667">
        <v>50</v>
      </c>
      <c r="N1667">
        <v>48.346305846999996</v>
      </c>
    </row>
    <row r="1668" spans="1:14" x14ac:dyDescent="0.25">
      <c r="A1668">
        <v>1492.841872</v>
      </c>
      <c r="B1668" s="1">
        <f>DATE(2014,6,1) + TIME(20,12,17)</f>
        <v>41791.841863425929</v>
      </c>
      <c r="C1668">
        <v>2400</v>
      </c>
      <c r="D1668">
        <v>0</v>
      </c>
      <c r="E1668">
        <v>0</v>
      </c>
      <c r="F1668">
        <v>2400</v>
      </c>
      <c r="G1668">
        <v>1364.8150635</v>
      </c>
      <c r="H1668">
        <v>1355.2596435999999</v>
      </c>
      <c r="I1668">
        <v>1313.2969971</v>
      </c>
      <c r="J1668">
        <v>1303.8410644999999</v>
      </c>
      <c r="K1668">
        <v>80</v>
      </c>
      <c r="L1668">
        <v>79.945785521999994</v>
      </c>
      <c r="M1668">
        <v>50</v>
      </c>
      <c r="N1668">
        <v>48.311668396000002</v>
      </c>
    </row>
    <row r="1669" spans="1:14" x14ac:dyDescent="0.25">
      <c r="A1669">
        <v>1493.709881</v>
      </c>
      <c r="B1669" s="1">
        <f>DATE(2014,6,2) + TIME(17,2,13)</f>
        <v>41792.709872685184</v>
      </c>
      <c r="C1669">
        <v>2400</v>
      </c>
      <c r="D1669">
        <v>0</v>
      </c>
      <c r="E1669">
        <v>0</v>
      </c>
      <c r="F1669">
        <v>2400</v>
      </c>
      <c r="G1669">
        <v>1364.7878418</v>
      </c>
      <c r="H1669">
        <v>1355.2403564000001</v>
      </c>
      <c r="I1669">
        <v>1313.2888184000001</v>
      </c>
      <c r="J1669">
        <v>1303.8265381000001</v>
      </c>
      <c r="K1669">
        <v>80</v>
      </c>
      <c r="L1669">
        <v>79.945762634000005</v>
      </c>
      <c r="M1669">
        <v>50</v>
      </c>
      <c r="N1669">
        <v>48.27640152</v>
      </c>
    </row>
    <row r="1670" spans="1:14" x14ac:dyDescent="0.25">
      <c r="A1670">
        <v>1494.5911390000001</v>
      </c>
      <c r="B1670" s="1">
        <f>DATE(2014,6,3) + TIME(14,11,14)</f>
        <v>41793.591134259259</v>
      </c>
      <c r="C1670">
        <v>2400</v>
      </c>
      <c r="D1670">
        <v>0</v>
      </c>
      <c r="E1670">
        <v>0</v>
      </c>
      <c r="F1670">
        <v>2400</v>
      </c>
      <c r="G1670">
        <v>1364.7602539</v>
      </c>
      <c r="H1670">
        <v>1355.2210693</v>
      </c>
      <c r="I1670">
        <v>1313.2801514</v>
      </c>
      <c r="J1670">
        <v>1303.8114014</v>
      </c>
      <c r="K1670">
        <v>80</v>
      </c>
      <c r="L1670">
        <v>79.945747374999996</v>
      </c>
      <c r="M1670">
        <v>50</v>
      </c>
      <c r="N1670">
        <v>48.240833281999997</v>
      </c>
    </row>
    <row r="1671" spans="1:14" x14ac:dyDescent="0.25">
      <c r="A1671">
        <v>1495.4820689999999</v>
      </c>
      <c r="B1671" s="1">
        <f>DATE(2014,6,4) + TIME(11,34,10)</f>
        <v>41794.482060185182</v>
      </c>
      <c r="C1671">
        <v>2400</v>
      </c>
      <c r="D1671">
        <v>0</v>
      </c>
      <c r="E1671">
        <v>0</v>
      </c>
      <c r="F1671">
        <v>2400</v>
      </c>
      <c r="G1671">
        <v>1364.7327881000001</v>
      </c>
      <c r="H1671">
        <v>1355.2017822</v>
      </c>
      <c r="I1671">
        <v>1313.2711182</v>
      </c>
      <c r="J1671">
        <v>1303.7956543</v>
      </c>
      <c r="K1671">
        <v>80</v>
      </c>
      <c r="L1671">
        <v>79.945732117000006</v>
      </c>
      <c r="M1671">
        <v>50</v>
      </c>
      <c r="N1671">
        <v>48.205108643000003</v>
      </c>
    </row>
    <row r="1672" spans="1:14" x14ac:dyDescent="0.25">
      <c r="A1672">
        <v>1496.385444</v>
      </c>
      <c r="B1672" s="1">
        <f>DATE(2014,6,5) + TIME(9,15,2)</f>
        <v>41795.385439814818</v>
      </c>
      <c r="C1672">
        <v>2400</v>
      </c>
      <c r="D1672">
        <v>0</v>
      </c>
      <c r="E1672">
        <v>0</v>
      </c>
      <c r="F1672">
        <v>2400</v>
      </c>
      <c r="G1672">
        <v>1364.7054443</v>
      </c>
      <c r="H1672">
        <v>1355.1826172000001</v>
      </c>
      <c r="I1672">
        <v>1313.2618408000001</v>
      </c>
      <c r="J1672">
        <v>1303.7792969</v>
      </c>
      <c r="K1672">
        <v>80</v>
      </c>
      <c r="L1672">
        <v>79.945709229000002</v>
      </c>
      <c r="M1672">
        <v>50</v>
      </c>
      <c r="N1672">
        <v>48.169204712000003</v>
      </c>
    </row>
    <row r="1673" spans="1:14" x14ac:dyDescent="0.25">
      <c r="A1673">
        <v>1497.3033969999999</v>
      </c>
      <c r="B1673" s="1">
        <f>DATE(2014,6,6) + TIME(7,16,53)</f>
        <v>41796.303391203706</v>
      </c>
      <c r="C1673">
        <v>2400</v>
      </c>
      <c r="D1673">
        <v>0</v>
      </c>
      <c r="E1673">
        <v>0</v>
      </c>
      <c r="F1673">
        <v>2400</v>
      </c>
      <c r="G1673">
        <v>1364.6783447</v>
      </c>
      <c r="H1673">
        <v>1355.1635742000001</v>
      </c>
      <c r="I1673">
        <v>1313.2523193</v>
      </c>
      <c r="J1673">
        <v>1303.7624512</v>
      </c>
      <c r="K1673">
        <v>80</v>
      </c>
      <c r="L1673">
        <v>79.945693969999994</v>
      </c>
      <c r="M1673">
        <v>50</v>
      </c>
      <c r="N1673">
        <v>48.133090973000002</v>
      </c>
    </row>
    <row r="1674" spans="1:14" x14ac:dyDescent="0.25">
      <c r="A1674">
        <v>1498.2381789999999</v>
      </c>
      <c r="B1674" s="1">
        <f>DATE(2014,6,7) + TIME(5,42,58)</f>
        <v>41797.238171296296</v>
      </c>
      <c r="C1674">
        <v>2400</v>
      </c>
      <c r="D1674">
        <v>0</v>
      </c>
      <c r="E1674">
        <v>0</v>
      </c>
      <c r="F1674">
        <v>2400</v>
      </c>
      <c r="G1674">
        <v>1364.6512451000001</v>
      </c>
      <c r="H1674">
        <v>1355.1445312000001</v>
      </c>
      <c r="I1674">
        <v>1313.2423096</v>
      </c>
      <c r="J1674">
        <v>1303.7449951000001</v>
      </c>
      <c r="K1674">
        <v>80</v>
      </c>
      <c r="L1674">
        <v>79.945678710999999</v>
      </c>
      <c r="M1674">
        <v>50</v>
      </c>
      <c r="N1674">
        <v>48.096733092999997</v>
      </c>
    </row>
    <row r="1675" spans="1:14" x14ac:dyDescent="0.25">
      <c r="A1675">
        <v>1499.1921850000001</v>
      </c>
      <c r="B1675" s="1">
        <f>DATE(2014,6,8) + TIME(4,36,44)</f>
        <v>41798.192175925928</v>
      </c>
      <c r="C1675">
        <v>2400</v>
      </c>
      <c r="D1675">
        <v>0</v>
      </c>
      <c r="E1675">
        <v>0</v>
      </c>
      <c r="F1675">
        <v>2400</v>
      </c>
      <c r="G1675">
        <v>1364.6241454999999</v>
      </c>
      <c r="H1675">
        <v>1355.1256103999999</v>
      </c>
      <c r="I1675">
        <v>1313.2319336</v>
      </c>
      <c r="J1675">
        <v>1303.7269286999999</v>
      </c>
      <c r="K1675">
        <v>80</v>
      </c>
      <c r="L1675">
        <v>79.945663452000005</v>
      </c>
      <c r="M1675">
        <v>50</v>
      </c>
      <c r="N1675">
        <v>48.060081482000001</v>
      </c>
    </row>
    <row r="1676" spans="1:14" x14ac:dyDescent="0.25">
      <c r="A1676">
        <v>1500.1668850000001</v>
      </c>
      <c r="B1676" s="1">
        <f>DATE(2014,6,9) + TIME(4,0,18)</f>
        <v>41799.166875000003</v>
      </c>
      <c r="C1676">
        <v>2400</v>
      </c>
      <c r="D1676">
        <v>0</v>
      </c>
      <c r="E1676">
        <v>0</v>
      </c>
      <c r="F1676">
        <v>2400</v>
      </c>
      <c r="G1676">
        <v>1364.5970459</v>
      </c>
      <c r="H1676">
        <v>1355.1065673999999</v>
      </c>
      <c r="I1676">
        <v>1313.2211914</v>
      </c>
      <c r="J1676">
        <v>1303.7080077999999</v>
      </c>
      <c r="K1676">
        <v>80</v>
      </c>
      <c r="L1676">
        <v>79.945648192999997</v>
      </c>
      <c r="M1676">
        <v>50</v>
      </c>
      <c r="N1676">
        <v>48.023101807000003</v>
      </c>
    </row>
    <row r="1677" spans="1:14" x14ac:dyDescent="0.25">
      <c r="A1677">
        <v>1501.154117</v>
      </c>
      <c r="B1677" s="1">
        <f>DATE(2014,6,10) + TIME(3,41,55)</f>
        <v>41800.154108796298</v>
      </c>
      <c r="C1677">
        <v>2400</v>
      </c>
      <c r="D1677">
        <v>0</v>
      </c>
      <c r="E1677">
        <v>0</v>
      </c>
      <c r="F1677">
        <v>2400</v>
      </c>
      <c r="G1677">
        <v>1364.5698242000001</v>
      </c>
      <c r="H1677">
        <v>1355.0875243999999</v>
      </c>
      <c r="I1677">
        <v>1313.2099608999999</v>
      </c>
      <c r="J1677">
        <v>1303.6883545000001</v>
      </c>
      <c r="K1677">
        <v>80</v>
      </c>
      <c r="L1677">
        <v>79.945632935000006</v>
      </c>
      <c r="M1677">
        <v>50</v>
      </c>
      <c r="N1677">
        <v>47.986003875999998</v>
      </c>
    </row>
    <row r="1678" spans="1:14" x14ac:dyDescent="0.25">
      <c r="A1678">
        <v>1502.156704</v>
      </c>
      <c r="B1678" s="1">
        <f>DATE(2014,6,11) + TIME(3,45,39)</f>
        <v>41801.156701388885</v>
      </c>
      <c r="C1678">
        <v>2400</v>
      </c>
      <c r="D1678">
        <v>0</v>
      </c>
      <c r="E1678">
        <v>0</v>
      </c>
      <c r="F1678">
        <v>2400</v>
      </c>
      <c r="G1678">
        <v>1364.5427245999999</v>
      </c>
      <c r="H1678">
        <v>1355.0686035000001</v>
      </c>
      <c r="I1678">
        <v>1313.1983643000001</v>
      </c>
      <c r="J1678">
        <v>1303.6680908000001</v>
      </c>
      <c r="K1678">
        <v>80</v>
      </c>
      <c r="L1678">
        <v>79.945617675999998</v>
      </c>
      <c r="M1678">
        <v>50</v>
      </c>
      <c r="N1678">
        <v>47.948768616000002</v>
      </c>
    </row>
    <row r="1679" spans="1:14" x14ac:dyDescent="0.25">
      <c r="A1679">
        <v>1503.1770300000001</v>
      </c>
      <c r="B1679" s="1">
        <f>DATE(2014,6,12) + TIME(4,14,55)</f>
        <v>41802.177025462966</v>
      </c>
      <c r="C1679">
        <v>2400</v>
      </c>
      <c r="D1679">
        <v>0</v>
      </c>
      <c r="E1679">
        <v>0</v>
      </c>
      <c r="F1679">
        <v>2400</v>
      </c>
      <c r="G1679">
        <v>1364.5157471</v>
      </c>
      <c r="H1679">
        <v>1355.0496826000001</v>
      </c>
      <c r="I1679">
        <v>1313.1864014</v>
      </c>
      <c r="J1679">
        <v>1303.6469727000001</v>
      </c>
      <c r="K1679">
        <v>80</v>
      </c>
      <c r="L1679">
        <v>79.945602417000003</v>
      </c>
      <c r="M1679">
        <v>50</v>
      </c>
      <c r="N1679">
        <v>47.911373138000002</v>
      </c>
    </row>
    <row r="1680" spans="1:14" x14ac:dyDescent="0.25">
      <c r="A1680">
        <v>1504.2175549999999</v>
      </c>
      <c r="B1680" s="1">
        <f>DATE(2014,6,13) + TIME(5,13,16)</f>
        <v>41803.217546296299</v>
      </c>
      <c r="C1680">
        <v>2400</v>
      </c>
      <c r="D1680">
        <v>0</v>
      </c>
      <c r="E1680">
        <v>0</v>
      </c>
      <c r="F1680">
        <v>2400</v>
      </c>
      <c r="G1680">
        <v>1364.4886475000001</v>
      </c>
      <c r="H1680">
        <v>1355.0307617000001</v>
      </c>
      <c r="I1680">
        <v>1313.1739502</v>
      </c>
      <c r="J1680">
        <v>1303.6252440999999</v>
      </c>
      <c r="K1680">
        <v>80</v>
      </c>
      <c r="L1680">
        <v>79.945587157999995</v>
      </c>
      <c r="M1680">
        <v>50</v>
      </c>
      <c r="N1680">
        <v>47.873779296999999</v>
      </c>
    </row>
    <row r="1681" spans="1:14" x14ac:dyDescent="0.25">
      <c r="A1681">
        <v>1505.280935</v>
      </c>
      <c r="B1681" s="1">
        <f>DATE(2014,6,14) + TIME(6,44,32)</f>
        <v>41804.280925925923</v>
      </c>
      <c r="C1681">
        <v>2400</v>
      </c>
      <c r="D1681">
        <v>0</v>
      </c>
      <c r="E1681">
        <v>0</v>
      </c>
      <c r="F1681">
        <v>2400</v>
      </c>
      <c r="G1681">
        <v>1364.4615478999999</v>
      </c>
      <c r="H1681">
        <v>1355.0117187999999</v>
      </c>
      <c r="I1681">
        <v>1313.1610106999999</v>
      </c>
      <c r="J1681">
        <v>1303.6025391000001</v>
      </c>
      <c r="K1681">
        <v>80</v>
      </c>
      <c r="L1681">
        <v>79.945579529</v>
      </c>
      <c r="M1681">
        <v>50</v>
      </c>
      <c r="N1681">
        <v>47.835948944000002</v>
      </c>
    </row>
    <row r="1682" spans="1:14" x14ac:dyDescent="0.25">
      <c r="A1682">
        <v>1506.370042</v>
      </c>
      <c r="B1682" s="1">
        <f>DATE(2014,6,15) + TIME(8,52,51)</f>
        <v>41805.370034722226</v>
      </c>
      <c r="C1682">
        <v>2400</v>
      </c>
      <c r="D1682">
        <v>0</v>
      </c>
      <c r="E1682">
        <v>0</v>
      </c>
      <c r="F1682">
        <v>2400</v>
      </c>
      <c r="G1682">
        <v>1364.4343262</v>
      </c>
      <c r="H1682">
        <v>1354.9926757999999</v>
      </c>
      <c r="I1682">
        <v>1313.1475829999999</v>
      </c>
      <c r="J1682">
        <v>1303.5789795000001</v>
      </c>
      <c r="K1682">
        <v>80</v>
      </c>
      <c r="L1682">
        <v>79.945564270000006</v>
      </c>
      <c r="M1682">
        <v>50</v>
      </c>
      <c r="N1682">
        <v>47.797836304</v>
      </c>
    </row>
    <row r="1683" spans="1:14" x14ac:dyDescent="0.25">
      <c r="A1683">
        <v>1507.476361</v>
      </c>
      <c r="B1683" s="1">
        <f>DATE(2014,6,16) + TIME(11,25,57)</f>
        <v>41806.476354166669</v>
      </c>
      <c r="C1683">
        <v>2400</v>
      </c>
      <c r="D1683">
        <v>0</v>
      </c>
      <c r="E1683">
        <v>0</v>
      </c>
      <c r="F1683">
        <v>2400</v>
      </c>
      <c r="G1683">
        <v>1364.4069824000001</v>
      </c>
      <c r="H1683">
        <v>1354.9735106999999</v>
      </c>
      <c r="I1683">
        <v>1313.1335449000001</v>
      </c>
      <c r="J1683">
        <v>1303.5544434000001</v>
      </c>
      <c r="K1683">
        <v>80</v>
      </c>
      <c r="L1683">
        <v>79.945549010999997</v>
      </c>
      <c r="M1683">
        <v>50</v>
      </c>
      <c r="N1683">
        <v>47.759632111000002</v>
      </c>
    </row>
    <row r="1684" spans="1:14" x14ac:dyDescent="0.25">
      <c r="A1684">
        <v>1508.5982489999999</v>
      </c>
      <c r="B1684" s="1">
        <f>DATE(2014,6,17) + TIME(14,21,28)</f>
        <v>41807.598240740743</v>
      </c>
      <c r="C1684">
        <v>2400</v>
      </c>
      <c r="D1684">
        <v>0</v>
      </c>
      <c r="E1684">
        <v>0</v>
      </c>
      <c r="F1684">
        <v>2400</v>
      </c>
      <c r="G1684">
        <v>1364.3795166</v>
      </c>
      <c r="H1684">
        <v>1354.9543457</v>
      </c>
      <c r="I1684">
        <v>1313.1190185999999</v>
      </c>
      <c r="J1684">
        <v>1303.5289307</v>
      </c>
      <c r="K1684">
        <v>80</v>
      </c>
      <c r="L1684">
        <v>79.945541382000002</v>
      </c>
      <c r="M1684">
        <v>50</v>
      </c>
      <c r="N1684">
        <v>47.721439361999998</v>
      </c>
    </row>
    <row r="1685" spans="1:14" x14ac:dyDescent="0.25">
      <c r="A1685">
        <v>1509.7303569999999</v>
      </c>
      <c r="B1685" s="1">
        <f>DATE(2014,6,18) + TIME(17,31,42)</f>
        <v>41808.730347222219</v>
      </c>
      <c r="C1685">
        <v>2400</v>
      </c>
      <c r="D1685">
        <v>0</v>
      </c>
      <c r="E1685">
        <v>0</v>
      </c>
      <c r="F1685">
        <v>2400</v>
      </c>
      <c r="G1685">
        <v>1364.3522949000001</v>
      </c>
      <c r="H1685">
        <v>1354.9351807</v>
      </c>
      <c r="I1685">
        <v>1313.1040039</v>
      </c>
      <c r="J1685">
        <v>1303.5028076000001</v>
      </c>
      <c r="K1685">
        <v>80</v>
      </c>
      <c r="L1685">
        <v>79.945526122999993</v>
      </c>
      <c r="M1685">
        <v>50</v>
      </c>
      <c r="N1685">
        <v>47.683429717999999</v>
      </c>
    </row>
    <row r="1686" spans="1:14" x14ac:dyDescent="0.25">
      <c r="A1686">
        <v>1510.876019</v>
      </c>
      <c r="B1686" s="1">
        <f>DATE(2014,6,19) + TIME(21,1,28)</f>
        <v>41809.876018518517</v>
      </c>
      <c r="C1686">
        <v>2400</v>
      </c>
      <c r="D1686">
        <v>0</v>
      </c>
      <c r="E1686">
        <v>0</v>
      </c>
      <c r="F1686">
        <v>2400</v>
      </c>
      <c r="G1686">
        <v>1364.3251952999999</v>
      </c>
      <c r="H1686">
        <v>1354.9162598</v>
      </c>
      <c r="I1686">
        <v>1313.0886230000001</v>
      </c>
      <c r="J1686">
        <v>1303.4758300999999</v>
      </c>
      <c r="K1686">
        <v>80</v>
      </c>
      <c r="L1686">
        <v>79.945518493999998</v>
      </c>
      <c r="M1686">
        <v>50</v>
      </c>
      <c r="N1686">
        <v>47.645610808999997</v>
      </c>
    </row>
    <row r="1687" spans="1:14" x14ac:dyDescent="0.25">
      <c r="A1687">
        <v>1512.0381990000001</v>
      </c>
      <c r="B1687" s="1">
        <f>DATE(2014,6,21) + TIME(0,55,0)</f>
        <v>41811.038194444445</v>
      </c>
      <c r="C1687">
        <v>2400</v>
      </c>
      <c r="D1687">
        <v>0</v>
      </c>
      <c r="E1687">
        <v>0</v>
      </c>
      <c r="F1687">
        <v>2400</v>
      </c>
      <c r="G1687">
        <v>1364.2982178</v>
      </c>
      <c r="H1687">
        <v>1354.8973389</v>
      </c>
      <c r="I1687">
        <v>1313.0727539</v>
      </c>
      <c r="J1687">
        <v>1303.4479980000001</v>
      </c>
      <c r="K1687">
        <v>80</v>
      </c>
      <c r="L1687">
        <v>79.945503235000004</v>
      </c>
      <c r="M1687">
        <v>50</v>
      </c>
      <c r="N1687">
        <v>47.607975005999997</v>
      </c>
    </row>
    <row r="1688" spans="1:14" x14ac:dyDescent="0.25">
      <c r="A1688">
        <v>1513.219752</v>
      </c>
      <c r="B1688" s="1">
        <f>DATE(2014,6,22) + TIME(5,16,26)</f>
        <v>41812.21974537037</v>
      </c>
      <c r="C1688">
        <v>2400</v>
      </c>
      <c r="D1688">
        <v>0</v>
      </c>
      <c r="E1688">
        <v>0</v>
      </c>
      <c r="F1688">
        <v>2400</v>
      </c>
      <c r="G1688">
        <v>1364.2712402</v>
      </c>
      <c r="H1688">
        <v>1354.878418</v>
      </c>
      <c r="I1688">
        <v>1313.0565185999999</v>
      </c>
      <c r="J1688">
        <v>1303.4194336</v>
      </c>
      <c r="K1688">
        <v>80</v>
      </c>
      <c r="L1688">
        <v>79.945495605000005</v>
      </c>
      <c r="M1688">
        <v>50</v>
      </c>
      <c r="N1688">
        <v>47.570507050000003</v>
      </c>
    </row>
    <row r="1689" spans="1:14" x14ac:dyDescent="0.25">
      <c r="A1689">
        <v>1514.423702</v>
      </c>
      <c r="B1689" s="1">
        <f>DATE(2014,6,23) + TIME(10,10,7)</f>
        <v>41813.423692129632</v>
      </c>
      <c r="C1689">
        <v>2400</v>
      </c>
      <c r="D1689">
        <v>0</v>
      </c>
      <c r="E1689">
        <v>0</v>
      </c>
      <c r="F1689">
        <v>2400</v>
      </c>
      <c r="G1689">
        <v>1364.2443848</v>
      </c>
      <c r="H1689">
        <v>1354.8596190999999</v>
      </c>
      <c r="I1689">
        <v>1313.0395507999999</v>
      </c>
      <c r="J1689">
        <v>1303.3898925999999</v>
      </c>
      <c r="K1689">
        <v>80</v>
      </c>
      <c r="L1689">
        <v>79.945487975999995</v>
      </c>
      <c r="M1689">
        <v>50</v>
      </c>
      <c r="N1689">
        <v>47.533180237000003</v>
      </c>
    </row>
    <row r="1690" spans="1:14" x14ac:dyDescent="0.25">
      <c r="A1690">
        <v>1515.645336</v>
      </c>
      <c r="B1690" s="1">
        <f>DATE(2014,6,24) + TIME(15,29,17)</f>
        <v>41814.645335648151</v>
      </c>
      <c r="C1690">
        <v>2400</v>
      </c>
      <c r="D1690">
        <v>0</v>
      </c>
      <c r="E1690">
        <v>0</v>
      </c>
      <c r="F1690">
        <v>2400</v>
      </c>
      <c r="G1690">
        <v>1364.2174072</v>
      </c>
      <c r="H1690">
        <v>1354.8405762</v>
      </c>
      <c r="I1690">
        <v>1313.0220947</v>
      </c>
      <c r="J1690">
        <v>1303.3592529</v>
      </c>
      <c r="K1690">
        <v>80</v>
      </c>
      <c r="L1690">
        <v>79.945480347</v>
      </c>
      <c r="M1690">
        <v>50</v>
      </c>
      <c r="N1690">
        <v>47.496109009000001</v>
      </c>
    </row>
    <row r="1691" spans="1:14" x14ac:dyDescent="0.25">
      <c r="A1691">
        <v>1516.880429</v>
      </c>
      <c r="B1691" s="1">
        <f>DATE(2014,6,25) + TIME(21,7,49)</f>
        <v>41815.880428240744</v>
      </c>
      <c r="C1691">
        <v>2400</v>
      </c>
      <c r="D1691">
        <v>0</v>
      </c>
      <c r="E1691">
        <v>0</v>
      </c>
      <c r="F1691">
        <v>2400</v>
      </c>
      <c r="G1691">
        <v>1364.1904297000001</v>
      </c>
      <c r="H1691">
        <v>1354.8216553</v>
      </c>
      <c r="I1691">
        <v>1313.0041504000001</v>
      </c>
      <c r="J1691">
        <v>1303.3278809000001</v>
      </c>
      <c r="K1691">
        <v>80</v>
      </c>
      <c r="L1691">
        <v>79.945465088000006</v>
      </c>
      <c r="M1691">
        <v>50</v>
      </c>
      <c r="N1691">
        <v>47.459430695000002</v>
      </c>
    </row>
    <row r="1692" spans="1:14" x14ac:dyDescent="0.25">
      <c r="A1692">
        <v>1518.1330989999999</v>
      </c>
      <c r="B1692" s="1">
        <f>DATE(2014,6,27) + TIME(3,11,39)</f>
        <v>41817.133090277777</v>
      </c>
      <c r="C1692">
        <v>2400</v>
      </c>
      <c r="D1692">
        <v>0</v>
      </c>
      <c r="E1692">
        <v>0</v>
      </c>
      <c r="F1692">
        <v>2400</v>
      </c>
      <c r="G1692">
        <v>1364.1635742000001</v>
      </c>
      <c r="H1692">
        <v>1354.8027344</v>
      </c>
      <c r="I1692">
        <v>1312.9857178</v>
      </c>
      <c r="J1692">
        <v>1303.2955322</v>
      </c>
      <c r="K1692">
        <v>80</v>
      </c>
      <c r="L1692">
        <v>79.945457458000007</v>
      </c>
      <c r="M1692">
        <v>50</v>
      </c>
      <c r="N1692">
        <v>47.423160553000002</v>
      </c>
    </row>
    <row r="1693" spans="1:14" x14ac:dyDescent="0.25">
      <c r="A1693">
        <v>1519.4063120000001</v>
      </c>
      <c r="B1693" s="1">
        <f>DATE(2014,6,28) + TIME(9,45,5)</f>
        <v>41818.406307870369</v>
      </c>
      <c r="C1693">
        <v>2400</v>
      </c>
      <c r="D1693">
        <v>0</v>
      </c>
      <c r="E1693">
        <v>0</v>
      </c>
      <c r="F1693">
        <v>2400</v>
      </c>
      <c r="G1693">
        <v>1364.1367187999999</v>
      </c>
      <c r="H1693">
        <v>1354.7839355000001</v>
      </c>
      <c r="I1693">
        <v>1312.9667969</v>
      </c>
      <c r="J1693">
        <v>1303.2623291</v>
      </c>
      <c r="K1693">
        <v>80</v>
      </c>
      <c r="L1693">
        <v>79.945457458000007</v>
      </c>
      <c r="M1693">
        <v>50</v>
      </c>
      <c r="N1693">
        <v>47.387298584</v>
      </c>
    </row>
    <row r="1694" spans="1:14" x14ac:dyDescent="0.25">
      <c r="A1694">
        <v>1520.7031509999999</v>
      </c>
      <c r="B1694" s="1">
        <f>DATE(2014,6,29) + TIME(16,52,32)</f>
        <v>41819.703148148146</v>
      </c>
      <c r="C1694">
        <v>2400</v>
      </c>
      <c r="D1694">
        <v>0</v>
      </c>
      <c r="E1694">
        <v>0</v>
      </c>
      <c r="F1694">
        <v>2400</v>
      </c>
      <c r="G1694">
        <v>1364.1098632999999</v>
      </c>
      <c r="H1694">
        <v>1354.7650146000001</v>
      </c>
      <c r="I1694">
        <v>1312.9472656</v>
      </c>
      <c r="J1694">
        <v>1303.2280272999999</v>
      </c>
      <c r="K1694">
        <v>80</v>
      </c>
      <c r="L1694">
        <v>79.945449828999998</v>
      </c>
      <c r="M1694">
        <v>50</v>
      </c>
      <c r="N1694">
        <v>47.351860045999999</v>
      </c>
    </row>
    <row r="1695" spans="1:14" x14ac:dyDescent="0.25">
      <c r="A1695">
        <v>1522</v>
      </c>
      <c r="B1695" s="1">
        <f>DATE(2014,7,1) + TIME(0,0,0)</f>
        <v>41821</v>
      </c>
      <c r="C1695">
        <v>2400</v>
      </c>
      <c r="D1695">
        <v>0</v>
      </c>
      <c r="E1695">
        <v>0</v>
      </c>
      <c r="F1695">
        <v>2400</v>
      </c>
      <c r="G1695">
        <v>1364.0828856999999</v>
      </c>
      <c r="H1695">
        <v>1354.7459716999999</v>
      </c>
      <c r="I1695">
        <v>1312.927124</v>
      </c>
      <c r="J1695">
        <v>1303.1928711</v>
      </c>
      <c r="K1695">
        <v>80</v>
      </c>
      <c r="L1695">
        <v>79.945442200000002</v>
      </c>
      <c r="M1695">
        <v>50</v>
      </c>
      <c r="N1695">
        <v>47.317249298</v>
      </c>
    </row>
    <row r="1696" spans="1:14" x14ac:dyDescent="0.25">
      <c r="A1696">
        <v>1523.323789</v>
      </c>
      <c r="B1696" s="1">
        <f>DATE(2014,7,2) + TIME(7,46,15)</f>
        <v>41822.323784722219</v>
      </c>
      <c r="C1696">
        <v>2400</v>
      </c>
      <c r="D1696">
        <v>0</v>
      </c>
      <c r="E1696">
        <v>0</v>
      </c>
      <c r="F1696">
        <v>2400</v>
      </c>
      <c r="G1696">
        <v>1364.0563964999999</v>
      </c>
      <c r="H1696">
        <v>1354.7272949000001</v>
      </c>
      <c r="I1696">
        <v>1312.9067382999999</v>
      </c>
      <c r="J1696">
        <v>1303.1569824000001</v>
      </c>
      <c r="K1696">
        <v>80</v>
      </c>
      <c r="L1696">
        <v>79.945434570000003</v>
      </c>
      <c r="M1696">
        <v>50</v>
      </c>
      <c r="N1696">
        <v>47.283218384000001</v>
      </c>
    </row>
    <row r="1697" spans="1:14" x14ac:dyDescent="0.25">
      <c r="A1697">
        <v>1524.7118519999999</v>
      </c>
      <c r="B1697" s="1">
        <f>DATE(2014,7,3) + TIME(17,5,4)</f>
        <v>41823.711851851855</v>
      </c>
      <c r="C1697">
        <v>2400</v>
      </c>
      <c r="D1697">
        <v>0</v>
      </c>
      <c r="E1697">
        <v>0</v>
      </c>
      <c r="F1697">
        <v>2400</v>
      </c>
      <c r="G1697">
        <v>1364.0296631000001</v>
      </c>
      <c r="H1697">
        <v>1354.7084961</v>
      </c>
      <c r="I1697">
        <v>1312.8856201000001</v>
      </c>
      <c r="J1697">
        <v>1303.1198730000001</v>
      </c>
      <c r="K1697">
        <v>80</v>
      </c>
      <c r="L1697">
        <v>79.945434570000003</v>
      </c>
      <c r="M1697">
        <v>50</v>
      </c>
      <c r="N1697">
        <v>47.249275208</v>
      </c>
    </row>
    <row r="1698" spans="1:14" x14ac:dyDescent="0.25">
      <c r="A1698">
        <v>1526.1150110000001</v>
      </c>
      <c r="B1698" s="1">
        <f>DATE(2014,7,5) + TIME(2,45,36)</f>
        <v>41825.114999999998</v>
      </c>
      <c r="C1698">
        <v>2400</v>
      </c>
      <c r="D1698">
        <v>0</v>
      </c>
      <c r="E1698">
        <v>0</v>
      </c>
      <c r="F1698">
        <v>2400</v>
      </c>
      <c r="G1698">
        <v>1364.0020752</v>
      </c>
      <c r="H1698">
        <v>1354.6889647999999</v>
      </c>
      <c r="I1698">
        <v>1312.8634033000001</v>
      </c>
      <c r="J1698">
        <v>1303.0808105000001</v>
      </c>
      <c r="K1698">
        <v>80</v>
      </c>
      <c r="L1698">
        <v>79.945426940999994</v>
      </c>
      <c r="M1698">
        <v>50</v>
      </c>
      <c r="N1698">
        <v>47.216014862000002</v>
      </c>
    </row>
    <row r="1699" spans="1:14" x14ac:dyDescent="0.25">
      <c r="A1699">
        <v>1527.5304960000001</v>
      </c>
      <c r="B1699" s="1">
        <f>DATE(2014,7,6) + TIME(12,43,54)</f>
        <v>41826.530486111114</v>
      </c>
      <c r="C1699">
        <v>2400</v>
      </c>
      <c r="D1699">
        <v>0</v>
      </c>
      <c r="E1699">
        <v>0</v>
      </c>
      <c r="F1699">
        <v>2400</v>
      </c>
      <c r="G1699">
        <v>1363.9746094</v>
      </c>
      <c r="H1699">
        <v>1354.6695557</v>
      </c>
      <c r="I1699">
        <v>1312.8406981999999</v>
      </c>
      <c r="J1699">
        <v>1303.0408935999999</v>
      </c>
      <c r="K1699">
        <v>80</v>
      </c>
      <c r="L1699">
        <v>79.945426940999994</v>
      </c>
      <c r="M1699">
        <v>50</v>
      </c>
      <c r="N1699">
        <v>47.183681487999998</v>
      </c>
    </row>
    <row r="1700" spans="1:14" x14ac:dyDescent="0.25">
      <c r="A1700">
        <v>1528.9614160000001</v>
      </c>
      <c r="B1700" s="1">
        <f>DATE(2014,7,7) + TIME(23,4,26)</f>
        <v>41827.961412037039</v>
      </c>
      <c r="C1700">
        <v>2400</v>
      </c>
      <c r="D1700">
        <v>0</v>
      </c>
      <c r="E1700">
        <v>0</v>
      </c>
      <c r="F1700">
        <v>2400</v>
      </c>
      <c r="G1700">
        <v>1363.9472656</v>
      </c>
      <c r="H1700">
        <v>1354.6501464999999</v>
      </c>
      <c r="I1700">
        <v>1312.8173827999999</v>
      </c>
      <c r="J1700">
        <v>1303.0001221</v>
      </c>
      <c r="K1700">
        <v>80</v>
      </c>
      <c r="L1700">
        <v>79.945419311999999</v>
      </c>
      <c r="M1700">
        <v>50</v>
      </c>
      <c r="N1700">
        <v>47.152408600000001</v>
      </c>
    </row>
    <row r="1701" spans="1:14" x14ac:dyDescent="0.25">
      <c r="A1701">
        <v>1530.411345</v>
      </c>
      <c r="B1701" s="1">
        <f>DATE(2014,7,9) + TIME(9,52,20)</f>
        <v>41829.41134259259</v>
      </c>
      <c r="C1701">
        <v>2400</v>
      </c>
      <c r="D1701">
        <v>0</v>
      </c>
      <c r="E1701">
        <v>0</v>
      </c>
      <c r="F1701">
        <v>2400</v>
      </c>
      <c r="G1701">
        <v>1363.9200439000001</v>
      </c>
      <c r="H1701">
        <v>1354.6308594</v>
      </c>
      <c r="I1701">
        <v>1312.7937012</v>
      </c>
      <c r="J1701">
        <v>1302.9584961</v>
      </c>
      <c r="K1701">
        <v>80</v>
      </c>
      <c r="L1701">
        <v>79.945419311999999</v>
      </c>
      <c r="M1701">
        <v>50</v>
      </c>
      <c r="N1701">
        <v>47.122276306000003</v>
      </c>
    </row>
    <row r="1702" spans="1:14" x14ac:dyDescent="0.25">
      <c r="A1702">
        <v>1531.884014</v>
      </c>
      <c r="B1702" s="1">
        <f>DATE(2014,7,10) + TIME(21,12,58)</f>
        <v>41830.884004629632</v>
      </c>
      <c r="C1702">
        <v>2400</v>
      </c>
      <c r="D1702">
        <v>0</v>
      </c>
      <c r="E1702">
        <v>0</v>
      </c>
      <c r="F1702">
        <v>2400</v>
      </c>
      <c r="G1702">
        <v>1363.8929443</v>
      </c>
      <c r="H1702">
        <v>1354.6115723</v>
      </c>
      <c r="I1702">
        <v>1312.7695312000001</v>
      </c>
      <c r="J1702">
        <v>1302.9158935999999</v>
      </c>
      <c r="K1702">
        <v>80</v>
      </c>
      <c r="L1702">
        <v>79.945419311999999</v>
      </c>
      <c r="M1702">
        <v>50</v>
      </c>
      <c r="N1702">
        <v>47.093353270999998</v>
      </c>
    </row>
    <row r="1703" spans="1:14" x14ac:dyDescent="0.25">
      <c r="A1703">
        <v>1533.383347</v>
      </c>
      <c r="B1703" s="1">
        <f>DATE(2014,7,12) + TIME(9,12,1)</f>
        <v>41832.383344907408</v>
      </c>
      <c r="C1703">
        <v>2400</v>
      </c>
      <c r="D1703">
        <v>0</v>
      </c>
      <c r="E1703">
        <v>0</v>
      </c>
      <c r="F1703">
        <v>2400</v>
      </c>
      <c r="G1703">
        <v>1363.8657227000001</v>
      </c>
      <c r="H1703">
        <v>1354.5922852000001</v>
      </c>
      <c r="I1703">
        <v>1312.7446289</v>
      </c>
      <c r="J1703">
        <v>1302.8723144999999</v>
      </c>
      <c r="K1703">
        <v>80</v>
      </c>
      <c r="L1703">
        <v>79.945411682</v>
      </c>
      <c r="M1703">
        <v>50</v>
      </c>
      <c r="N1703">
        <v>47.065700530999997</v>
      </c>
    </row>
    <row r="1704" spans="1:14" x14ac:dyDescent="0.25">
      <c r="A1704">
        <v>1534.901333</v>
      </c>
      <c r="B1704" s="1">
        <f>DATE(2014,7,13) + TIME(21,37,55)</f>
        <v>41833.901331018518</v>
      </c>
      <c r="C1704">
        <v>2400</v>
      </c>
      <c r="D1704">
        <v>0</v>
      </c>
      <c r="E1704">
        <v>0</v>
      </c>
      <c r="F1704">
        <v>2400</v>
      </c>
      <c r="G1704">
        <v>1363.8383789</v>
      </c>
      <c r="H1704">
        <v>1354.5727539</v>
      </c>
      <c r="I1704">
        <v>1312.7192382999999</v>
      </c>
      <c r="J1704">
        <v>1302.8276367000001</v>
      </c>
      <c r="K1704">
        <v>80</v>
      </c>
      <c r="L1704">
        <v>79.945411682</v>
      </c>
      <c r="M1704">
        <v>50</v>
      </c>
      <c r="N1704">
        <v>47.039508820000002</v>
      </c>
    </row>
    <row r="1705" spans="1:14" x14ac:dyDescent="0.25">
      <c r="A1705">
        <v>1536.434477</v>
      </c>
      <c r="B1705" s="1">
        <f>DATE(2014,7,15) + TIME(10,25,38)</f>
        <v>41835.434467592589</v>
      </c>
      <c r="C1705">
        <v>2400</v>
      </c>
      <c r="D1705">
        <v>0</v>
      </c>
      <c r="E1705">
        <v>0</v>
      </c>
      <c r="F1705">
        <v>2400</v>
      </c>
      <c r="G1705">
        <v>1363.8110352000001</v>
      </c>
      <c r="H1705">
        <v>1354.5533447</v>
      </c>
      <c r="I1705">
        <v>1312.6933594</v>
      </c>
      <c r="J1705">
        <v>1302.7819824000001</v>
      </c>
      <c r="K1705">
        <v>80</v>
      </c>
      <c r="L1705">
        <v>79.945411682</v>
      </c>
      <c r="M1705">
        <v>50</v>
      </c>
      <c r="N1705">
        <v>47.014945984000001</v>
      </c>
    </row>
    <row r="1706" spans="1:14" x14ac:dyDescent="0.25">
      <c r="A1706">
        <v>1537.9871390000001</v>
      </c>
      <c r="B1706" s="1">
        <f>DATE(2014,7,16) + TIME(23,41,28)</f>
        <v>41836.987129629626</v>
      </c>
      <c r="C1706">
        <v>2400</v>
      </c>
      <c r="D1706">
        <v>0</v>
      </c>
      <c r="E1706">
        <v>0</v>
      </c>
      <c r="F1706">
        <v>2400</v>
      </c>
      <c r="G1706">
        <v>1363.7839355000001</v>
      </c>
      <c r="H1706">
        <v>1354.5339355000001</v>
      </c>
      <c r="I1706">
        <v>1312.6671143000001</v>
      </c>
      <c r="J1706">
        <v>1302.7357178</v>
      </c>
      <c r="K1706">
        <v>80</v>
      </c>
      <c r="L1706">
        <v>79.945411682</v>
      </c>
      <c r="M1706">
        <v>50</v>
      </c>
      <c r="N1706">
        <v>46.992122649999999</v>
      </c>
    </row>
    <row r="1707" spans="1:14" x14ac:dyDescent="0.25">
      <c r="A1707">
        <v>1539.5627649999999</v>
      </c>
      <c r="B1707" s="1">
        <f>DATE(2014,7,18) + TIME(13,30,22)</f>
        <v>41838.562754629631</v>
      </c>
      <c r="C1707">
        <v>2400</v>
      </c>
      <c r="D1707">
        <v>0</v>
      </c>
      <c r="E1707">
        <v>0</v>
      </c>
      <c r="F1707">
        <v>2400</v>
      </c>
      <c r="G1707">
        <v>1363.7567139</v>
      </c>
      <c r="H1707">
        <v>1354.5145264</v>
      </c>
      <c r="I1707">
        <v>1312.6402588000001</v>
      </c>
      <c r="J1707">
        <v>1302.6884766000001</v>
      </c>
      <c r="K1707">
        <v>80</v>
      </c>
      <c r="L1707">
        <v>79.945419311999999</v>
      </c>
      <c r="M1707">
        <v>50</v>
      </c>
      <c r="N1707">
        <v>46.971141815000003</v>
      </c>
    </row>
    <row r="1708" spans="1:14" x14ac:dyDescent="0.25">
      <c r="A1708">
        <v>1541.1653260000001</v>
      </c>
      <c r="B1708" s="1">
        <f>DATE(2014,7,20) + TIME(3,58,4)</f>
        <v>41840.165324074071</v>
      </c>
      <c r="C1708">
        <v>2400</v>
      </c>
      <c r="D1708">
        <v>0</v>
      </c>
      <c r="E1708">
        <v>0</v>
      </c>
      <c r="F1708">
        <v>2400</v>
      </c>
      <c r="G1708">
        <v>1363.7294922000001</v>
      </c>
      <c r="H1708">
        <v>1354.4949951000001</v>
      </c>
      <c r="I1708">
        <v>1312.6130370999999</v>
      </c>
      <c r="J1708">
        <v>1302.6403809000001</v>
      </c>
      <c r="K1708">
        <v>80</v>
      </c>
      <c r="L1708">
        <v>79.945419311999999</v>
      </c>
      <c r="M1708">
        <v>50</v>
      </c>
      <c r="N1708">
        <v>46.952117919999999</v>
      </c>
    </row>
    <row r="1709" spans="1:14" x14ac:dyDescent="0.25">
      <c r="A1709">
        <v>1542.7990589999999</v>
      </c>
      <c r="B1709" s="1">
        <f>DATE(2014,7,21) + TIME(19,10,38)</f>
        <v>41841.799050925925</v>
      </c>
      <c r="C1709">
        <v>2400</v>
      </c>
      <c r="D1709">
        <v>0</v>
      </c>
      <c r="E1709">
        <v>0</v>
      </c>
      <c r="F1709">
        <v>2400</v>
      </c>
      <c r="G1709">
        <v>1363.7022704999999</v>
      </c>
      <c r="H1709">
        <v>1354.4754639</v>
      </c>
      <c r="I1709">
        <v>1312.5852050999999</v>
      </c>
      <c r="J1709">
        <v>1302.5914307</v>
      </c>
      <c r="K1709">
        <v>80</v>
      </c>
      <c r="L1709">
        <v>79.945419311999999</v>
      </c>
      <c r="M1709">
        <v>50</v>
      </c>
      <c r="N1709">
        <v>46.935180664000001</v>
      </c>
    </row>
    <row r="1710" spans="1:14" x14ac:dyDescent="0.25">
      <c r="A1710">
        <v>1544.4685999999999</v>
      </c>
      <c r="B1710" s="1">
        <f>DATE(2014,7,23) + TIME(11,14,47)</f>
        <v>41843.468599537038</v>
      </c>
      <c r="C1710">
        <v>2400</v>
      </c>
      <c r="D1710">
        <v>0</v>
      </c>
      <c r="E1710">
        <v>0</v>
      </c>
      <c r="F1710">
        <v>2400</v>
      </c>
      <c r="G1710">
        <v>1363.6748047000001</v>
      </c>
      <c r="H1710">
        <v>1354.4556885</v>
      </c>
      <c r="I1710">
        <v>1312.5567627</v>
      </c>
      <c r="J1710">
        <v>1302.5412598</v>
      </c>
      <c r="K1710">
        <v>80</v>
      </c>
      <c r="L1710">
        <v>79.945426940999994</v>
      </c>
      <c r="M1710">
        <v>50</v>
      </c>
      <c r="N1710">
        <v>46.920482634999999</v>
      </c>
    </row>
    <row r="1711" spans="1:14" x14ac:dyDescent="0.25">
      <c r="A1711">
        <v>1546.1788959999999</v>
      </c>
      <c r="B1711" s="1">
        <f>DATE(2014,7,25) + TIME(4,17,36)</f>
        <v>41845.178888888891</v>
      </c>
      <c r="C1711">
        <v>2400</v>
      </c>
      <c r="D1711">
        <v>0</v>
      </c>
      <c r="E1711">
        <v>0</v>
      </c>
      <c r="F1711">
        <v>2400</v>
      </c>
      <c r="G1711">
        <v>1363.6470947</v>
      </c>
      <c r="H1711">
        <v>1354.4357910000001</v>
      </c>
      <c r="I1711">
        <v>1312.5277100000001</v>
      </c>
      <c r="J1711">
        <v>1302.4899902</v>
      </c>
      <c r="K1711">
        <v>80</v>
      </c>
      <c r="L1711">
        <v>79.945426940999994</v>
      </c>
      <c r="M1711">
        <v>50</v>
      </c>
      <c r="N1711">
        <v>46.908210754000002</v>
      </c>
    </row>
    <row r="1712" spans="1:14" x14ac:dyDescent="0.25">
      <c r="A1712">
        <v>1547.9133670000001</v>
      </c>
      <c r="B1712" s="1">
        <f>DATE(2014,7,26) + TIME(21,55,14)</f>
        <v>41846.913356481484</v>
      </c>
      <c r="C1712">
        <v>2400</v>
      </c>
      <c r="D1712">
        <v>0</v>
      </c>
      <c r="E1712">
        <v>0</v>
      </c>
      <c r="F1712">
        <v>2400</v>
      </c>
      <c r="G1712">
        <v>1363.6191406</v>
      </c>
      <c r="H1712">
        <v>1354.4156493999999</v>
      </c>
      <c r="I1712">
        <v>1312.4979248</v>
      </c>
      <c r="J1712">
        <v>1302.4375</v>
      </c>
      <c r="K1712">
        <v>80</v>
      </c>
      <c r="L1712">
        <v>79.945434570000003</v>
      </c>
      <c r="M1712">
        <v>50</v>
      </c>
      <c r="N1712">
        <v>46.898647308000001</v>
      </c>
    </row>
    <row r="1713" spans="1:14" x14ac:dyDescent="0.25">
      <c r="A1713">
        <v>1549.666015</v>
      </c>
      <c r="B1713" s="1">
        <f>DATE(2014,7,28) + TIME(15,59,3)</f>
        <v>41848.666006944448</v>
      </c>
      <c r="C1713">
        <v>2400</v>
      </c>
      <c r="D1713">
        <v>0</v>
      </c>
      <c r="E1713">
        <v>0</v>
      </c>
      <c r="F1713">
        <v>2400</v>
      </c>
      <c r="G1713">
        <v>1363.5910644999999</v>
      </c>
      <c r="H1713">
        <v>1354.3953856999999</v>
      </c>
      <c r="I1713">
        <v>1312.4677733999999</v>
      </c>
      <c r="J1713">
        <v>1302.3843993999999</v>
      </c>
      <c r="K1713">
        <v>80</v>
      </c>
      <c r="L1713">
        <v>79.945442200000002</v>
      </c>
      <c r="M1713">
        <v>50</v>
      </c>
      <c r="N1713">
        <v>46.892032622999999</v>
      </c>
    </row>
    <row r="1714" spans="1:14" x14ac:dyDescent="0.25">
      <c r="A1714">
        <v>1551.4415799999999</v>
      </c>
      <c r="B1714" s="1">
        <f>DATE(2014,7,30) + TIME(10,35,52)</f>
        <v>41850.441574074073</v>
      </c>
      <c r="C1714">
        <v>2400</v>
      </c>
      <c r="D1714">
        <v>0</v>
      </c>
      <c r="E1714">
        <v>0</v>
      </c>
      <c r="F1714">
        <v>2400</v>
      </c>
      <c r="G1714">
        <v>1363.5632324000001</v>
      </c>
      <c r="H1714">
        <v>1354.3751221</v>
      </c>
      <c r="I1714">
        <v>1312.4373779</v>
      </c>
      <c r="J1714">
        <v>1302.3305664</v>
      </c>
      <c r="K1714">
        <v>80</v>
      </c>
      <c r="L1714">
        <v>79.945442200000002</v>
      </c>
      <c r="M1714">
        <v>50</v>
      </c>
      <c r="N1714">
        <v>46.888576508</v>
      </c>
    </row>
    <row r="1715" spans="1:14" x14ac:dyDescent="0.25">
      <c r="A1715">
        <v>1553</v>
      </c>
      <c r="B1715" s="1">
        <f>DATE(2014,8,1) + TIME(0,0,0)</f>
        <v>41852</v>
      </c>
      <c r="C1715">
        <v>2400</v>
      </c>
      <c r="D1715">
        <v>0</v>
      </c>
      <c r="E1715">
        <v>0</v>
      </c>
      <c r="F1715">
        <v>2400</v>
      </c>
      <c r="G1715">
        <v>1363.5351562000001</v>
      </c>
      <c r="H1715">
        <v>1354.3548584</v>
      </c>
      <c r="I1715">
        <v>1312.4073486</v>
      </c>
      <c r="J1715">
        <v>1302.2774658000001</v>
      </c>
      <c r="K1715">
        <v>80</v>
      </c>
      <c r="L1715">
        <v>79.945449828999998</v>
      </c>
      <c r="M1715">
        <v>50</v>
      </c>
      <c r="N1715">
        <v>46.888492583999998</v>
      </c>
    </row>
    <row r="1716" spans="1:14" x14ac:dyDescent="0.25">
      <c r="A1716">
        <v>1554.80332</v>
      </c>
      <c r="B1716" s="1">
        <f>DATE(2014,8,2) + TIME(19,16,46)</f>
        <v>41853.803310185183</v>
      </c>
      <c r="C1716">
        <v>2400</v>
      </c>
      <c r="D1716">
        <v>0</v>
      </c>
      <c r="E1716">
        <v>0</v>
      </c>
      <c r="F1716">
        <v>2400</v>
      </c>
      <c r="G1716">
        <v>1363.5109863</v>
      </c>
      <c r="H1716">
        <v>1354.3372803</v>
      </c>
      <c r="I1716">
        <v>1312.3787841999999</v>
      </c>
      <c r="J1716">
        <v>1302.2275391000001</v>
      </c>
      <c r="K1716">
        <v>80</v>
      </c>
      <c r="L1716">
        <v>79.945457458000007</v>
      </c>
      <c r="M1716">
        <v>50</v>
      </c>
      <c r="N1716">
        <v>46.891494751000003</v>
      </c>
    </row>
    <row r="1717" spans="1:14" x14ac:dyDescent="0.25">
      <c r="A1717">
        <v>1556.6616280000001</v>
      </c>
      <c r="B1717" s="1">
        <f>DATE(2014,8,4) + TIME(15,52,44)</f>
        <v>41855.661620370367</v>
      </c>
      <c r="C1717">
        <v>2400</v>
      </c>
      <c r="D1717">
        <v>0</v>
      </c>
      <c r="E1717">
        <v>0</v>
      </c>
      <c r="F1717">
        <v>2400</v>
      </c>
      <c r="G1717">
        <v>1363.4832764</v>
      </c>
      <c r="H1717">
        <v>1354.3171387</v>
      </c>
      <c r="I1717">
        <v>1312.3480225000001</v>
      </c>
      <c r="J1717">
        <v>1302.1732178</v>
      </c>
      <c r="K1717">
        <v>80</v>
      </c>
      <c r="L1717">
        <v>79.945465088000006</v>
      </c>
      <c r="M1717">
        <v>50</v>
      </c>
      <c r="N1717">
        <v>46.898284912000001</v>
      </c>
    </row>
    <row r="1718" spans="1:14" x14ac:dyDescent="0.25">
      <c r="A1718">
        <v>1558.5367389999999</v>
      </c>
      <c r="B1718" s="1">
        <f>DATE(2014,8,6) + TIME(12,52,54)</f>
        <v>41857.536736111113</v>
      </c>
      <c r="C1718">
        <v>2400</v>
      </c>
      <c r="D1718">
        <v>0</v>
      </c>
      <c r="E1718">
        <v>0</v>
      </c>
      <c r="F1718">
        <v>2400</v>
      </c>
      <c r="G1718">
        <v>1363.4550781</v>
      </c>
      <c r="H1718">
        <v>1354.2965088000001</v>
      </c>
      <c r="I1718">
        <v>1312.3165283000001</v>
      </c>
      <c r="J1718">
        <v>1302.1176757999999</v>
      </c>
      <c r="K1718">
        <v>80</v>
      </c>
      <c r="L1718">
        <v>79.945472717000001</v>
      </c>
      <c r="M1718">
        <v>50</v>
      </c>
      <c r="N1718">
        <v>46.909152984999999</v>
      </c>
    </row>
    <row r="1719" spans="1:14" x14ac:dyDescent="0.25">
      <c r="A1719">
        <v>1560.4339910000001</v>
      </c>
      <c r="B1719" s="1">
        <f>DATE(2014,8,8) + TIME(10,24,56)</f>
        <v>41859.433981481481</v>
      </c>
      <c r="C1719">
        <v>2400</v>
      </c>
      <c r="D1719">
        <v>0</v>
      </c>
      <c r="E1719">
        <v>0</v>
      </c>
      <c r="F1719">
        <v>2400</v>
      </c>
      <c r="G1719">
        <v>1363.4270019999999</v>
      </c>
      <c r="H1719">
        <v>1354.276001</v>
      </c>
      <c r="I1719">
        <v>1312.2847899999999</v>
      </c>
      <c r="J1719">
        <v>1302.0617675999999</v>
      </c>
      <c r="K1719">
        <v>80</v>
      </c>
      <c r="L1719">
        <v>79.945487975999995</v>
      </c>
      <c r="M1719">
        <v>50</v>
      </c>
      <c r="N1719">
        <v>46.924308777</v>
      </c>
    </row>
    <row r="1720" spans="1:14" x14ac:dyDescent="0.25">
      <c r="A1720">
        <v>1562.3576740000001</v>
      </c>
      <c r="B1720" s="1">
        <f>DATE(2014,8,10) + TIME(8,35,2)</f>
        <v>41861.357662037037</v>
      </c>
      <c r="C1720">
        <v>2400</v>
      </c>
      <c r="D1720">
        <v>0</v>
      </c>
      <c r="E1720">
        <v>0</v>
      </c>
      <c r="F1720">
        <v>2400</v>
      </c>
      <c r="G1720">
        <v>1363.3989257999999</v>
      </c>
      <c r="H1720">
        <v>1354.2553711</v>
      </c>
      <c r="I1720">
        <v>1312.2529297000001</v>
      </c>
      <c r="J1720">
        <v>1302.0054932</v>
      </c>
      <c r="K1720">
        <v>80</v>
      </c>
      <c r="L1720">
        <v>79.945495605000005</v>
      </c>
      <c r="M1720">
        <v>50</v>
      </c>
      <c r="N1720">
        <v>46.944007874</v>
      </c>
    </row>
    <row r="1721" spans="1:14" x14ac:dyDescent="0.25">
      <c r="A1721">
        <v>1564.3130140000001</v>
      </c>
      <c r="B1721" s="1">
        <f>DATE(2014,8,12) + TIME(7,30,44)</f>
        <v>41863.313009259262</v>
      </c>
      <c r="C1721">
        <v>2400</v>
      </c>
      <c r="D1721">
        <v>0</v>
      </c>
      <c r="E1721">
        <v>0</v>
      </c>
      <c r="F1721">
        <v>2400</v>
      </c>
      <c r="G1721">
        <v>1363.3707274999999</v>
      </c>
      <c r="H1721">
        <v>1354.2347411999999</v>
      </c>
      <c r="I1721">
        <v>1312.2208252</v>
      </c>
      <c r="J1721">
        <v>1301.9489745999999</v>
      </c>
      <c r="K1721">
        <v>80</v>
      </c>
      <c r="L1721">
        <v>79.945503235000004</v>
      </c>
      <c r="M1721">
        <v>50</v>
      </c>
      <c r="N1721">
        <v>46.968544006000002</v>
      </c>
    </row>
    <row r="1722" spans="1:14" x14ac:dyDescent="0.25">
      <c r="A1722">
        <v>1566.305429</v>
      </c>
      <c r="B1722" s="1">
        <f>DATE(2014,8,14) + TIME(7,19,49)</f>
        <v>41865.305428240739</v>
      </c>
      <c r="C1722">
        <v>2400</v>
      </c>
      <c r="D1722">
        <v>0</v>
      </c>
      <c r="E1722">
        <v>0</v>
      </c>
      <c r="F1722">
        <v>2400</v>
      </c>
      <c r="G1722">
        <v>1363.3425293</v>
      </c>
      <c r="H1722">
        <v>1354.2139893000001</v>
      </c>
      <c r="I1722">
        <v>1312.1884766000001</v>
      </c>
      <c r="J1722">
        <v>1301.8923339999999</v>
      </c>
      <c r="K1722">
        <v>80</v>
      </c>
      <c r="L1722">
        <v>79.945518493999998</v>
      </c>
      <c r="M1722">
        <v>50</v>
      </c>
      <c r="N1722">
        <v>46.998264313</v>
      </c>
    </row>
    <row r="1723" spans="1:14" x14ac:dyDescent="0.25">
      <c r="A1723">
        <v>1568.340479</v>
      </c>
      <c r="B1723" s="1">
        <f>DATE(2014,8,16) + TIME(8,10,17)</f>
        <v>41867.340474537035</v>
      </c>
      <c r="C1723">
        <v>2400</v>
      </c>
      <c r="D1723">
        <v>0</v>
      </c>
      <c r="E1723">
        <v>0</v>
      </c>
      <c r="F1723">
        <v>2400</v>
      </c>
      <c r="G1723">
        <v>1363.3140868999999</v>
      </c>
      <c r="H1723">
        <v>1354.1929932</v>
      </c>
      <c r="I1723">
        <v>1312.1560059000001</v>
      </c>
      <c r="J1723">
        <v>1301.8353271000001</v>
      </c>
      <c r="K1723">
        <v>80</v>
      </c>
      <c r="L1723">
        <v>79.945533752000003</v>
      </c>
      <c r="M1723">
        <v>50</v>
      </c>
      <c r="N1723">
        <v>47.033580780000001</v>
      </c>
    </row>
    <row r="1724" spans="1:14" x14ac:dyDescent="0.25">
      <c r="A1724">
        <v>1570.3973530000001</v>
      </c>
      <c r="B1724" s="1">
        <f>DATE(2014,8,18) + TIME(9,32,11)</f>
        <v>41869.397349537037</v>
      </c>
      <c r="C1724">
        <v>2400</v>
      </c>
      <c r="D1724">
        <v>0</v>
      </c>
      <c r="E1724">
        <v>0</v>
      </c>
      <c r="F1724">
        <v>2400</v>
      </c>
      <c r="G1724">
        <v>1363.2852783000001</v>
      </c>
      <c r="H1724">
        <v>1354.171875</v>
      </c>
      <c r="I1724">
        <v>1312.1234131000001</v>
      </c>
      <c r="J1724">
        <v>1301.7781981999999</v>
      </c>
      <c r="K1724">
        <v>80</v>
      </c>
      <c r="L1724">
        <v>79.945541382000002</v>
      </c>
      <c r="M1724">
        <v>50</v>
      </c>
      <c r="N1724">
        <v>47.074733733999999</v>
      </c>
    </row>
    <row r="1725" spans="1:14" x14ac:dyDescent="0.25">
      <c r="A1725">
        <v>1572.481657</v>
      </c>
      <c r="B1725" s="1">
        <f>DATE(2014,8,20) + TIME(11,33,35)</f>
        <v>41871.48165509259</v>
      </c>
      <c r="C1725">
        <v>2400</v>
      </c>
      <c r="D1725">
        <v>0</v>
      </c>
      <c r="E1725">
        <v>0</v>
      </c>
      <c r="F1725">
        <v>2400</v>
      </c>
      <c r="G1725">
        <v>1363.2567139</v>
      </c>
      <c r="H1725">
        <v>1354.1506348</v>
      </c>
      <c r="I1725">
        <v>1312.0909423999999</v>
      </c>
      <c r="J1725">
        <v>1301.7213135</v>
      </c>
      <c r="K1725">
        <v>80</v>
      </c>
      <c r="L1725">
        <v>79.945556640999996</v>
      </c>
      <c r="M1725">
        <v>50</v>
      </c>
      <c r="N1725">
        <v>47.121955872000001</v>
      </c>
    </row>
    <row r="1726" spans="1:14" x14ac:dyDescent="0.25">
      <c r="A1726">
        <v>1574.5989509999999</v>
      </c>
      <c r="B1726" s="1">
        <f>DATE(2014,8,22) + TIME(14,22,29)</f>
        <v>41873.598946759259</v>
      </c>
      <c r="C1726">
        <v>2400</v>
      </c>
      <c r="D1726">
        <v>0</v>
      </c>
      <c r="E1726">
        <v>0</v>
      </c>
      <c r="F1726">
        <v>2400</v>
      </c>
      <c r="G1726">
        <v>1363.2279053</v>
      </c>
      <c r="H1726">
        <v>1354.1292725000001</v>
      </c>
      <c r="I1726">
        <v>1312.0584716999999</v>
      </c>
      <c r="J1726">
        <v>1301.6647949000001</v>
      </c>
      <c r="K1726">
        <v>80</v>
      </c>
      <c r="L1726">
        <v>79.945571899000001</v>
      </c>
      <c r="M1726">
        <v>50</v>
      </c>
      <c r="N1726">
        <v>47.175609588999997</v>
      </c>
    </row>
    <row r="1727" spans="1:14" x14ac:dyDescent="0.25">
      <c r="A1727">
        <v>1576.755132</v>
      </c>
      <c r="B1727" s="1">
        <f>DATE(2014,8,24) + TIME(18,7,23)</f>
        <v>41875.755127314813</v>
      </c>
      <c r="C1727">
        <v>2400</v>
      </c>
      <c r="D1727">
        <v>0</v>
      </c>
      <c r="E1727">
        <v>0</v>
      </c>
      <c r="F1727">
        <v>2400</v>
      </c>
      <c r="G1727">
        <v>1363.1990966999999</v>
      </c>
      <c r="H1727">
        <v>1354.1079102000001</v>
      </c>
      <c r="I1727">
        <v>1312.0262451000001</v>
      </c>
      <c r="J1727">
        <v>1301.6086425999999</v>
      </c>
      <c r="K1727">
        <v>80</v>
      </c>
      <c r="L1727">
        <v>79.945587157999995</v>
      </c>
      <c r="M1727">
        <v>50</v>
      </c>
      <c r="N1727">
        <v>47.236137390000003</v>
      </c>
    </row>
    <row r="1728" spans="1:14" x14ac:dyDescent="0.25">
      <c r="A1728">
        <v>1578.9319860000001</v>
      </c>
      <c r="B1728" s="1">
        <f>DATE(2014,8,26) + TIME(22,22,3)</f>
        <v>41877.931979166664</v>
      </c>
      <c r="C1728">
        <v>2400</v>
      </c>
      <c r="D1728">
        <v>0</v>
      </c>
      <c r="E1728">
        <v>0</v>
      </c>
      <c r="F1728">
        <v>2400</v>
      </c>
      <c r="G1728">
        <v>1363.1700439000001</v>
      </c>
      <c r="H1728">
        <v>1354.0863036999999</v>
      </c>
      <c r="I1728">
        <v>1311.9941406</v>
      </c>
      <c r="J1728">
        <v>1301.5528564000001</v>
      </c>
      <c r="K1728">
        <v>80</v>
      </c>
      <c r="L1728">
        <v>79.945602417000003</v>
      </c>
      <c r="M1728">
        <v>50</v>
      </c>
      <c r="N1728">
        <v>47.303752899000003</v>
      </c>
    </row>
    <row r="1729" spans="1:14" x14ac:dyDescent="0.25">
      <c r="A1729">
        <v>1581.13095</v>
      </c>
      <c r="B1729" s="1">
        <f>DATE(2014,8,29) + TIME(3,8,34)</f>
        <v>41880.130949074075</v>
      </c>
      <c r="C1729">
        <v>2400</v>
      </c>
      <c r="D1729">
        <v>0</v>
      </c>
      <c r="E1729">
        <v>0</v>
      </c>
      <c r="F1729">
        <v>2400</v>
      </c>
      <c r="G1729">
        <v>1363.1411132999999</v>
      </c>
      <c r="H1729">
        <v>1354.0645752</v>
      </c>
      <c r="I1729">
        <v>1311.9625243999999</v>
      </c>
      <c r="J1729">
        <v>1301.4980469</v>
      </c>
      <c r="K1729">
        <v>80</v>
      </c>
      <c r="L1729">
        <v>79.945625304999993</v>
      </c>
      <c r="M1729">
        <v>50</v>
      </c>
      <c r="N1729">
        <v>47.378620148000003</v>
      </c>
    </row>
    <row r="1730" spans="1:14" x14ac:dyDescent="0.25">
      <c r="A1730">
        <v>1583.3578090000001</v>
      </c>
      <c r="B1730" s="1">
        <f>DATE(2014,8,31) + TIME(8,35,14)</f>
        <v>41882.357800925929</v>
      </c>
      <c r="C1730">
        <v>2400</v>
      </c>
      <c r="D1730">
        <v>0</v>
      </c>
      <c r="E1730">
        <v>0</v>
      </c>
      <c r="F1730">
        <v>2400</v>
      </c>
      <c r="G1730">
        <v>1363.1121826000001</v>
      </c>
      <c r="H1730">
        <v>1354.0429687999999</v>
      </c>
      <c r="I1730">
        <v>1311.9312743999999</v>
      </c>
      <c r="J1730">
        <v>1301.4443358999999</v>
      </c>
      <c r="K1730">
        <v>80</v>
      </c>
      <c r="L1730">
        <v>79.945640564000001</v>
      </c>
      <c r="M1730">
        <v>50</v>
      </c>
      <c r="N1730">
        <v>47.461029052999997</v>
      </c>
    </row>
    <row r="1731" spans="1:14" x14ac:dyDescent="0.25">
      <c r="A1731">
        <v>1584</v>
      </c>
      <c r="B1731" s="1">
        <f>DATE(2014,9,1) + TIME(0,0,0)</f>
        <v>41883</v>
      </c>
      <c r="C1731">
        <v>2400</v>
      </c>
      <c r="D1731">
        <v>0</v>
      </c>
      <c r="E1731">
        <v>0</v>
      </c>
      <c r="F1731">
        <v>2400</v>
      </c>
      <c r="G1731">
        <v>1363.0832519999999</v>
      </c>
      <c r="H1731">
        <v>1354.0216064000001</v>
      </c>
      <c r="I1731">
        <v>1311.9133300999999</v>
      </c>
      <c r="J1731">
        <v>1301.4027100000001</v>
      </c>
      <c r="K1731">
        <v>80</v>
      </c>
      <c r="L1731">
        <v>79.945632935000006</v>
      </c>
      <c r="M1731">
        <v>50</v>
      </c>
      <c r="N1731">
        <v>47.505317687999998</v>
      </c>
    </row>
    <row r="1732" spans="1:14" x14ac:dyDescent="0.25">
      <c r="A1732">
        <v>1586.2599909999999</v>
      </c>
      <c r="B1732" s="1">
        <f>DATE(2014,9,3) + TIME(6,14,23)</f>
        <v>41885.259988425925</v>
      </c>
      <c r="C1732">
        <v>2400</v>
      </c>
      <c r="D1732">
        <v>0</v>
      </c>
      <c r="E1732">
        <v>0</v>
      </c>
      <c r="F1732">
        <v>2400</v>
      </c>
      <c r="G1732">
        <v>1363.0749512</v>
      </c>
      <c r="H1732">
        <v>1354.0148925999999</v>
      </c>
      <c r="I1732">
        <v>1311.8887939000001</v>
      </c>
      <c r="J1732">
        <v>1301.3740233999999</v>
      </c>
      <c r="K1732">
        <v>80</v>
      </c>
      <c r="L1732">
        <v>79.945655822999996</v>
      </c>
      <c r="M1732">
        <v>50</v>
      </c>
      <c r="N1732">
        <v>47.586940765000001</v>
      </c>
    </row>
    <row r="1733" spans="1:14" x14ac:dyDescent="0.25">
      <c r="A1733">
        <v>1588.5719999999999</v>
      </c>
      <c r="B1733" s="1">
        <f>DATE(2014,9,5) + TIME(13,43,40)</f>
        <v>41887.57199074074</v>
      </c>
      <c r="C1733">
        <v>2400</v>
      </c>
      <c r="D1733">
        <v>0</v>
      </c>
      <c r="E1733">
        <v>0</v>
      </c>
      <c r="F1733">
        <v>2400</v>
      </c>
      <c r="G1733">
        <v>1363.0460204999999</v>
      </c>
      <c r="H1733">
        <v>1353.9931641000001</v>
      </c>
      <c r="I1733">
        <v>1311.8604736</v>
      </c>
      <c r="J1733">
        <v>1301.3245850000001</v>
      </c>
      <c r="K1733">
        <v>80</v>
      </c>
      <c r="L1733">
        <v>79.945678710999999</v>
      </c>
      <c r="M1733">
        <v>50</v>
      </c>
      <c r="N1733">
        <v>47.683601379000002</v>
      </c>
    </row>
    <row r="1734" spans="1:14" x14ac:dyDescent="0.25">
      <c r="A1734">
        <v>1590.9312130000001</v>
      </c>
      <c r="B1734" s="1">
        <f>DATE(2014,9,7) + TIME(22,20,56)</f>
        <v>41889.931203703702</v>
      </c>
      <c r="C1734">
        <v>2400</v>
      </c>
      <c r="D1734">
        <v>0</v>
      </c>
      <c r="E1734">
        <v>0</v>
      </c>
      <c r="F1734">
        <v>2400</v>
      </c>
      <c r="G1734">
        <v>1363.0167236</v>
      </c>
      <c r="H1734">
        <v>1353.9711914</v>
      </c>
      <c r="I1734">
        <v>1311.8316649999999</v>
      </c>
      <c r="J1734">
        <v>1301.2753906</v>
      </c>
      <c r="K1734">
        <v>80</v>
      </c>
      <c r="L1734">
        <v>79.945701599000003</v>
      </c>
      <c r="M1734">
        <v>50</v>
      </c>
      <c r="N1734">
        <v>47.792335510000001</v>
      </c>
    </row>
    <row r="1735" spans="1:14" x14ac:dyDescent="0.25">
      <c r="A1735">
        <v>1593.3147289999999</v>
      </c>
      <c r="B1735" s="1">
        <f>DATE(2014,9,10) + TIME(7,33,12)</f>
        <v>41892.314722222225</v>
      </c>
      <c r="C1735">
        <v>2400</v>
      </c>
      <c r="D1735">
        <v>0</v>
      </c>
      <c r="E1735">
        <v>0</v>
      </c>
      <c r="F1735">
        <v>2400</v>
      </c>
      <c r="G1735">
        <v>1362.9871826000001</v>
      </c>
      <c r="H1735">
        <v>1353.9488524999999</v>
      </c>
      <c r="I1735">
        <v>1311.8031006000001</v>
      </c>
      <c r="J1735">
        <v>1301.2270507999999</v>
      </c>
      <c r="K1735">
        <v>80</v>
      </c>
      <c r="L1735">
        <v>79.945724487000007</v>
      </c>
      <c r="M1735">
        <v>50</v>
      </c>
      <c r="N1735">
        <v>47.911643982000001</v>
      </c>
    </row>
    <row r="1736" spans="1:14" x14ac:dyDescent="0.25">
      <c r="A1736">
        <v>1595.7254559999999</v>
      </c>
      <c r="B1736" s="1">
        <f>DATE(2014,9,12) + TIME(17,24,39)</f>
        <v>41894.725451388891</v>
      </c>
      <c r="C1736">
        <v>2400</v>
      </c>
      <c r="D1736">
        <v>0</v>
      </c>
      <c r="E1736">
        <v>0</v>
      </c>
      <c r="F1736">
        <v>2400</v>
      </c>
      <c r="G1736">
        <v>1362.9576416</v>
      </c>
      <c r="H1736">
        <v>1353.9265137</v>
      </c>
      <c r="I1736">
        <v>1311.7751464999999</v>
      </c>
      <c r="J1736">
        <v>1301.1804199000001</v>
      </c>
      <c r="K1736">
        <v>80</v>
      </c>
      <c r="L1736">
        <v>79.945747374999996</v>
      </c>
      <c r="M1736">
        <v>50</v>
      </c>
      <c r="N1736">
        <v>48.040840148999997</v>
      </c>
    </row>
    <row r="1737" spans="1:14" x14ac:dyDescent="0.25">
      <c r="A1737">
        <v>1598.1700249999999</v>
      </c>
      <c r="B1737" s="1">
        <f>DATE(2014,9,15) + TIME(4,4,50)</f>
        <v>41897.170023148145</v>
      </c>
      <c r="C1737">
        <v>2400</v>
      </c>
      <c r="D1737">
        <v>0</v>
      </c>
      <c r="E1737">
        <v>0</v>
      </c>
      <c r="F1737">
        <v>2400</v>
      </c>
      <c r="G1737">
        <v>1362.9281006000001</v>
      </c>
      <c r="H1737">
        <v>1353.9041748</v>
      </c>
      <c r="I1737">
        <v>1311.7480469</v>
      </c>
      <c r="J1737">
        <v>1301.1356201000001</v>
      </c>
      <c r="K1737">
        <v>80</v>
      </c>
      <c r="L1737">
        <v>79.945770264000004</v>
      </c>
      <c r="M1737">
        <v>50</v>
      </c>
      <c r="N1737">
        <v>48.179943084999998</v>
      </c>
    </row>
    <row r="1738" spans="1:14" x14ac:dyDescent="0.25">
      <c r="A1738">
        <v>1600.6552919999999</v>
      </c>
      <c r="B1738" s="1">
        <f>DATE(2014,9,17) + TIME(15,43,37)</f>
        <v>41899.655289351853</v>
      </c>
      <c r="C1738">
        <v>2400</v>
      </c>
      <c r="D1738">
        <v>0</v>
      </c>
      <c r="E1738">
        <v>0</v>
      </c>
      <c r="F1738">
        <v>2400</v>
      </c>
      <c r="G1738">
        <v>1362.8984375</v>
      </c>
      <c r="H1738">
        <v>1353.8815918</v>
      </c>
      <c r="I1738">
        <v>1311.7218018000001</v>
      </c>
      <c r="J1738">
        <v>1301.0930175999999</v>
      </c>
      <c r="K1738">
        <v>80</v>
      </c>
      <c r="L1738">
        <v>79.945793151999993</v>
      </c>
      <c r="M1738">
        <v>50</v>
      </c>
      <c r="N1738">
        <v>48.329330444</v>
      </c>
    </row>
    <row r="1739" spans="1:14" x14ac:dyDescent="0.25">
      <c r="A1739">
        <v>1603.1885119999999</v>
      </c>
      <c r="B1739" s="1">
        <f>DATE(2014,9,20) + TIME(4,31,27)</f>
        <v>41902.188506944447</v>
      </c>
      <c r="C1739">
        <v>2400</v>
      </c>
      <c r="D1739">
        <v>0</v>
      </c>
      <c r="E1739">
        <v>0</v>
      </c>
      <c r="F1739">
        <v>2400</v>
      </c>
      <c r="G1739">
        <v>1362.8686522999999</v>
      </c>
      <c r="H1739">
        <v>1353.8590088000001</v>
      </c>
      <c r="I1739">
        <v>1311.6965332</v>
      </c>
      <c r="J1739">
        <v>1301.0524902</v>
      </c>
      <c r="K1739">
        <v>80</v>
      </c>
      <c r="L1739">
        <v>79.945816039999997</v>
      </c>
      <c r="M1739">
        <v>50</v>
      </c>
      <c r="N1739">
        <v>48.489559174</v>
      </c>
    </row>
    <row r="1740" spans="1:14" x14ac:dyDescent="0.25">
      <c r="A1740">
        <v>1605.746682</v>
      </c>
      <c r="B1740" s="1">
        <f>DATE(2014,9,22) + TIME(17,55,13)</f>
        <v>41904.746678240743</v>
      </c>
      <c r="C1740">
        <v>2400</v>
      </c>
      <c r="D1740">
        <v>0</v>
      </c>
      <c r="E1740">
        <v>0</v>
      </c>
      <c r="F1740">
        <v>2400</v>
      </c>
      <c r="G1740">
        <v>1362.8386230000001</v>
      </c>
      <c r="H1740">
        <v>1353.8361815999999</v>
      </c>
      <c r="I1740">
        <v>1311.6724853999999</v>
      </c>
      <c r="J1740">
        <v>1301.0142822</v>
      </c>
      <c r="K1740">
        <v>80</v>
      </c>
      <c r="L1740">
        <v>79.945838928000001</v>
      </c>
      <c r="M1740">
        <v>50</v>
      </c>
      <c r="N1740">
        <v>48.660533905000001</v>
      </c>
    </row>
    <row r="1741" spans="1:14" x14ac:dyDescent="0.25">
      <c r="A1741">
        <v>1608.3309400000001</v>
      </c>
      <c r="B1741" s="1">
        <f>DATE(2014,9,25) + TIME(7,56,33)</f>
        <v>41907.330937500003</v>
      </c>
      <c r="C1741">
        <v>2400</v>
      </c>
      <c r="D1741">
        <v>0</v>
      </c>
      <c r="E1741">
        <v>0</v>
      </c>
      <c r="F1741">
        <v>2400</v>
      </c>
      <c r="G1741">
        <v>1362.8087158000001</v>
      </c>
      <c r="H1741">
        <v>1353.8132324000001</v>
      </c>
      <c r="I1741">
        <v>1311.6496582</v>
      </c>
      <c r="J1741">
        <v>1300.9788818</v>
      </c>
      <c r="K1741">
        <v>80</v>
      </c>
      <c r="L1741">
        <v>79.945869446000003</v>
      </c>
      <c r="M1741">
        <v>50</v>
      </c>
      <c r="N1741">
        <v>48.841846466</v>
      </c>
    </row>
    <row r="1742" spans="1:14" x14ac:dyDescent="0.25">
      <c r="A1742">
        <v>1610.948531</v>
      </c>
      <c r="B1742" s="1">
        <f>DATE(2014,9,27) + TIME(22,45,53)</f>
        <v>41909.948530092595</v>
      </c>
      <c r="C1742">
        <v>2400</v>
      </c>
      <c r="D1742">
        <v>0</v>
      </c>
      <c r="E1742">
        <v>0</v>
      </c>
      <c r="F1742">
        <v>2400</v>
      </c>
      <c r="G1742">
        <v>1362.7788086</v>
      </c>
      <c r="H1742">
        <v>1353.7904053</v>
      </c>
      <c r="I1742">
        <v>1311.6281738</v>
      </c>
      <c r="J1742">
        <v>1300.9465332</v>
      </c>
      <c r="K1742">
        <v>80</v>
      </c>
      <c r="L1742">
        <v>79.945892334000007</v>
      </c>
      <c r="M1742">
        <v>50</v>
      </c>
      <c r="N1742">
        <v>49.033493042000003</v>
      </c>
    </row>
    <row r="1743" spans="1:14" x14ac:dyDescent="0.25">
      <c r="A1743">
        <v>1613.6058459999999</v>
      </c>
      <c r="B1743" s="1">
        <f>DATE(2014,9,30) + TIME(14,32,25)</f>
        <v>41912.605844907404</v>
      </c>
      <c r="C1743">
        <v>2400</v>
      </c>
      <c r="D1743">
        <v>0</v>
      </c>
      <c r="E1743">
        <v>0</v>
      </c>
      <c r="F1743">
        <v>2400</v>
      </c>
      <c r="G1743">
        <v>1362.7487793</v>
      </c>
      <c r="H1743">
        <v>1353.7674560999999</v>
      </c>
      <c r="I1743">
        <v>1311.6082764</v>
      </c>
      <c r="J1743">
        <v>1300.9171143000001</v>
      </c>
      <c r="K1743">
        <v>80</v>
      </c>
      <c r="L1743">
        <v>79.945915221999996</v>
      </c>
      <c r="M1743">
        <v>50</v>
      </c>
      <c r="N1743">
        <v>49.235729218000003</v>
      </c>
    </row>
    <row r="1744" spans="1:14" x14ac:dyDescent="0.25">
      <c r="A1744">
        <v>1614</v>
      </c>
      <c r="B1744" s="1">
        <f>DATE(2014,10,1) + TIME(0,0,0)</f>
        <v>41913</v>
      </c>
      <c r="C1744">
        <v>2400</v>
      </c>
      <c r="D1744">
        <v>0</v>
      </c>
      <c r="E1744">
        <v>0</v>
      </c>
      <c r="F1744">
        <v>2400</v>
      </c>
      <c r="G1744">
        <v>1362.7191161999999</v>
      </c>
      <c r="H1744">
        <v>1353.7453613</v>
      </c>
      <c r="I1744">
        <v>1311.6140137</v>
      </c>
      <c r="J1744">
        <v>1300.9023437999999</v>
      </c>
      <c r="K1744">
        <v>80</v>
      </c>
      <c r="L1744">
        <v>79.945907593000001</v>
      </c>
      <c r="M1744">
        <v>50</v>
      </c>
      <c r="N1744">
        <v>49.304481506000002</v>
      </c>
    </row>
    <row r="1745" spans="1:14" x14ac:dyDescent="0.25">
      <c r="A1745">
        <v>1616.704553</v>
      </c>
      <c r="B1745" s="1">
        <f>DATE(2014,10,3) + TIME(16,54,33)</f>
        <v>41915.704548611109</v>
      </c>
      <c r="C1745">
        <v>2400</v>
      </c>
      <c r="D1745">
        <v>0</v>
      </c>
      <c r="E1745">
        <v>0</v>
      </c>
      <c r="F1745">
        <v>2400</v>
      </c>
      <c r="G1745">
        <v>1362.7141113</v>
      </c>
      <c r="H1745">
        <v>1353.7408447</v>
      </c>
      <c r="I1745">
        <v>1311.5856934000001</v>
      </c>
      <c r="J1745">
        <v>1300.8878173999999</v>
      </c>
      <c r="K1745">
        <v>80</v>
      </c>
      <c r="L1745">
        <v>79.945945739999999</v>
      </c>
      <c r="M1745">
        <v>50</v>
      </c>
      <c r="N1745">
        <v>49.494865417</v>
      </c>
    </row>
    <row r="1746" spans="1:14" x14ac:dyDescent="0.25">
      <c r="A1746">
        <v>1619.473913</v>
      </c>
      <c r="B1746" s="1">
        <f>DATE(2014,10,6) + TIME(11,22,26)</f>
        <v>41918.473912037036</v>
      </c>
      <c r="C1746">
        <v>2400</v>
      </c>
      <c r="D1746">
        <v>0</v>
      </c>
      <c r="E1746">
        <v>0</v>
      </c>
      <c r="F1746">
        <v>2400</v>
      </c>
      <c r="G1746">
        <v>1362.684082</v>
      </c>
      <c r="H1746">
        <v>1353.7178954999999</v>
      </c>
      <c r="I1746">
        <v>1311.5699463000001</v>
      </c>
      <c r="J1746">
        <v>1300.8649902</v>
      </c>
      <c r="K1746">
        <v>80</v>
      </c>
      <c r="L1746">
        <v>79.945976256999998</v>
      </c>
      <c r="M1746">
        <v>50</v>
      </c>
      <c r="N1746">
        <v>49.712066649999997</v>
      </c>
    </row>
    <row r="1747" spans="1:14" x14ac:dyDescent="0.25">
      <c r="A1747">
        <v>1622.276024</v>
      </c>
      <c r="B1747" s="1">
        <f>DATE(2014,10,9) + TIME(6,37,28)</f>
        <v>41921.276018518518</v>
      </c>
      <c r="C1747">
        <v>2400</v>
      </c>
      <c r="D1747">
        <v>0</v>
      </c>
      <c r="E1747">
        <v>0</v>
      </c>
      <c r="F1747">
        <v>2400</v>
      </c>
      <c r="G1747">
        <v>1362.6534423999999</v>
      </c>
      <c r="H1747">
        <v>1353.6944579999999</v>
      </c>
      <c r="I1747">
        <v>1311.5555420000001</v>
      </c>
      <c r="J1747">
        <v>1300.8459473</v>
      </c>
      <c r="K1747">
        <v>80</v>
      </c>
      <c r="L1747">
        <v>79.946006775000001</v>
      </c>
      <c r="M1747">
        <v>50</v>
      </c>
      <c r="N1747">
        <v>49.946033477999997</v>
      </c>
    </row>
    <row r="1748" spans="1:14" x14ac:dyDescent="0.25">
      <c r="A1748">
        <v>1625.1156570000001</v>
      </c>
      <c r="B1748" s="1">
        <f>DATE(2014,10,12) + TIME(2,46,32)</f>
        <v>41924.115648148145</v>
      </c>
      <c r="C1748">
        <v>2400</v>
      </c>
      <c r="D1748">
        <v>0</v>
      </c>
      <c r="E1748">
        <v>0</v>
      </c>
      <c r="F1748">
        <v>2400</v>
      </c>
      <c r="G1748">
        <v>1362.6229248</v>
      </c>
      <c r="H1748">
        <v>1353.6710204999999</v>
      </c>
      <c r="I1748">
        <v>1311.5428466999999</v>
      </c>
      <c r="J1748">
        <v>1300.8306885</v>
      </c>
      <c r="K1748">
        <v>80</v>
      </c>
      <c r="L1748">
        <v>79.946037292</v>
      </c>
      <c r="M1748">
        <v>50</v>
      </c>
      <c r="N1748">
        <v>50.191925048999998</v>
      </c>
    </row>
    <row r="1749" spans="1:14" x14ac:dyDescent="0.25">
      <c r="A1749">
        <v>1628.0009460000001</v>
      </c>
      <c r="B1749" s="1">
        <f>DATE(2014,10,15) + TIME(0,1,21)</f>
        <v>41927.000937500001</v>
      </c>
      <c r="C1749">
        <v>2400</v>
      </c>
      <c r="D1749">
        <v>0</v>
      </c>
      <c r="E1749">
        <v>0</v>
      </c>
      <c r="F1749">
        <v>2400</v>
      </c>
      <c r="G1749">
        <v>1362.5922852000001</v>
      </c>
      <c r="H1749">
        <v>1353.6475829999999</v>
      </c>
      <c r="I1749">
        <v>1311.5318603999999</v>
      </c>
      <c r="J1749">
        <v>1300.8193358999999</v>
      </c>
      <c r="K1749">
        <v>80</v>
      </c>
      <c r="L1749">
        <v>79.946067810000002</v>
      </c>
      <c r="M1749">
        <v>50</v>
      </c>
      <c r="N1749">
        <v>50.448120117000002</v>
      </c>
    </row>
    <row r="1750" spans="1:14" x14ac:dyDescent="0.25">
      <c r="A1750">
        <v>1630.940546</v>
      </c>
      <c r="B1750" s="1">
        <f>DATE(2014,10,17) + TIME(22,34,23)</f>
        <v>41929.94054398148</v>
      </c>
      <c r="C1750">
        <v>2400</v>
      </c>
      <c r="D1750">
        <v>0</v>
      </c>
      <c r="E1750">
        <v>0</v>
      </c>
      <c r="F1750">
        <v>2400</v>
      </c>
      <c r="G1750">
        <v>1362.5616454999999</v>
      </c>
      <c r="H1750">
        <v>1353.6240233999999</v>
      </c>
      <c r="I1750">
        <v>1311.5229492000001</v>
      </c>
      <c r="J1750">
        <v>1300.8118896000001</v>
      </c>
      <c r="K1750">
        <v>80</v>
      </c>
      <c r="L1750">
        <v>79.946098328000005</v>
      </c>
      <c r="M1750">
        <v>50</v>
      </c>
      <c r="N1750">
        <v>50.714115143000001</v>
      </c>
    </row>
    <row r="1751" spans="1:14" x14ac:dyDescent="0.25">
      <c r="A1751">
        <v>1633.918044</v>
      </c>
      <c r="B1751" s="1">
        <f>DATE(2014,10,20) + TIME(22,1,59)</f>
        <v>41932.918043981481</v>
      </c>
      <c r="C1751">
        <v>2400</v>
      </c>
      <c r="D1751">
        <v>0</v>
      </c>
      <c r="E1751">
        <v>0</v>
      </c>
      <c r="F1751">
        <v>2400</v>
      </c>
      <c r="G1751">
        <v>1362.5307617000001</v>
      </c>
      <c r="H1751">
        <v>1353.6003418</v>
      </c>
      <c r="I1751">
        <v>1311.5162353999999</v>
      </c>
      <c r="J1751">
        <v>1300.8085937999999</v>
      </c>
      <c r="K1751">
        <v>80</v>
      </c>
      <c r="L1751">
        <v>79.946128845000004</v>
      </c>
      <c r="M1751">
        <v>50</v>
      </c>
      <c r="N1751">
        <v>50.989028931</v>
      </c>
    </row>
    <row r="1752" spans="1:14" x14ac:dyDescent="0.25">
      <c r="A1752">
        <v>1636.912593</v>
      </c>
      <c r="B1752" s="1">
        <f>DATE(2014,10,23) + TIME(21,54,8)</f>
        <v>41935.912592592591</v>
      </c>
      <c r="C1752">
        <v>2400</v>
      </c>
      <c r="D1752">
        <v>0</v>
      </c>
      <c r="E1752">
        <v>0</v>
      </c>
      <c r="F1752">
        <v>2400</v>
      </c>
      <c r="G1752">
        <v>1362.4998779</v>
      </c>
      <c r="H1752">
        <v>1353.5767822</v>
      </c>
      <c r="I1752">
        <v>1311.5118408000001</v>
      </c>
      <c r="J1752">
        <v>1300.8094481999999</v>
      </c>
      <c r="K1752">
        <v>80</v>
      </c>
      <c r="L1752">
        <v>79.946159363000007</v>
      </c>
      <c r="M1752">
        <v>50</v>
      </c>
      <c r="N1752">
        <v>51.270812988000003</v>
      </c>
    </row>
    <row r="1753" spans="1:14" x14ac:dyDescent="0.25">
      <c r="A1753">
        <v>1639.933563</v>
      </c>
      <c r="B1753" s="1">
        <f>DATE(2014,10,26) + TIME(22,24,19)</f>
        <v>41938.933553240742</v>
      </c>
      <c r="C1753">
        <v>2400</v>
      </c>
      <c r="D1753">
        <v>0</v>
      </c>
      <c r="E1753">
        <v>0</v>
      </c>
      <c r="F1753">
        <v>2400</v>
      </c>
      <c r="G1753">
        <v>1362.4692382999999</v>
      </c>
      <c r="H1753">
        <v>1353.5533447</v>
      </c>
      <c r="I1753">
        <v>1311.5097656</v>
      </c>
      <c r="J1753">
        <v>1300.8146973</v>
      </c>
      <c r="K1753">
        <v>80</v>
      </c>
      <c r="L1753">
        <v>79.946189880000006</v>
      </c>
      <c r="M1753">
        <v>50</v>
      </c>
      <c r="N1753">
        <v>51.557682036999999</v>
      </c>
    </row>
    <row r="1754" spans="1:14" x14ac:dyDescent="0.25">
      <c r="A1754">
        <v>1642.990898</v>
      </c>
      <c r="B1754" s="1">
        <f>DATE(2014,10,29) + TIME(23,46,53)</f>
        <v>41941.990891203706</v>
      </c>
      <c r="C1754">
        <v>2400</v>
      </c>
      <c r="D1754">
        <v>0</v>
      </c>
      <c r="E1754">
        <v>0</v>
      </c>
      <c r="F1754">
        <v>2400</v>
      </c>
      <c r="G1754">
        <v>1362.4387207</v>
      </c>
      <c r="H1754">
        <v>1353.5300293</v>
      </c>
      <c r="I1754">
        <v>1311.5100098</v>
      </c>
      <c r="J1754">
        <v>1300.8239745999999</v>
      </c>
      <c r="K1754">
        <v>80</v>
      </c>
      <c r="L1754">
        <v>79.946220397999994</v>
      </c>
      <c r="M1754">
        <v>50</v>
      </c>
      <c r="N1754">
        <v>51.848972320999998</v>
      </c>
    </row>
    <row r="1755" spans="1:14" x14ac:dyDescent="0.25">
      <c r="A1755">
        <v>1645</v>
      </c>
      <c r="B1755" s="1">
        <f>DATE(2014,11,1) + TIME(0,0,0)</f>
        <v>41944</v>
      </c>
      <c r="C1755">
        <v>2400</v>
      </c>
      <c r="D1755">
        <v>0</v>
      </c>
      <c r="E1755">
        <v>0</v>
      </c>
      <c r="F1755">
        <v>2400</v>
      </c>
      <c r="G1755">
        <v>1362.4082031</v>
      </c>
      <c r="H1755">
        <v>1353.5069579999999</v>
      </c>
      <c r="I1755">
        <v>1311.5183105000001</v>
      </c>
      <c r="J1755">
        <v>1300.8386230000001</v>
      </c>
      <c r="K1755">
        <v>80</v>
      </c>
      <c r="L1755">
        <v>79.946235657000003</v>
      </c>
      <c r="M1755">
        <v>50</v>
      </c>
      <c r="N1755">
        <v>52.100765228</v>
      </c>
    </row>
    <row r="1756" spans="1:14" x14ac:dyDescent="0.25">
      <c r="A1756">
        <v>1645.0000010000001</v>
      </c>
      <c r="B1756" s="1">
        <f>DATE(2014,11,1) + TIME(0,0,0)</f>
        <v>41944</v>
      </c>
      <c r="C1756">
        <v>0</v>
      </c>
      <c r="D1756">
        <v>2400</v>
      </c>
      <c r="E1756">
        <v>2400</v>
      </c>
      <c r="F1756">
        <v>0</v>
      </c>
      <c r="G1756">
        <v>1353.0710449000001</v>
      </c>
      <c r="H1756">
        <v>1349.3135986</v>
      </c>
      <c r="I1756">
        <v>1322.9815673999999</v>
      </c>
      <c r="J1756">
        <v>1312.0296631000001</v>
      </c>
      <c r="K1756">
        <v>80</v>
      </c>
      <c r="L1756">
        <v>79.946174622000001</v>
      </c>
      <c r="M1756">
        <v>50</v>
      </c>
      <c r="N1756">
        <v>52.100826263000002</v>
      </c>
    </row>
    <row r="1757" spans="1:14" x14ac:dyDescent="0.25">
      <c r="A1757">
        <v>1645.000004</v>
      </c>
      <c r="B1757" s="1">
        <f>DATE(2014,11,1) + TIME(0,0,0)</f>
        <v>41944</v>
      </c>
      <c r="C1757">
        <v>0</v>
      </c>
      <c r="D1757">
        <v>2400</v>
      </c>
      <c r="E1757">
        <v>2400</v>
      </c>
      <c r="F1757">
        <v>0</v>
      </c>
      <c r="G1757">
        <v>1351.9697266000001</v>
      </c>
      <c r="H1757">
        <v>1348.2121582</v>
      </c>
      <c r="I1757">
        <v>1324.1871338000001</v>
      </c>
      <c r="J1757">
        <v>1313.3824463000001</v>
      </c>
      <c r="K1757">
        <v>80</v>
      </c>
      <c r="L1757">
        <v>79.946014403999996</v>
      </c>
      <c r="M1757">
        <v>50</v>
      </c>
      <c r="N1757">
        <v>52.100997925000001</v>
      </c>
    </row>
    <row r="1758" spans="1:14" x14ac:dyDescent="0.25">
      <c r="A1758">
        <v>1645.0000130000001</v>
      </c>
      <c r="B1758" s="1">
        <f>DATE(2014,11,1) + TIME(0,0,1)</f>
        <v>41944.000011574077</v>
      </c>
      <c r="C1758">
        <v>0</v>
      </c>
      <c r="D1758">
        <v>2400</v>
      </c>
      <c r="E1758">
        <v>2400</v>
      </c>
      <c r="F1758">
        <v>0</v>
      </c>
      <c r="G1758">
        <v>1349.7464600000001</v>
      </c>
      <c r="H1758">
        <v>1345.9886475000001</v>
      </c>
      <c r="I1758">
        <v>1326.9484863</v>
      </c>
      <c r="J1758">
        <v>1316.3717041</v>
      </c>
      <c r="K1758">
        <v>80</v>
      </c>
      <c r="L1758">
        <v>79.945701599000003</v>
      </c>
      <c r="M1758">
        <v>50</v>
      </c>
      <c r="N1758">
        <v>52.101367949999997</v>
      </c>
    </row>
    <row r="1759" spans="1:14" x14ac:dyDescent="0.25">
      <c r="A1759">
        <v>1645.0000399999999</v>
      </c>
      <c r="B1759" s="1">
        <f>DATE(2014,11,1) + TIME(0,0,3)</f>
        <v>41944.000034722223</v>
      </c>
      <c r="C1759">
        <v>0</v>
      </c>
      <c r="D1759">
        <v>2400</v>
      </c>
      <c r="E1759">
        <v>2400</v>
      </c>
      <c r="F1759">
        <v>0</v>
      </c>
      <c r="G1759">
        <v>1346.4982910000001</v>
      </c>
      <c r="H1759">
        <v>1342.7397461</v>
      </c>
      <c r="I1759">
        <v>1331.7030029</v>
      </c>
      <c r="J1759">
        <v>1321.2517089999999</v>
      </c>
      <c r="K1759">
        <v>80</v>
      </c>
      <c r="L1759">
        <v>79.945236206000004</v>
      </c>
      <c r="M1759">
        <v>50</v>
      </c>
      <c r="N1759">
        <v>52.101947783999996</v>
      </c>
    </row>
    <row r="1760" spans="1:14" x14ac:dyDescent="0.25">
      <c r="A1760">
        <v>1645.000121</v>
      </c>
      <c r="B1760" s="1">
        <f>DATE(2014,11,1) + TIME(0,0,10)</f>
        <v>41944.000115740739</v>
      </c>
      <c r="C1760">
        <v>0</v>
      </c>
      <c r="D1760">
        <v>2400</v>
      </c>
      <c r="E1760">
        <v>2400</v>
      </c>
      <c r="F1760">
        <v>0</v>
      </c>
      <c r="G1760">
        <v>1342.8776855000001</v>
      </c>
      <c r="H1760">
        <v>1339.1140137</v>
      </c>
      <c r="I1760">
        <v>1337.7055664</v>
      </c>
      <c r="J1760">
        <v>1327.2238769999999</v>
      </c>
      <c r="K1760">
        <v>80</v>
      </c>
      <c r="L1760">
        <v>79.944717406999999</v>
      </c>
      <c r="M1760">
        <v>50</v>
      </c>
      <c r="N1760">
        <v>52.102592467999997</v>
      </c>
    </row>
    <row r="1761" spans="1:14" x14ac:dyDescent="0.25">
      <c r="A1761">
        <v>1645.000364</v>
      </c>
      <c r="B1761" s="1">
        <f>DATE(2014,11,1) + TIME(0,0,31)</f>
        <v>41944.000358796293</v>
      </c>
      <c r="C1761">
        <v>0</v>
      </c>
      <c r="D1761">
        <v>2400</v>
      </c>
      <c r="E1761">
        <v>2400</v>
      </c>
      <c r="F1761">
        <v>0</v>
      </c>
      <c r="G1761">
        <v>1339.2016602000001</v>
      </c>
      <c r="H1761">
        <v>1335.3999022999999</v>
      </c>
      <c r="I1761">
        <v>1344.0261230000001</v>
      </c>
      <c r="J1761">
        <v>1333.4835204999999</v>
      </c>
      <c r="K1761">
        <v>80</v>
      </c>
      <c r="L1761">
        <v>79.944168090999995</v>
      </c>
      <c r="M1761">
        <v>50</v>
      </c>
      <c r="N1761">
        <v>52.103034973</v>
      </c>
    </row>
    <row r="1762" spans="1:14" x14ac:dyDescent="0.25">
      <c r="A1762">
        <v>1645.0010930000001</v>
      </c>
      <c r="B1762" s="1">
        <f>DATE(2014,11,1) + TIME(0,1,34)</f>
        <v>41944.001087962963</v>
      </c>
      <c r="C1762">
        <v>0</v>
      </c>
      <c r="D1762">
        <v>2400</v>
      </c>
      <c r="E1762">
        <v>2400</v>
      </c>
      <c r="F1762">
        <v>0</v>
      </c>
      <c r="G1762">
        <v>1335.4027100000001</v>
      </c>
      <c r="H1762">
        <v>1331.4470214999999</v>
      </c>
      <c r="I1762">
        <v>1350.4394531</v>
      </c>
      <c r="J1762">
        <v>1339.8187256000001</v>
      </c>
      <c r="K1762">
        <v>80</v>
      </c>
      <c r="L1762">
        <v>79.943550110000004</v>
      </c>
      <c r="M1762">
        <v>50</v>
      </c>
      <c r="N1762">
        <v>52.102771758999999</v>
      </c>
    </row>
    <row r="1763" spans="1:14" x14ac:dyDescent="0.25">
      <c r="A1763">
        <v>1645.0032799999999</v>
      </c>
      <c r="B1763" s="1">
        <f>DATE(2014,11,1) + TIME(0,4,43)</f>
        <v>41944.003275462965</v>
      </c>
      <c r="C1763">
        <v>0</v>
      </c>
      <c r="D1763">
        <v>2400</v>
      </c>
      <c r="E1763">
        <v>2400</v>
      </c>
      <c r="F1763">
        <v>0</v>
      </c>
      <c r="G1763">
        <v>1331.5303954999999</v>
      </c>
      <c r="H1763">
        <v>1327.2281493999999</v>
      </c>
      <c r="I1763">
        <v>1356.6933594</v>
      </c>
      <c r="J1763">
        <v>1345.9375</v>
      </c>
      <c r="K1763">
        <v>80</v>
      </c>
      <c r="L1763">
        <v>79.942756653000004</v>
      </c>
      <c r="M1763">
        <v>50</v>
      </c>
      <c r="N1763">
        <v>52.100303650000001</v>
      </c>
    </row>
    <row r="1764" spans="1:14" x14ac:dyDescent="0.25">
      <c r="A1764">
        <v>1645.0098410000001</v>
      </c>
      <c r="B1764" s="1">
        <f>DATE(2014,11,1) + TIME(0,14,10)</f>
        <v>41944.009837962964</v>
      </c>
      <c r="C1764">
        <v>0</v>
      </c>
      <c r="D1764">
        <v>2400</v>
      </c>
      <c r="E1764">
        <v>2400</v>
      </c>
      <c r="F1764">
        <v>0</v>
      </c>
      <c r="G1764">
        <v>1328.0913086</v>
      </c>
      <c r="H1764">
        <v>1323.4011230000001</v>
      </c>
      <c r="I1764">
        <v>1361.880249</v>
      </c>
      <c r="J1764">
        <v>1350.9725341999999</v>
      </c>
      <c r="K1764">
        <v>80</v>
      </c>
      <c r="L1764">
        <v>79.941497803000004</v>
      </c>
      <c r="M1764">
        <v>50</v>
      </c>
      <c r="N1764">
        <v>52.091117859000001</v>
      </c>
    </row>
    <row r="1765" spans="1:14" x14ac:dyDescent="0.25">
      <c r="A1765">
        <v>1645.029524</v>
      </c>
      <c r="B1765" s="1">
        <f>DATE(2014,11,1) + TIME(0,42,30)</f>
        <v>41944.029513888891</v>
      </c>
      <c r="C1765">
        <v>0</v>
      </c>
      <c r="D1765">
        <v>2400</v>
      </c>
      <c r="E1765">
        <v>2400</v>
      </c>
      <c r="F1765">
        <v>0</v>
      </c>
      <c r="G1765">
        <v>1325.6914062000001</v>
      </c>
      <c r="H1765">
        <v>1320.7927245999999</v>
      </c>
      <c r="I1765">
        <v>1365.0711670000001</v>
      </c>
      <c r="J1765">
        <v>1354.0524902</v>
      </c>
      <c r="K1765">
        <v>80</v>
      </c>
      <c r="L1765">
        <v>79.938796996999997</v>
      </c>
      <c r="M1765">
        <v>50</v>
      </c>
      <c r="N1765">
        <v>52.062141418000003</v>
      </c>
    </row>
    <row r="1766" spans="1:14" x14ac:dyDescent="0.25">
      <c r="A1766">
        <v>1645.088573</v>
      </c>
      <c r="B1766" s="1">
        <f>DATE(2014,11,1) + TIME(2,7,32)</f>
        <v>41944.088564814818</v>
      </c>
      <c r="C1766">
        <v>0</v>
      </c>
      <c r="D1766">
        <v>2400</v>
      </c>
      <c r="E1766">
        <v>2400</v>
      </c>
      <c r="F1766">
        <v>0</v>
      </c>
      <c r="G1766">
        <v>1324.5513916</v>
      </c>
      <c r="H1766">
        <v>1319.5933838000001</v>
      </c>
      <c r="I1766">
        <v>1366.2458495999999</v>
      </c>
      <c r="J1766">
        <v>1355.1745605000001</v>
      </c>
      <c r="K1766">
        <v>80</v>
      </c>
      <c r="L1766">
        <v>79.931648253999995</v>
      </c>
      <c r="M1766">
        <v>50</v>
      </c>
      <c r="N1766">
        <v>51.977443694999998</v>
      </c>
    </row>
    <row r="1767" spans="1:14" x14ac:dyDescent="0.25">
      <c r="A1767">
        <v>1645.1981370000001</v>
      </c>
      <c r="B1767" s="1">
        <f>DATE(2014,11,1) + TIME(4,45,19)</f>
        <v>41944.198136574072</v>
      </c>
      <c r="C1767">
        <v>0</v>
      </c>
      <c r="D1767">
        <v>2400</v>
      </c>
      <c r="E1767">
        <v>2400</v>
      </c>
      <c r="F1767">
        <v>0</v>
      </c>
      <c r="G1767">
        <v>1324.2729492000001</v>
      </c>
      <c r="H1767">
        <v>1319.3073730000001</v>
      </c>
      <c r="I1767">
        <v>1366.3514404</v>
      </c>
      <c r="J1767">
        <v>1355.2762451000001</v>
      </c>
      <c r="K1767">
        <v>80</v>
      </c>
      <c r="L1767">
        <v>79.919029236</v>
      </c>
      <c r="M1767">
        <v>50</v>
      </c>
      <c r="N1767">
        <v>51.831729889000002</v>
      </c>
    </row>
    <row r="1768" spans="1:14" x14ac:dyDescent="0.25">
      <c r="A1768">
        <v>1645.312281</v>
      </c>
      <c r="B1768" s="1">
        <f>DATE(2014,11,1) + TIME(7,29,41)</f>
        <v>41944.312280092592</v>
      </c>
      <c r="C1768">
        <v>0</v>
      </c>
      <c r="D1768">
        <v>2400</v>
      </c>
      <c r="E1768">
        <v>2400</v>
      </c>
      <c r="F1768">
        <v>0</v>
      </c>
      <c r="G1768">
        <v>1324.2233887</v>
      </c>
      <c r="H1768">
        <v>1319.2580565999999</v>
      </c>
      <c r="I1768">
        <v>1366.2803954999999</v>
      </c>
      <c r="J1768">
        <v>1355.2130127</v>
      </c>
      <c r="K1768">
        <v>80</v>
      </c>
      <c r="L1768">
        <v>79.906112671000002</v>
      </c>
      <c r="M1768">
        <v>50</v>
      </c>
      <c r="N1768">
        <v>51.691719055</v>
      </c>
    </row>
    <row r="1769" spans="1:14" x14ac:dyDescent="0.25">
      <c r="A1769">
        <v>1645.43139</v>
      </c>
      <c r="B1769" s="1">
        <f>DATE(2014,11,1) + TIME(10,21,12)</f>
        <v>41944.431388888886</v>
      </c>
      <c r="C1769">
        <v>0</v>
      </c>
      <c r="D1769">
        <v>2400</v>
      </c>
      <c r="E1769">
        <v>2400</v>
      </c>
      <c r="F1769">
        <v>0</v>
      </c>
      <c r="G1769">
        <v>1324.2099608999999</v>
      </c>
      <c r="H1769">
        <v>1319.2457274999999</v>
      </c>
      <c r="I1769">
        <v>1366.1994629000001</v>
      </c>
      <c r="J1769">
        <v>1355.1411132999999</v>
      </c>
      <c r="K1769">
        <v>80</v>
      </c>
      <c r="L1769">
        <v>79.892852782999995</v>
      </c>
      <c r="M1769">
        <v>50</v>
      </c>
      <c r="N1769">
        <v>51.557395935000002</v>
      </c>
    </row>
    <row r="1770" spans="1:14" x14ac:dyDescent="0.25">
      <c r="A1770">
        <v>1645.5559639999999</v>
      </c>
      <c r="B1770" s="1">
        <f>DATE(2014,11,1) + TIME(13,20,35)</f>
        <v>41944.555960648147</v>
      </c>
      <c r="C1770">
        <v>0</v>
      </c>
      <c r="D1770">
        <v>2400</v>
      </c>
      <c r="E1770">
        <v>2400</v>
      </c>
      <c r="F1770">
        <v>0</v>
      </c>
      <c r="G1770">
        <v>1324.2030029</v>
      </c>
      <c r="H1770">
        <v>1319.2399902</v>
      </c>
      <c r="I1770">
        <v>1366.1221923999999</v>
      </c>
      <c r="J1770">
        <v>1355.0727539</v>
      </c>
      <c r="K1770">
        <v>80</v>
      </c>
      <c r="L1770">
        <v>79.879188537999994</v>
      </c>
      <c r="M1770">
        <v>50</v>
      </c>
      <c r="N1770">
        <v>51.428653717000003</v>
      </c>
    </row>
    <row r="1771" spans="1:14" x14ac:dyDescent="0.25">
      <c r="A1771">
        <v>1645.6866299999999</v>
      </c>
      <c r="B1771" s="1">
        <f>DATE(2014,11,1) + TIME(16,28,44)</f>
        <v>41944.686620370368</v>
      </c>
      <c r="C1771">
        <v>0</v>
      </c>
      <c r="D1771">
        <v>2400</v>
      </c>
      <c r="E1771">
        <v>2400</v>
      </c>
      <c r="F1771">
        <v>0</v>
      </c>
      <c r="G1771">
        <v>1324.1971435999999</v>
      </c>
      <c r="H1771">
        <v>1319.2352295000001</v>
      </c>
      <c r="I1771">
        <v>1366.0482178</v>
      </c>
      <c r="J1771">
        <v>1355.0078125</v>
      </c>
      <c r="K1771">
        <v>80</v>
      </c>
      <c r="L1771">
        <v>79.865089416999993</v>
      </c>
      <c r="M1771">
        <v>50</v>
      </c>
      <c r="N1771">
        <v>51.305355071999998</v>
      </c>
    </row>
    <row r="1772" spans="1:14" x14ac:dyDescent="0.25">
      <c r="A1772">
        <v>1645.824098</v>
      </c>
      <c r="B1772" s="1">
        <f>DATE(2014,11,1) + TIME(19,46,42)</f>
        <v>41944.824097222219</v>
      </c>
      <c r="C1772">
        <v>0</v>
      </c>
      <c r="D1772">
        <v>2400</v>
      </c>
      <c r="E1772">
        <v>2400</v>
      </c>
      <c r="F1772">
        <v>0</v>
      </c>
      <c r="G1772">
        <v>1324.1915283000001</v>
      </c>
      <c r="H1772">
        <v>1319.2305908000001</v>
      </c>
      <c r="I1772">
        <v>1365.9772949000001</v>
      </c>
      <c r="J1772">
        <v>1354.9456786999999</v>
      </c>
      <c r="K1772">
        <v>80</v>
      </c>
      <c r="L1772">
        <v>79.850494385000005</v>
      </c>
      <c r="M1772">
        <v>50</v>
      </c>
      <c r="N1772">
        <v>51.187377929999997</v>
      </c>
    </row>
    <row r="1773" spans="1:14" x14ac:dyDescent="0.25">
      <c r="A1773">
        <v>1645.9692050000001</v>
      </c>
      <c r="B1773" s="1">
        <f>DATE(2014,11,1) + TIME(23,15,39)</f>
        <v>41944.969201388885</v>
      </c>
      <c r="C1773">
        <v>0</v>
      </c>
      <c r="D1773">
        <v>2400</v>
      </c>
      <c r="E1773">
        <v>2400</v>
      </c>
      <c r="F1773">
        <v>0</v>
      </c>
      <c r="G1773">
        <v>1324.1857910000001</v>
      </c>
      <c r="H1773">
        <v>1319.2257079999999</v>
      </c>
      <c r="I1773">
        <v>1365.9088135</v>
      </c>
      <c r="J1773">
        <v>1354.8859863</v>
      </c>
      <c r="K1773">
        <v>80</v>
      </c>
      <c r="L1773">
        <v>79.835334778000004</v>
      </c>
      <c r="M1773">
        <v>50</v>
      </c>
      <c r="N1773">
        <v>51.074638366999999</v>
      </c>
    </row>
    <row r="1774" spans="1:14" x14ac:dyDescent="0.25">
      <c r="A1774">
        <v>1646.1229330000001</v>
      </c>
      <c r="B1774" s="1">
        <f>DATE(2014,11,2) + TIME(2,57,1)</f>
        <v>41945.122928240744</v>
      </c>
      <c r="C1774">
        <v>0</v>
      </c>
      <c r="D1774">
        <v>2400</v>
      </c>
      <c r="E1774">
        <v>2400</v>
      </c>
      <c r="F1774">
        <v>0</v>
      </c>
      <c r="G1774">
        <v>1324.1799315999999</v>
      </c>
      <c r="H1774">
        <v>1319.2204589999999</v>
      </c>
      <c r="I1774">
        <v>1365.8428954999999</v>
      </c>
      <c r="J1774">
        <v>1354.8286132999999</v>
      </c>
      <c r="K1774">
        <v>80</v>
      </c>
      <c r="L1774">
        <v>79.819549561000002</v>
      </c>
      <c r="M1774">
        <v>50</v>
      </c>
      <c r="N1774">
        <v>50.967056274000001</v>
      </c>
    </row>
    <row r="1775" spans="1:14" x14ac:dyDescent="0.25">
      <c r="A1775">
        <v>1646.2864589999999</v>
      </c>
      <c r="B1775" s="1">
        <f>DATE(2014,11,2) + TIME(6,52,30)</f>
        <v>41945.286458333336</v>
      </c>
      <c r="C1775">
        <v>0</v>
      </c>
      <c r="D1775">
        <v>2400</v>
      </c>
      <c r="E1775">
        <v>2400</v>
      </c>
      <c r="F1775">
        <v>0</v>
      </c>
      <c r="G1775">
        <v>1324.1738281</v>
      </c>
      <c r="H1775">
        <v>1319.2149658000001</v>
      </c>
      <c r="I1775">
        <v>1365.7791748</v>
      </c>
      <c r="J1775">
        <v>1354.7734375</v>
      </c>
      <c r="K1775">
        <v>80</v>
      </c>
      <c r="L1775">
        <v>79.803039550999998</v>
      </c>
      <c r="M1775">
        <v>50</v>
      </c>
      <c r="N1775">
        <v>50.864578246999997</v>
      </c>
    </row>
    <row r="1776" spans="1:14" x14ac:dyDescent="0.25">
      <c r="A1776">
        <v>1646.4611970000001</v>
      </c>
      <c r="B1776" s="1">
        <f>DATE(2014,11,2) + TIME(11,4,7)</f>
        <v>41945.461192129631</v>
      </c>
      <c r="C1776">
        <v>0</v>
      </c>
      <c r="D1776">
        <v>2400</v>
      </c>
      <c r="E1776">
        <v>2400</v>
      </c>
      <c r="F1776">
        <v>0</v>
      </c>
      <c r="G1776">
        <v>1324.1673584</v>
      </c>
      <c r="H1776">
        <v>1319.2089844</v>
      </c>
      <c r="I1776">
        <v>1365.7176514</v>
      </c>
      <c r="J1776">
        <v>1354.7205810999999</v>
      </c>
      <c r="K1776">
        <v>80</v>
      </c>
      <c r="L1776">
        <v>79.785705566000004</v>
      </c>
      <c r="M1776">
        <v>50</v>
      </c>
      <c r="N1776">
        <v>50.767158508000001</v>
      </c>
    </row>
    <row r="1777" spans="1:14" x14ac:dyDescent="0.25">
      <c r="A1777">
        <v>1646.648872</v>
      </c>
      <c r="B1777" s="1">
        <f>DATE(2014,11,2) + TIME(15,34,22)</f>
        <v>41945.648865740739</v>
      </c>
      <c r="C1777">
        <v>0</v>
      </c>
      <c r="D1777">
        <v>2400</v>
      </c>
      <c r="E1777">
        <v>2400</v>
      </c>
      <c r="F1777">
        <v>0</v>
      </c>
      <c r="G1777">
        <v>1324.1606445</v>
      </c>
      <c r="H1777">
        <v>1319.2026367000001</v>
      </c>
      <c r="I1777">
        <v>1365.6580810999999</v>
      </c>
      <c r="J1777">
        <v>1354.6695557</v>
      </c>
      <c r="K1777">
        <v>80</v>
      </c>
      <c r="L1777">
        <v>79.767433166999993</v>
      </c>
      <c r="M1777">
        <v>50</v>
      </c>
      <c r="N1777">
        <v>50.674785614000001</v>
      </c>
    </row>
    <row r="1778" spans="1:14" x14ac:dyDescent="0.25">
      <c r="A1778">
        <v>1646.851617</v>
      </c>
      <c r="B1778" s="1">
        <f>DATE(2014,11,2) + TIME(20,26,19)</f>
        <v>41945.8516087963</v>
      </c>
      <c r="C1778">
        <v>0</v>
      </c>
      <c r="D1778">
        <v>2400</v>
      </c>
      <c r="E1778">
        <v>2400</v>
      </c>
      <c r="F1778">
        <v>0</v>
      </c>
      <c r="G1778">
        <v>1324.1535644999999</v>
      </c>
      <c r="H1778">
        <v>1319.1956786999999</v>
      </c>
      <c r="I1778">
        <v>1365.6004639</v>
      </c>
      <c r="J1778">
        <v>1354.6206055</v>
      </c>
      <c r="K1778">
        <v>80</v>
      </c>
      <c r="L1778">
        <v>79.748062133999994</v>
      </c>
      <c r="M1778">
        <v>50</v>
      </c>
      <c r="N1778">
        <v>50.587455749999997</v>
      </c>
    </row>
    <row r="1779" spans="1:14" x14ac:dyDescent="0.25">
      <c r="A1779">
        <v>1647.0721120000001</v>
      </c>
      <c r="B1779" s="1">
        <f>DATE(2014,11,3) + TIME(1,43,50)</f>
        <v>41946.072106481479</v>
      </c>
      <c r="C1779">
        <v>0</v>
      </c>
      <c r="D1779">
        <v>2400</v>
      </c>
      <c r="E1779">
        <v>2400</v>
      </c>
      <c r="F1779">
        <v>0</v>
      </c>
      <c r="G1779">
        <v>1324.1461182</v>
      </c>
      <c r="H1779">
        <v>1319.1882324000001</v>
      </c>
      <c r="I1779">
        <v>1365.5445557</v>
      </c>
      <c r="J1779">
        <v>1354.5734863</v>
      </c>
      <c r="K1779">
        <v>80</v>
      </c>
      <c r="L1779">
        <v>79.727409363000007</v>
      </c>
      <c r="M1779">
        <v>50</v>
      </c>
      <c r="N1779">
        <v>50.505195618000002</v>
      </c>
    </row>
    <row r="1780" spans="1:14" x14ac:dyDescent="0.25">
      <c r="A1780">
        <v>1647.313727</v>
      </c>
      <c r="B1780" s="1">
        <f>DATE(2014,11,3) + TIME(7,31,45)</f>
        <v>41946.313715277778</v>
      </c>
      <c r="C1780">
        <v>0</v>
      </c>
      <c r="D1780">
        <v>2400</v>
      </c>
      <c r="E1780">
        <v>2400</v>
      </c>
      <c r="F1780">
        <v>0</v>
      </c>
      <c r="G1780">
        <v>1324.1380615</v>
      </c>
      <c r="H1780">
        <v>1319.1799315999999</v>
      </c>
      <c r="I1780">
        <v>1365.4902344</v>
      </c>
      <c r="J1780">
        <v>1354.5280762</v>
      </c>
      <c r="K1780">
        <v>80</v>
      </c>
      <c r="L1780">
        <v>79.705245972</v>
      </c>
      <c r="M1780">
        <v>50</v>
      </c>
      <c r="N1780">
        <v>50.428058624000002</v>
      </c>
    </row>
    <row r="1781" spans="1:14" x14ac:dyDescent="0.25">
      <c r="A1781">
        <v>1647.5809380000001</v>
      </c>
      <c r="B1781" s="1">
        <f>DATE(2014,11,3) + TIME(13,56,33)</f>
        <v>41946.580937500003</v>
      </c>
      <c r="C1781">
        <v>0</v>
      </c>
      <c r="D1781">
        <v>2400</v>
      </c>
      <c r="E1781">
        <v>2400</v>
      </c>
      <c r="F1781">
        <v>0</v>
      </c>
      <c r="G1781">
        <v>1324.1292725000001</v>
      </c>
      <c r="H1781">
        <v>1319.1707764</v>
      </c>
      <c r="I1781">
        <v>1365.4373779</v>
      </c>
      <c r="J1781">
        <v>1354.4842529</v>
      </c>
      <c r="K1781">
        <v>80</v>
      </c>
      <c r="L1781">
        <v>79.681274414000001</v>
      </c>
      <c r="M1781">
        <v>50</v>
      </c>
      <c r="N1781">
        <v>50.356117249</v>
      </c>
    </row>
    <row r="1782" spans="1:14" x14ac:dyDescent="0.25">
      <c r="A1782">
        <v>1647.879698</v>
      </c>
      <c r="B1782" s="1">
        <f>DATE(2014,11,3) + TIME(21,6,45)</f>
        <v>41946.879687499997</v>
      </c>
      <c r="C1782">
        <v>0</v>
      </c>
      <c r="D1782">
        <v>2400</v>
      </c>
      <c r="E1782">
        <v>2400</v>
      </c>
      <c r="F1782">
        <v>0</v>
      </c>
      <c r="G1782">
        <v>1324.119751</v>
      </c>
      <c r="H1782">
        <v>1319.1605225000001</v>
      </c>
      <c r="I1782">
        <v>1365.3858643000001</v>
      </c>
      <c r="J1782">
        <v>1354.4420166</v>
      </c>
      <c r="K1782">
        <v>80</v>
      </c>
      <c r="L1782">
        <v>79.655097960999996</v>
      </c>
      <c r="M1782">
        <v>50</v>
      </c>
      <c r="N1782">
        <v>50.289466857999997</v>
      </c>
    </row>
    <row r="1783" spans="1:14" x14ac:dyDescent="0.25">
      <c r="A1783">
        <v>1648.2181599999999</v>
      </c>
      <c r="B1783" s="1">
        <f>DATE(2014,11,4) + TIME(5,14,9)</f>
        <v>41947.218159722222</v>
      </c>
      <c r="C1783">
        <v>0</v>
      </c>
      <c r="D1783">
        <v>2400</v>
      </c>
      <c r="E1783">
        <v>2400</v>
      </c>
      <c r="F1783">
        <v>0</v>
      </c>
      <c r="G1783">
        <v>1324.1091309000001</v>
      </c>
      <c r="H1783">
        <v>1319.1489257999999</v>
      </c>
      <c r="I1783">
        <v>1365.3353271000001</v>
      </c>
      <c r="J1783">
        <v>1354.4012451000001</v>
      </c>
      <c r="K1783">
        <v>80</v>
      </c>
      <c r="L1783">
        <v>79.626197814999998</v>
      </c>
      <c r="M1783">
        <v>50</v>
      </c>
      <c r="N1783">
        <v>50.228244781000001</v>
      </c>
    </row>
    <row r="1784" spans="1:14" x14ac:dyDescent="0.25">
      <c r="A1784">
        <v>1648.6078930000001</v>
      </c>
      <c r="B1784" s="1">
        <f>DATE(2014,11,4) + TIME(14,35,21)</f>
        <v>41947.607881944445</v>
      </c>
      <c r="C1784">
        <v>0</v>
      </c>
      <c r="D1784">
        <v>2400</v>
      </c>
      <c r="E1784">
        <v>2400</v>
      </c>
      <c r="F1784">
        <v>0</v>
      </c>
      <c r="G1784">
        <v>1324.097168</v>
      </c>
      <c r="H1784">
        <v>1319.1356201000001</v>
      </c>
      <c r="I1784">
        <v>1365.2857666</v>
      </c>
      <c r="J1784">
        <v>1354.3618164</v>
      </c>
      <c r="K1784">
        <v>80</v>
      </c>
      <c r="L1784">
        <v>79.593856811999999</v>
      </c>
      <c r="M1784">
        <v>50</v>
      </c>
      <c r="N1784">
        <v>50.172634125000002</v>
      </c>
    </row>
    <row r="1785" spans="1:14" x14ac:dyDescent="0.25">
      <c r="A1785">
        <v>1649.0597829999999</v>
      </c>
      <c r="B1785" s="1">
        <f>DATE(2014,11,5) + TIME(1,26,5)</f>
        <v>41948.05978009259</v>
      </c>
      <c r="C1785">
        <v>0</v>
      </c>
      <c r="D1785">
        <v>2400</v>
      </c>
      <c r="E1785">
        <v>2400</v>
      </c>
      <c r="F1785">
        <v>0</v>
      </c>
      <c r="G1785">
        <v>1324.0836182</v>
      </c>
      <c r="H1785">
        <v>1319.1202393000001</v>
      </c>
      <c r="I1785">
        <v>1365.2374268000001</v>
      </c>
      <c r="J1785">
        <v>1354.3238524999999</v>
      </c>
      <c r="K1785">
        <v>80</v>
      </c>
      <c r="L1785">
        <v>79.557472228999998</v>
      </c>
      <c r="M1785">
        <v>50</v>
      </c>
      <c r="N1785">
        <v>50.123382567999997</v>
      </c>
    </row>
    <row r="1786" spans="1:14" x14ac:dyDescent="0.25">
      <c r="A1786">
        <v>1649.51208</v>
      </c>
      <c r="B1786" s="1">
        <f>DATE(2014,11,5) + TIME(12,17,23)</f>
        <v>41948.512071759258</v>
      </c>
      <c r="C1786">
        <v>0</v>
      </c>
      <c r="D1786">
        <v>2400</v>
      </c>
      <c r="E1786">
        <v>2400</v>
      </c>
      <c r="F1786">
        <v>0</v>
      </c>
      <c r="G1786">
        <v>1324.0679932</v>
      </c>
      <c r="H1786">
        <v>1319.1022949000001</v>
      </c>
      <c r="I1786">
        <v>1365.1959228999999</v>
      </c>
      <c r="J1786">
        <v>1354.2919922000001</v>
      </c>
      <c r="K1786">
        <v>80</v>
      </c>
      <c r="L1786">
        <v>79.521125792999996</v>
      </c>
      <c r="M1786">
        <v>50</v>
      </c>
      <c r="N1786">
        <v>50.085697174000003</v>
      </c>
    </row>
    <row r="1787" spans="1:14" x14ac:dyDescent="0.25">
      <c r="A1787">
        <v>1649.974561</v>
      </c>
      <c r="B1787" s="1">
        <f>DATE(2014,11,5) + TIME(23,23,22)</f>
        <v>41948.974560185183</v>
      </c>
      <c r="C1787">
        <v>0</v>
      </c>
      <c r="D1787">
        <v>2400</v>
      </c>
      <c r="E1787">
        <v>2400</v>
      </c>
      <c r="F1787">
        <v>0</v>
      </c>
      <c r="G1787">
        <v>1324.0523682</v>
      </c>
      <c r="H1787">
        <v>1319.0839844</v>
      </c>
      <c r="I1787">
        <v>1365.1589355000001</v>
      </c>
      <c r="J1787">
        <v>1354.2639160000001</v>
      </c>
      <c r="K1787">
        <v>80</v>
      </c>
      <c r="L1787">
        <v>79.484214782999999</v>
      </c>
      <c r="M1787">
        <v>50</v>
      </c>
      <c r="N1787">
        <v>50.056373596</v>
      </c>
    </row>
    <row r="1788" spans="1:14" x14ac:dyDescent="0.25">
      <c r="A1788">
        <v>1650.4510029999999</v>
      </c>
      <c r="B1788" s="1">
        <f>DATE(2014,11,6) + TIME(10,49,26)</f>
        <v>41949.450995370367</v>
      </c>
      <c r="C1788">
        <v>0</v>
      </c>
      <c r="D1788">
        <v>2400</v>
      </c>
      <c r="E1788">
        <v>2400</v>
      </c>
      <c r="F1788">
        <v>0</v>
      </c>
      <c r="G1788">
        <v>1324.0361327999999</v>
      </c>
      <c r="H1788">
        <v>1319.0649414</v>
      </c>
      <c r="I1788">
        <v>1365.1254882999999</v>
      </c>
      <c r="J1788">
        <v>1354.2390137</v>
      </c>
      <c r="K1788">
        <v>80</v>
      </c>
      <c r="L1788">
        <v>79.446502686000002</v>
      </c>
      <c r="M1788">
        <v>50</v>
      </c>
      <c r="N1788">
        <v>50.033527374000002</v>
      </c>
    </row>
    <row r="1789" spans="1:14" x14ac:dyDescent="0.25">
      <c r="A1789">
        <v>1650.9457239999999</v>
      </c>
      <c r="B1789" s="1">
        <f>DATE(2014,11,6) + TIME(22,41,50)</f>
        <v>41949.945717592593</v>
      </c>
      <c r="C1789">
        <v>0</v>
      </c>
      <c r="D1789">
        <v>2400</v>
      </c>
      <c r="E1789">
        <v>2400</v>
      </c>
      <c r="F1789">
        <v>0</v>
      </c>
      <c r="G1789">
        <v>1324.0192870999999</v>
      </c>
      <c r="H1789">
        <v>1319.0449219</v>
      </c>
      <c r="I1789">
        <v>1365.0948486</v>
      </c>
      <c r="J1789">
        <v>1354.2164307</v>
      </c>
      <c r="K1789">
        <v>80</v>
      </c>
      <c r="L1789">
        <v>79.407745360999996</v>
      </c>
      <c r="M1789">
        <v>50</v>
      </c>
      <c r="N1789">
        <v>50.015739441000001</v>
      </c>
    </row>
    <row r="1790" spans="1:14" x14ac:dyDescent="0.25">
      <c r="A1790">
        <v>1651.4633349999999</v>
      </c>
      <c r="B1790" s="1">
        <f>DATE(2014,11,7) + TIME(11,7,12)</f>
        <v>41950.463333333333</v>
      </c>
      <c r="C1790">
        <v>0</v>
      </c>
      <c r="D1790">
        <v>2400</v>
      </c>
      <c r="E1790">
        <v>2400</v>
      </c>
      <c r="F1790">
        <v>0</v>
      </c>
      <c r="G1790">
        <v>1324.0015868999999</v>
      </c>
      <c r="H1790">
        <v>1319.0236815999999</v>
      </c>
      <c r="I1790">
        <v>1365.0665283000001</v>
      </c>
      <c r="J1790">
        <v>1354.1958007999999</v>
      </c>
      <c r="K1790">
        <v>80</v>
      </c>
      <c r="L1790">
        <v>79.367660521999994</v>
      </c>
      <c r="M1790">
        <v>50</v>
      </c>
      <c r="N1790">
        <v>50.001930237000003</v>
      </c>
    </row>
    <row r="1791" spans="1:14" x14ac:dyDescent="0.25">
      <c r="A1791">
        <v>1652.009043</v>
      </c>
      <c r="B1791" s="1">
        <f>DATE(2014,11,8) + TIME(0,13,1)</f>
        <v>41951.009039351855</v>
      </c>
      <c r="C1791">
        <v>0</v>
      </c>
      <c r="D1791">
        <v>2400</v>
      </c>
      <c r="E1791">
        <v>2400</v>
      </c>
      <c r="F1791">
        <v>0</v>
      </c>
      <c r="G1791">
        <v>1323.9829102000001</v>
      </c>
      <c r="H1791">
        <v>1319.0010986</v>
      </c>
      <c r="I1791">
        <v>1365.0397949000001</v>
      </c>
      <c r="J1791">
        <v>1354.1765137</v>
      </c>
      <c r="K1791">
        <v>80</v>
      </c>
      <c r="L1791">
        <v>79.325935364000003</v>
      </c>
      <c r="M1791">
        <v>50</v>
      </c>
      <c r="N1791">
        <v>49.991260529000002</v>
      </c>
    </row>
    <row r="1792" spans="1:14" x14ac:dyDescent="0.25">
      <c r="A1792">
        <v>1652.5783220000001</v>
      </c>
      <c r="B1792" s="1">
        <f>DATE(2014,11,8) + TIME(13,52,46)</f>
        <v>41951.578310185185</v>
      </c>
      <c r="C1792">
        <v>0</v>
      </c>
      <c r="D1792">
        <v>2400</v>
      </c>
      <c r="E1792">
        <v>2400</v>
      </c>
      <c r="F1792">
        <v>0</v>
      </c>
      <c r="G1792">
        <v>1323.9630127</v>
      </c>
      <c r="H1792">
        <v>1318.9770507999999</v>
      </c>
      <c r="I1792">
        <v>1365.0146483999999</v>
      </c>
      <c r="J1792">
        <v>1354.1585693</v>
      </c>
      <c r="K1792">
        <v>80</v>
      </c>
      <c r="L1792">
        <v>79.282844542999996</v>
      </c>
      <c r="M1792">
        <v>50</v>
      </c>
      <c r="N1792">
        <v>49.983188628999997</v>
      </c>
    </row>
    <row r="1793" spans="1:14" x14ac:dyDescent="0.25">
      <c r="A1793">
        <v>1653.165213</v>
      </c>
      <c r="B1793" s="1">
        <f>DATE(2014,11,9) + TIME(3,57,54)</f>
        <v>41952.165208333332</v>
      </c>
      <c r="C1793">
        <v>0</v>
      </c>
      <c r="D1793">
        <v>2400</v>
      </c>
      <c r="E1793">
        <v>2400</v>
      </c>
      <c r="F1793">
        <v>0</v>
      </c>
      <c r="G1793">
        <v>1323.9421387</v>
      </c>
      <c r="H1793">
        <v>1318.9514160000001</v>
      </c>
      <c r="I1793">
        <v>1364.9910889</v>
      </c>
      <c r="J1793">
        <v>1354.1417236</v>
      </c>
      <c r="K1793">
        <v>80</v>
      </c>
      <c r="L1793">
        <v>79.238746642999999</v>
      </c>
      <c r="M1793">
        <v>50</v>
      </c>
      <c r="N1793">
        <v>49.977195739999999</v>
      </c>
    </row>
    <row r="1794" spans="1:14" x14ac:dyDescent="0.25">
      <c r="A1794">
        <v>1653.7709769999999</v>
      </c>
      <c r="B1794" s="1">
        <f>DATE(2014,11,9) + TIME(18,30,12)</f>
        <v>41952.770972222221</v>
      </c>
      <c r="C1794">
        <v>0</v>
      </c>
      <c r="D1794">
        <v>2400</v>
      </c>
      <c r="E1794">
        <v>2400</v>
      </c>
      <c r="F1794">
        <v>0</v>
      </c>
      <c r="G1794">
        <v>1323.9202881000001</v>
      </c>
      <c r="H1794">
        <v>1318.9246826000001</v>
      </c>
      <c r="I1794">
        <v>1364.96875</v>
      </c>
      <c r="J1794">
        <v>1354.1258545000001</v>
      </c>
      <c r="K1794">
        <v>80</v>
      </c>
      <c r="L1794">
        <v>79.193603515999996</v>
      </c>
      <c r="M1794">
        <v>50</v>
      </c>
      <c r="N1794">
        <v>49.972774506</v>
      </c>
    </row>
    <row r="1795" spans="1:14" x14ac:dyDescent="0.25">
      <c r="A1795">
        <v>1654.3893720000001</v>
      </c>
      <c r="B1795" s="1">
        <f>DATE(2014,11,10) + TIME(9,20,41)</f>
        <v>41953.389363425929</v>
      </c>
      <c r="C1795">
        <v>0</v>
      </c>
      <c r="D1795">
        <v>2400</v>
      </c>
      <c r="E1795">
        <v>2400</v>
      </c>
      <c r="F1795">
        <v>0</v>
      </c>
      <c r="G1795">
        <v>1323.8974608999999</v>
      </c>
      <c r="H1795">
        <v>1318.8964844</v>
      </c>
      <c r="I1795">
        <v>1364.9476318</v>
      </c>
      <c r="J1795">
        <v>1354.1108397999999</v>
      </c>
      <c r="K1795">
        <v>80</v>
      </c>
      <c r="L1795">
        <v>79.147789001000007</v>
      </c>
      <c r="M1795">
        <v>50</v>
      </c>
      <c r="N1795">
        <v>49.969562531000001</v>
      </c>
    </row>
    <row r="1796" spans="1:14" x14ac:dyDescent="0.25">
      <c r="A1796">
        <v>1655.0158389999999</v>
      </c>
      <c r="B1796" s="1">
        <f>DATE(2014,11,11) + TIME(0,22,48)</f>
        <v>41954.015833333331</v>
      </c>
      <c r="C1796">
        <v>0</v>
      </c>
      <c r="D1796">
        <v>2400</v>
      </c>
      <c r="E1796">
        <v>2400</v>
      </c>
      <c r="F1796">
        <v>0</v>
      </c>
      <c r="G1796">
        <v>1323.8739014</v>
      </c>
      <c r="H1796">
        <v>1318.8673096</v>
      </c>
      <c r="I1796">
        <v>1364.9277344</v>
      </c>
      <c r="J1796">
        <v>1354.0966797000001</v>
      </c>
      <c r="K1796">
        <v>80</v>
      </c>
      <c r="L1796">
        <v>79.101593018000003</v>
      </c>
      <c r="M1796">
        <v>50</v>
      </c>
      <c r="N1796">
        <v>49.967250823999997</v>
      </c>
    </row>
    <row r="1797" spans="1:14" x14ac:dyDescent="0.25">
      <c r="A1797">
        <v>1655.651717</v>
      </c>
      <c r="B1797" s="1">
        <f>DATE(2014,11,11) + TIME(15,38,28)</f>
        <v>41954.651712962965</v>
      </c>
      <c r="C1797">
        <v>0</v>
      </c>
      <c r="D1797">
        <v>2400</v>
      </c>
      <c r="E1797">
        <v>2400</v>
      </c>
      <c r="F1797">
        <v>0</v>
      </c>
      <c r="G1797">
        <v>1323.8496094</v>
      </c>
      <c r="H1797">
        <v>1318.8372803</v>
      </c>
      <c r="I1797">
        <v>1364.9090576000001</v>
      </c>
      <c r="J1797">
        <v>1354.0832519999999</v>
      </c>
      <c r="K1797">
        <v>80</v>
      </c>
      <c r="L1797">
        <v>79.054985045999999</v>
      </c>
      <c r="M1797">
        <v>50</v>
      </c>
      <c r="N1797">
        <v>49.965583801000001</v>
      </c>
    </row>
    <row r="1798" spans="1:14" x14ac:dyDescent="0.25">
      <c r="A1798">
        <v>1656.298356</v>
      </c>
      <c r="B1798" s="1">
        <f>DATE(2014,11,12) + TIME(7,9,37)</f>
        <v>41955.298344907409</v>
      </c>
      <c r="C1798">
        <v>0</v>
      </c>
      <c r="D1798">
        <v>2400</v>
      </c>
      <c r="E1798">
        <v>2400</v>
      </c>
      <c r="F1798">
        <v>0</v>
      </c>
      <c r="G1798">
        <v>1323.8248291</v>
      </c>
      <c r="H1798">
        <v>1318.8061522999999</v>
      </c>
      <c r="I1798">
        <v>1364.8912353999999</v>
      </c>
      <c r="J1798">
        <v>1354.0704346</v>
      </c>
      <c r="K1798">
        <v>80</v>
      </c>
      <c r="L1798">
        <v>79.007934570000003</v>
      </c>
      <c r="M1798">
        <v>50</v>
      </c>
      <c r="N1798">
        <v>49.964389801000003</v>
      </c>
    </row>
    <row r="1799" spans="1:14" x14ac:dyDescent="0.25">
      <c r="A1799">
        <v>1656.9570670000001</v>
      </c>
      <c r="B1799" s="1">
        <f>DATE(2014,11,12) + TIME(22,58,10)</f>
        <v>41955.957060185188</v>
      </c>
      <c r="C1799">
        <v>0</v>
      </c>
      <c r="D1799">
        <v>2400</v>
      </c>
      <c r="E1799">
        <v>2400</v>
      </c>
      <c r="F1799">
        <v>0</v>
      </c>
      <c r="G1799">
        <v>1323.7991943</v>
      </c>
      <c r="H1799">
        <v>1318.7741699000001</v>
      </c>
      <c r="I1799">
        <v>1364.8742675999999</v>
      </c>
      <c r="J1799">
        <v>1354.0582274999999</v>
      </c>
      <c r="K1799">
        <v>80</v>
      </c>
      <c r="L1799">
        <v>78.960380553999997</v>
      </c>
      <c r="M1799">
        <v>50</v>
      </c>
      <c r="N1799">
        <v>49.963527679000002</v>
      </c>
    </row>
    <row r="1800" spans="1:14" x14ac:dyDescent="0.25">
      <c r="A1800">
        <v>1657.629138</v>
      </c>
      <c r="B1800" s="1">
        <f>DATE(2014,11,13) + TIME(15,5,57)</f>
        <v>41956.629131944443</v>
      </c>
      <c r="C1800">
        <v>0</v>
      </c>
      <c r="D1800">
        <v>2400</v>
      </c>
      <c r="E1800">
        <v>2400</v>
      </c>
      <c r="F1800">
        <v>0</v>
      </c>
      <c r="G1800">
        <v>1323.7728271000001</v>
      </c>
      <c r="H1800">
        <v>1318.7409668</v>
      </c>
      <c r="I1800">
        <v>1364.8579102000001</v>
      </c>
      <c r="J1800">
        <v>1354.0463867000001</v>
      </c>
      <c r="K1800">
        <v>80</v>
      </c>
      <c r="L1800">
        <v>78.912269592000001</v>
      </c>
      <c r="M1800">
        <v>50</v>
      </c>
      <c r="N1800">
        <v>49.962909697999997</v>
      </c>
    </row>
    <row r="1801" spans="1:14" x14ac:dyDescent="0.25">
      <c r="A1801">
        <v>1658.315398</v>
      </c>
      <c r="B1801" s="1">
        <f>DATE(2014,11,14) + TIME(7,34,10)</f>
        <v>41957.315393518518</v>
      </c>
      <c r="C1801">
        <v>0</v>
      </c>
      <c r="D1801">
        <v>2400</v>
      </c>
      <c r="E1801">
        <v>2400</v>
      </c>
      <c r="F1801">
        <v>0</v>
      </c>
      <c r="G1801">
        <v>1323.7456055</v>
      </c>
      <c r="H1801">
        <v>1318.7066649999999</v>
      </c>
      <c r="I1801">
        <v>1364.8422852000001</v>
      </c>
      <c r="J1801">
        <v>1354.0347899999999</v>
      </c>
      <c r="K1801">
        <v>80</v>
      </c>
      <c r="L1801">
        <v>78.863578795999999</v>
      </c>
      <c r="M1801">
        <v>50</v>
      </c>
      <c r="N1801">
        <v>49.962467193999998</v>
      </c>
    </row>
    <row r="1802" spans="1:14" x14ac:dyDescent="0.25">
      <c r="A1802">
        <v>1659.0175469999999</v>
      </c>
      <c r="B1802" s="1">
        <f>DATE(2014,11,15) + TIME(0,25,16)</f>
        <v>41958.017546296294</v>
      </c>
      <c r="C1802">
        <v>0</v>
      </c>
      <c r="D1802">
        <v>2400</v>
      </c>
      <c r="E1802">
        <v>2400</v>
      </c>
      <c r="F1802">
        <v>0</v>
      </c>
      <c r="G1802">
        <v>1323.7174072</v>
      </c>
      <c r="H1802">
        <v>1318.6711425999999</v>
      </c>
      <c r="I1802">
        <v>1364.8271483999999</v>
      </c>
      <c r="J1802">
        <v>1354.0236815999999</v>
      </c>
      <c r="K1802">
        <v>80</v>
      </c>
      <c r="L1802">
        <v>78.814216614000003</v>
      </c>
      <c r="M1802">
        <v>50</v>
      </c>
      <c r="N1802">
        <v>49.962154388000002</v>
      </c>
    </row>
    <row r="1803" spans="1:14" x14ac:dyDescent="0.25">
      <c r="A1803">
        <v>1659.7369369999999</v>
      </c>
      <c r="B1803" s="1">
        <f>DATE(2014,11,15) + TIME(17,41,11)</f>
        <v>41958.736932870372</v>
      </c>
      <c r="C1803">
        <v>0</v>
      </c>
      <c r="D1803">
        <v>2400</v>
      </c>
      <c r="E1803">
        <v>2400</v>
      </c>
      <c r="F1803">
        <v>0</v>
      </c>
      <c r="G1803">
        <v>1323.6883545000001</v>
      </c>
      <c r="H1803">
        <v>1318.6342772999999</v>
      </c>
      <c r="I1803">
        <v>1364.8123779</v>
      </c>
      <c r="J1803">
        <v>1354.0126952999999</v>
      </c>
      <c r="K1803">
        <v>80</v>
      </c>
      <c r="L1803">
        <v>78.764114379999995</v>
      </c>
      <c r="M1803">
        <v>50</v>
      </c>
      <c r="N1803">
        <v>49.961929321</v>
      </c>
    </row>
    <row r="1804" spans="1:14" x14ac:dyDescent="0.25">
      <c r="A1804">
        <v>1660.474948</v>
      </c>
      <c r="B1804" s="1">
        <f>DATE(2014,11,16) + TIME(11,23,55)</f>
        <v>41959.474942129629</v>
      </c>
      <c r="C1804">
        <v>0</v>
      </c>
      <c r="D1804">
        <v>2400</v>
      </c>
      <c r="E1804">
        <v>2400</v>
      </c>
      <c r="F1804">
        <v>0</v>
      </c>
      <c r="G1804">
        <v>1323.6582031</v>
      </c>
      <c r="H1804">
        <v>1318.5959473</v>
      </c>
      <c r="I1804">
        <v>1364.7980957</v>
      </c>
      <c r="J1804">
        <v>1354.0019531</v>
      </c>
      <c r="K1804">
        <v>80</v>
      </c>
      <c r="L1804">
        <v>78.713218689000001</v>
      </c>
      <c r="M1804">
        <v>50</v>
      </c>
      <c r="N1804">
        <v>49.961769103999998</v>
      </c>
    </row>
    <row r="1805" spans="1:14" x14ac:dyDescent="0.25">
      <c r="A1805">
        <v>1661.233021</v>
      </c>
      <c r="B1805" s="1">
        <f>DATE(2014,11,17) + TIME(5,35,33)</f>
        <v>41960.233020833337</v>
      </c>
      <c r="C1805">
        <v>0</v>
      </c>
      <c r="D1805">
        <v>2400</v>
      </c>
      <c r="E1805">
        <v>2400</v>
      </c>
      <c r="F1805">
        <v>0</v>
      </c>
      <c r="G1805">
        <v>1323.6269531</v>
      </c>
      <c r="H1805">
        <v>1318.5561522999999</v>
      </c>
      <c r="I1805">
        <v>1364.7841797000001</v>
      </c>
      <c r="J1805">
        <v>1353.9913329999999</v>
      </c>
      <c r="K1805">
        <v>80</v>
      </c>
      <c r="L1805">
        <v>78.661453246999997</v>
      </c>
      <c r="M1805">
        <v>50</v>
      </c>
      <c r="N1805">
        <v>49.961654662999997</v>
      </c>
    </row>
    <row r="1806" spans="1:14" x14ac:dyDescent="0.25">
      <c r="A1806">
        <v>1662.0126809999999</v>
      </c>
      <c r="B1806" s="1">
        <f>DATE(2014,11,18) + TIME(0,18,15)</f>
        <v>41961.012673611112</v>
      </c>
      <c r="C1806">
        <v>0</v>
      </c>
      <c r="D1806">
        <v>2400</v>
      </c>
      <c r="E1806">
        <v>2400</v>
      </c>
      <c r="F1806">
        <v>0</v>
      </c>
      <c r="G1806">
        <v>1323.5946045000001</v>
      </c>
      <c r="H1806">
        <v>1318.5147704999999</v>
      </c>
      <c r="I1806">
        <v>1364.7705077999999</v>
      </c>
      <c r="J1806">
        <v>1353.980957</v>
      </c>
      <c r="K1806">
        <v>80</v>
      </c>
      <c r="L1806">
        <v>78.608734131000006</v>
      </c>
      <c r="M1806">
        <v>50</v>
      </c>
      <c r="N1806">
        <v>49.961574554000002</v>
      </c>
    </row>
    <row r="1807" spans="1:14" x14ac:dyDescent="0.25">
      <c r="A1807">
        <v>1662.815533</v>
      </c>
      <c r="B1807" s="1">
        <f>DATE(2014,11,18) + TIME(19,34,22)</f>
        <v>41961.815532407411</v>
      </c>
      <c r="C1807">
        <v>0</v>
      </c>
      <c r="D1807">
        <v>2400</v>
      </c>
      <c r="E1807">
        <v>2400</v>
      </c>
      <c r="F1807">
        <v>0</v>
      </c>
      <c r="G1807">
        <v>1323.5609131000001</v>
      </c>
      <c r="H1807">
        <v>1318.4716797000001</v>
      </c>
      <c r="I1807">
        <v>1364.7570800999999</v>
      </c>
      <c r="J1807">
        <v>1353.9705810999999</v>
      </c>
      <c r="K1807">
        <v>80</v>
      </c>
      <c r="L1807">
        <v>78.555000304999993</v>
      </c>
      <c r="M1807">
        <v>50</v>
      </c>
      <c r="N1807">
        <v>49.961521148999999</v>
      </c>
    </row>
    <row r="1808" spans="1:14" x14ac:dyDescent="0.25">
      <c r="A1808">
        <v>1663.6432769999999</v>
      </c>
      <c r="B1808" s="1">
        <f>DATE(2014,11,19) + TIME(15,26,19)</f>
        <v>41962.643275462964</v>
      </c>
      <c r="C1808">
        <v>0</v>
      </c>
      <c r="D1808">
        <v>2400</v>
      </c>
      <c r="E1808">
        <v>2400</v>
      </c>
      <c r="F1808">
        <v>0</v>
      </c>
      <c r="G1808">
        <v>1323.5257568</v>
      </c>
      <c r="H1808">
        <v>1318.4266356999999</v>
      </c>
      <c r="I1808">
        <v>1364.7440185999999</v>
      </c>
      <c r="J1808">
        <v>1353.9603271000001</v>
      </c>
      <c r="K1808">
        <v>80</v>
      </c>
      <c r="L1808">
        <v>78.500160217000001</v>
      </c>
      <c r="M1808">
        <v>50</v>
      </c>
      <c r="N1808">
        <v>49.961483002000001</v>
      </c>
    </row>
    <row r="1809" spans="1:14" x14ac:dyDescent="0.25">
      <c r="A1809">
        <v>1664.4977280000001</v>
      </c>
      <c r="B1809" s="1">
        <f>DATE(2014,11,20) + TIME(11,56,43)</f>
        <v>41963.497719907406</v>
      </c>
      <c r="C1809">
        <v>0</v>
      </c>
      <c r="D1809">
        <v>2400</v>
      </c>
      <c r="E1809">
        <v>2400</v>
      </c>
      <c r="F1809">
        <v>0</v>
      </c>
      <c r="G1809">
        <v>1323.4892577999999</v>
      </c>
      <c r="H1809">
        <v>1318.3797606999999</v>
      </c>
      <c r="I1809">
        <v>1364.7310791</v>
      </c>
      <c r="J1809">
        <v>1353.9501952999999</v>
      </c>
      <c r="K1809">
        <v>80</v>
      </c>
      <c r="L1809">
        <v>78.444137573000006</v>
      </c>
      <c r="M1809">
        <v>50</v>
      </c>
      <c r="N1809">
        <v>49.961460113999998</v>
      </c>
    </row>
    <row r="1810" spans="1:14" x14ac:dyDescent="0.25">
      <c r="A1810">
        <v>1665.3808289999999</v>
      </c>
      <c r="B1810" s="1">
        <f>DATE(2014,11,21) + TIME(9,8,23)</f>
        <v>41964.38082175926</v>
      </c>
      <c r="C1810">
        <v>0</v>
      </c>
      <c r="D1810">
        <v>2400</v>
      </c>
      <c r="E1810">
        <v>2400</v>
      </c>
      <c r="F1810">
        <v>0</v>
      </c>
      <c r="G1810">
        <v>1323.4511719</v>
      </c>
      <c r="H1810">
        <v>1318.3306885</v>
      </c>
      <c r="I1810">
        <v>1364.7182617000001</v>
      </c>
      <c r="J1810">
        <v>1353.9400635</v>
      </c>
      <c r="K1810">
        <v>80</v>
      </c>
      <c r="L1810">
        <v>78.386833190999994</v>
      </c>
      <c r="M1810">
        <v>50</v>
      </c>
      <c r="N1810">
        <v>49.961444855000003</v>
      </c>
    </row>
    <row r="1811" spans="1:14" x14ac:dyDescent="0.25">
      <c r="A1811">
        <v>1666.294406</v>
      </c>
      <c r="B1811" s="1">
        <f>DATE(2014,11,22) + TIME(7,3,56)</f>
        <v>41965.294398148151</v>
      </c>
      <c r="C1811">
        <v>0</v>
      </c>
      <c r="D1811">
        <v>2400</v>
      </c>
      <c r="E1811">
        <v>2400</v>
      </c>
      <c r="F1811">
        <v>0</v>
      </c>
      <c r="G1811">
        <v>1323.4113769999999</v>
      </c>
      <c r="H1811">
        <v>1318.2794189000001</v>
      </c>
      <c r="I1811">
        <v>1364.7058105000001</v>
      </c>
      <c r="J1811">
        <v>1353.9299315999999</v>
      </c>
      <c r="K1811">
        <v>80</v>
      </c>
      <c r="L1811">
        <v>78.328178406000006</v>
      </c>
      <c r="M1811">
        <v>50</v>
      </c>
      <c r="N1811">
        <v>49.961437224999997</v>
      </c>
    </row>
    <row r="1812" spans="1:14" x14ac:dyDescent="0.25">
      <c r="A1812">
        <v>1667.240861</v>
      </c>
      <c r="B1812" s="1">
        <f>DATE(2014,11,23) + TIME(5,46,50)</f>
        <v>41966.240856481483</v>
      </c>
      <c r="C1812">
        <v>0</v>
      </c>
      <c r="D1812">
        <v>2400</v>
      </c>
      <c r="E1812">
        <v>2400</v>
      </c>
      <c r="F1812">
        <v>0</v>
      </c>
      <c r="G1812">
        <v>1323.369751</v>
      </c>
      <c r="H1812">
        <v>1318.2258300999999</v>
      </c>
      <c r="I1812">
        <v>1364.6933594</v>
      </c>
      <c r="J1812">
        <v>1353.9197998</v>
      </c>
      <c r="K1812">
        <v>80</v>
      </c>
      <c r="L1812">
        <v>78.268058776999993</v>
      </c>
      <c r="M1812">
        <v>50</v>
      </c>
      <c r="N1812">
        <v>49.961437224999997</v>
      </c>
    </row>
    <row r="1813" spans="1:14" x14ac:dyDescent="0.25">
      <c r="A1813">
        <v>1668.21396</v>
      </c>
      <c r="B1813" s="1">
        <f>DATE(2014,11,24) + TIME(5,8,6)</f>
        <v>41967.213958333334</v>
      </c>
      <c r="C1813">
        <v>0</v>
      </c>
      <c r="D1813">
        <v>2400</v>
      </c>
      <c r="E1813">
        <v>2400</v>
      </c>
      <c r="F1813">
        <v>0</v>
      </c>
      <c r="G1813">
        <v>1323.3262939000001</v>
      </c>
      <c r="H1813">
        <v>1318.1695557</v>
      </c>
      <c r="I1813">
        <v>1364.6810303</v>
      </c>
      <c r="J1813">
        <v>1353.909668</v>
      </c>
      <c r="K1813">
        <v>80</v>
      </c>
      <c r="L1813">
        <v>78.206741332999997</v>
      </c>
      <c r="M1813">
        <v>50</v>
      </c>
      <c r="N1813">
        <v>49.961441039999997</v>
      </c>
    </row>
    <row r="1814" spans="1:14" x14ac:dyDescent="0.25">
      <c r="A1814">
        <v>1669.2055330000001</v>
      </c>
      <c r="B1814" s="1">
        <f>DATE(2014,11,25) + TIME(4,55,58)</f>
        <v>41968.20553240741</v>
      </c>
      <c r="C1814">
        <v>0</v>
      </c>
      <c r="D1814">
        <v>2400</v>
      </c>
      <c r="E1814">
        <v>2400</v>
      </c>
      <c r="F1814">
        <v>0</v>
      </c>
      <c r="G1814">
        <v>1323.2811279</v>
      </c>
      <c r="H1814">
        <v>1318.1110839999999</v>
      </c>
      <c r="I1814">
        <v>1364.6690673999999</v>
      </c>
      <c r="J1814">
        <v>1353.8996582</v>
      </c>
      <c r="K1814">
        <v>80</v>
      </c>
      <c r="L1814">
        <v>78.144615173000005</v>
      </c>
      <c r="M1814">
        <v>50</v>
      </c>
      <c r="N1814">
        <v>49.961444855000003</v>
      </c>
    </row>
    <row r="1815" spans="1:14" x14ac:dyDescent="0.25">
      <c r="A1815">
        <v>1670.217508</v>
      </c>
      <c r="B1815" s="1">
        <f>DATE(2014,11,26) + TIME(5,13,12)</f>
        <v>41969.217499999999</v>
      </c>
      <c r="C1815">
        <v>0</v>
      </c>
      <c r="D1815">
        <v>2400</v>
      </c>
      <c r="E1815">
        <v>2400</v>
      </c>
      <c r="F1815">
        <v>0</v>
      </c>
      <c r="G1815">
        <v>1323.2346190999999</v>
      </c>
      <c r="H1815">
        <v>1318.0507812000001</v>
      </c>
      <c r="I1815">
        <v>1364.6572266000001</v>
      </c>
      <c r="J1815">
        <v>1353.8897704999999</v>
      </c>
      <c r="K1815">
        <v>80</v>
      </c>
      <c r="L1815">
        <v>78.081680297999995</v>
      </c>
      <c r="M1815">
        <v>50</v>
      </c>
      <c r="N1815">
        <v>49.961452483999999</v>
      </c>
    </row>
    <row r="1816" spans="1:14" x14ac:dyDescent="0.25">
      <c r="A1816">
        <v>1671.2517270000001</v>
      </c>
      <c r="B1816" s="1">
        <f>DATE(2014,11,27) + TIME(6,2,29)</f>
        <v>41970.25172453704</v>
      </c>
      <c r="C1816">
        <v>0</v>
      </c>
      <c r="D1816">
        <v>2400</v>
      </c>
      <c r="E1816">
        <v>2400</v>
      </c>
      <c r="F1816">
        <v>0</v>
      </c>
      <c r="G1816">
        <v>1323.1866454999999</v>
      </c>
      <c r="H1816">
        <v>1317.9884033000001</v>
      </c>
      <c r="I1816">
        <v>1364.645874</v>
      </c>
      <c r="J1816">
        <v>1353.8798827999999</v>
      </c>
      <c r="K1816">
        <v>80</v>
      </c>
      <c r="L1816">
        <v>78.017913817999997</v>
      </c>
      <c r="M1816">
        <v>50</v>
      </c>
      <c r="N1816">
        <v>49.961463928000001</v>
      </c>
    </row>
    <row r="1817" spans="1:14" x14ac:dyDescent="0.25">
      <c r="A1817">
        <v>1672.310097</v>
      </c>
      <c r="B1817" s="1">
        <f>DATE(2014,11,28) + TIME(7,26,32)</f>
        <v>41971.31009259259</v>
      </c>
      <c r="C1817">
        <v>0</v>
      </c>
      <c r="D1817">
        <v>2400</v>
      </c>
      <c r="E1817">
        <v>2400</v>
      </c>
      <c r="F1817">
        <v>0</v>
      </c>
      <c r="G1817">
        <v>1323.137207</v>
      </c>
      <c r="H1817">
        <v>1317.9239502</v>
      </c>
      <c r="I1817">
        <v>1364.6346435999999</v>
      </c>
      <c r="J1817">
        <v>1353.8702393000001</v>
      </c>
      <c r="K1817">
        <v>80</v>
      </c>
      <c r="L1817">
        <v>77.953285217000001</v>
      </c>
      <c r="M1817">
        <v>50</v>
      </c>
      <c r="N1817">
        <v>49.961475372000002</v>
      </c>
    </row>
    <row r="1818" spans="1:14" x14ac:dyDescent="0.25">
      <c r="A1818">
        <v>1673.3945659999999</v>
      </c>
      <c r="B1818" s="1">
        <f>DATE(2014,11,29) + TIME(9,28,10)</f>
        <v>41972.394560185188</v>
      </c>
      <c r="C1818">
        <v>0</v>
      </c>
      <c r="D1818">
        <v>2400</v>
      </c>
      <c r="E1818">
        <v>2400</v>
      </c>
      <c r="F1818">
        <v>0</v>
      </c>
      <c r="G1818">
        <v>1323.0860596</v>
      </c>
      <c r="H1818">
        <v>1317.8572998</v>
      </c>
      <c r="I1818">
        <v>1364.6236572</v>
      </c>
      <c r="J1818">
        <v>1353.8605957</v>
      </c>
      <c r="K1818">
        <v>80</v>
      </c>
      <c r="L1818">
        <v>77.887725829999994</v>
      </c>
      <c r="M1818">
        <v>50</v>
      </c>
      <c r="N1818">
        <v>49.961490630999997</v>
      </c>
    </row>
    <row r="1819" spans="1:14" x14ac:dyDescent="0.25">
      <c r="A1819">
        <v>1674.5072070000001</v>
      </c>
      <c r="B1819" s="1">
        <f>DATE(2014,11,30) + TIME(12,10,22)</f>
        <v>41973.507199074076</v>
      </c>
      <c r="C1819">
        <v>0</v>
      </c>
      <c r="D1819">
        <v>2400</v>
      </c>
      <c r="E1819">
        <v>2400</v>
      </c>
      <c r="F1819">
        <v>0</v>
      </c>
      <c r="G1819">
        <v>1323.0330810999999</v>
      </c>
      <c r="H1819">
        <v>1317.7882079999999</v>
      </c>
      <c r="I1819">
        <v>1364.6129149999999</v>
      </c>
      <c r="J1819">
        <v>1353.8510742000001</v>
      </c>
      <c r="K1819">
        <v>80</v>
      </c>
      <c r="L1819">
        <v>77.821166992000002</v>
      </c>
      <c r="M1819">
        <v>50</v>
      </c>
      <c r="N1819">
        <v>49.961505889999998</v>
      </c>
    </row>
    <row r="1820" spans="1:14" x14ac:dyDescent="0.25">
      <c r="A1820">
        <v>1675</v>
      </c>
      <c r="B1820" s="1">
        <f>DATE(2014,12,1) + TIME(0,0,0)</f>
        <v>41974</v>
      </c>
      <c r="C1820">
        <v>0</v>
      </c>
      <c r="D1820">
        <v>2400</v>
      </c>
      <c r="E1820">
        <v>2400</v>
      </c>
      <c r="F1820">
        <v>0</v>
      </c>
      <c r="G1820">
        <v>1322.9820557</v>
      </c>
      <c r="H1820">
        <v>1317.7235106999999</v>
      </c>
      <c r="I1820">
        <v>1364.6019286999999</v>
      </c>
      <c r="J1820">
        <v>1353.8414307</v>
      </c>
      <c r="K1820">
        <v>80</v>
      </c>
      <c r="L1820">
        <v>77.784416199000006</v>
      </c>
      <c r="M1820">
        <v>50</v>
      </c>
      <c r="N1820">
        <v>49.961509704999997</v>
      </c>
    </row>
    <row r="1821" spans="1:14" x14ac:dyDescent="0.25">
      <c r="A1821">
        <v>1676.142977</v>
      </c>
      <c r="B1821" s="1">
        <f>DATE(2014,12,2) + TIME(3,25,53)</f>
        <v>41975.142974537041</v>
      </c>
      <c r="C1821">
        <v>0</v>
      </c>
      <c r="D1821">
        <v>2400</v>
      </c>
      <c r="E1821">
        <v>2400</v>
      </c>
      <c r="F1821">
        <v>0</v>
      </c>
      <c r="G1821">
        <v>1322.9516602000001</v>
      </c>
      <c r="H1821">
        <v>1317.6812743999999</v>
      </c>
      <c r="I1821">
        <v>1364.5979004000001</v>
      </c>
      <c r="J1821">
        <v>1353.8374022999999</v>
      </c>
      <c r="K1821">
        <v>80</v>
      </c>
      <c r="L1821">
        <v>77.719558715999995</v>
      </c>
      <c r="M1821">
        <v>50</v>
      </c>
      <c r="N1821">
        <v>49.961528778000002</v>
      </c>
    </row>
    <row r="1822" spans="1:14" x14ac:dyDescent="0.25">
      <c r="A1822">
        <v>1677.3339639999999</v>
      </c>
      <c r="B1822" s="1">
        <f>DATE(2014,12,3) + TIME(8,0,54)</f>
        <v>41976.333958333336</v>
      </c>
      <c r="C1822">
        <v>0</v>
      </c>
      <c r="D1822">
        <v>2400</v>
      </c>
      <c r="E1822">
        <v>2400</v>
      </c>
      <c r="F1822">
        <v>0</v>
      </c>
      <c r="G1822">
        <v>1322.8956298999999</v>
      </c>
      <c r="H1822">
        <v>1317.6080322</v>
      </c>
      <c r="I1822">
        <v>1364.5877685999999</v>
      </c>
      <c r="J1822">
        <v>1353.828125</v>
      </c>
      <c r="K1822">
        <v>80</v>
      </c>
      <c r="L1822">
        <v>77.652114867999998</v>
      </c>
      <c r="M1822">
        <v>50</v>
      </c>
      <c r="N1822">
        <v>49.961547852000002</v>
      </c>
    </row>
    <row r="1823" spans="1:14" x14ac:dyDescent="0.25">
      <c r="A1823">
        <v>1678.5600010000001</v>
      </c>
      <c r="B1823" s="1">
        <f>DATE(2014,12,4) + TIME(13,26,24)</f>
        <v>41977.56</v>
      </c>
      <c r="C1823">
        <v>0</v>
      </c>
      <c r="D1823">
        <v>2400</v>
      </c>
      <c r="E1823">
        <v>2400</v>
      </c>
      <c r="F1823">
        <v>0</v>
      </c>
      <c r="G1823">
        <v>1322.8364257999999</v>
      </c>
      <c r="H1823">
        <v>1317.5305175999999</v>
      </c>
      <c r="I1823">
        <v>1364.5775146000001</v>
      </c>
      <c r="J1823">
        <v>1353.8186035000001</v>
      </c>
      <c r="K1823">
        <v>80</v>
      </c>
      <c r="L1823">
        <v>77.582733153999996</v>
      </c>
      <c r="M1823">
        <v>50</v>
      </c>
      <c r="N1823">
        <v>49.961566925</v>
      </c>
    </row>
    <row r="1824" spans="1:14" x14ac:dyDescent="0.25">
      <c r="A1824">
        <v>1679.824654</v>
      </c>
      <c r="B1824" s="1">
        <f>DATE(2014,12,5) + TIME(19,47,30)</f>
        <v>41978.824652777781</v>
      </c>
      <c r="C1824">
        <v>0</v>
      </c>
      <c r="D1824">
        <v>2400</v>
      </c>
      <c r="E1824">
        <v>2400</v>
      </c>
      <c r="F1824">
        <v>0</v>
      </c>
      <c r="G1824">
        <v>1322.7747803</v>
      </c>
      <c r="H1824">
        <v>1317.4495850000001</v>
      </c>
      <c r="I1824">
        <v>1364.5675048999999</v>
      </c>
      <c r="J1824">
        <v>1353.8092041</v>
      </c>
      <c r="K1824">
        <v>80</v>
      </c>
      <c r="L1824">
        <v>77.511520386000001</v>
      </c>
      <c r="M1824">
        <v>50</v>
      </c>
      <c r="N1824">
        <v>49.961585999</v>
      </c>
    </row>
    <row r="1825" spans="1:14" x14ac:dyDescent="0.25">
      <c r="A1825">
        <v>1681.127886</v>
      </c>
      <c r="B1825" s="1">
        <f>DATE(2014,12,7) + TIME(3,4,9)</f>
        <v>41980.127881944441</v>
      </c>
      <c r="C1825">
        <v>0</v>
      </c>
      <c r="D1825">
        <v>2400</v>
      </c>
      <c r="E1825">
        <v>2400</v>
      </c>
      <c r="F1825">
        <v>0</v>
      </c>
      <c r="G1825">
        <v>1322.7104492000001</v>
      </c>
      <c r="H1825">
        <v>1317.3649902</v>
      </c>
      <c r="I1825">
        <v>1364.5574951000001</v>
      </c>
      <c r="J1825">
        <v>1353.7996826000001</v>
      </c>
      <c r="K1825">
        <v>80</v>
      </c>
      <c r="L1825">
        <v>77.438644409000005</v>
      </c>
      <c r="M1825">
        <v>50</v>
      </c>
      <c r="N1825">
        <v>49.961608886999997</v>
      </c>
    </row>
    <row r="1826" spans="1:14" x14ac:dyDescent="0.25">
      <c r="A1826">
        <v>1682.459353</v>
      </c>
      <c r="B1826" s="1">
        <f>DATE(2014,12,8) + TIME(11,1,28)</f>
        <v>41981.459351851852</v>
      </c>
      <c r="C1826">
        <v>0</v>
      </c>
      <c r="D1826">
        <v>2400</v>
      </c>
      <c r="E1826">
        <v>2400</v>
      </c>
      <c r="F1826">
        <v>0</v>
      </c>
      <c r="G1826">
        <v>1322.6435547000001</v>
      </c>
      <c r="H1826">
        <v>1317.2769774999999</v>
      </c>
      <c r="I1826">
        <v>1364.5477295000001</v>
      </c>
      <c r="J1826">
        <v>1353.7901611</v>
      </c>
      <c r="K1826">
        <v>80</v>
      </c>
      <c r="L1826">
        <v>77.364555358999993</v>
      </c>
      <c r="M1826">
        <v>50</v>
      </c>
      <c r="N1826">
        <v>49.961631775000001</v>
      </c>
    </row>
    <row r="1827" spans="1:14" x14ac:dyDescent="0.25">
      <c r="A1827">
        <v>1683.8218139999999</v>
      </c>
      <c r="B1827" s="1">
        <f>DATE(2014,12,9) + TIME(19,43,24)</f>
        <v>41982.821805555555</v>
      </c>
      <c r="C1827">
        <v>0</v>
      </c>
      <c r="D1827">
        <v>2400</v>
      </c>
      <c r="E1827">
        <v>2400</v>
      </c>
      <c r="F1827">
        <v>0</v>
      </c>
      <c r="G1827">
        <v>1322.5744629000001</v>
      </c>
      <c r="H1827">
        <v>1317.1860352000001</v>
      </c>
      <c r="I1827">
        <v>1364.5380858999999</v>
      </c>
      <c r="J1827">
        <v>1353.7807617000001</v>
      </c>
      <c r="K1827">
        <v>80</v>
      </c>
      <c r="L1827">
        <v>77.289337157999995</v>
      </c>
      <c r="M1827">
        <v>50</v>
      </c>
      <c r="N1827">
        <v>49.961654662999997</v>
      </c>
    </row>
    <row r="1828" spans="1:14" x14ac:dyDescent="0.25">
      <c r="A1828">
        <v>1685.217819</v>
      </c>
      <c r="B1828" s="1">
        <f>DATE(2014,12,11) + TIME(5,13,39)</f>
        <v>41984.217812499999</v>
      </c>
      <c r="C1828">
        <v>0</v>
      </c>
      <c r="D1828">
        <v>2400</v>
      </c>
      <c r="E1828">
        <v>2400</v>
      </c>
      <c r="F1828">
        <v>0</v>
      </c>
      <c r="G1828">
        <v>1322.5032959</v>
      </c>
      <c r="H1828">
        <v>1317.0920410000001</v>
      </c>
      <c r="I1828">
        <v>1364.5286865</v>
      </c>
      <c r="J1828">
        <v>1353.7713623</v>
      </c>
      <c r="K1828">
        <v>80</v>
      </c>
      <c r="L1828">
        <v>77.213020325000002</v>
      </c>
      <c r="M1828">
        <v>50</v>
      </c>
      <c r="N1828">
        <v>49.961681366000001</v>
      </c>
    </row>
    <row r="1829" spans="1:14" x14ac:dyDescent="0.25">
      <c r="A1829">
        <v>1686.650118</v>
      </c>
      <c r="B1829" s="1">
        <f>DATE(2014,12,12) + TIME(15,36,10)</f>
        <v>41985.65011574074</v>
      </c>
      <c r="C1829">
        <v>0</v>
      </c>
      <c r="D1829">
        <v>2400</v>
      </c>
      <c r="E1829">
        <v>2400</v>
      </c>
      <c r="F1829">
        <v>0</v>
      </c>
      <c r="G1829">
        <v>1322.4296875</v>
      </c>
      <c r="H1829">
        <v>1316.9948730000001</v>
      </c>
      <c r="I1829">
        <v>1364.5194091999999</v>
      </c>
      <c r="J1829">
        <v>1353.7619629000001</v>
      </c>
      <c r="K1829">
        <v>80</v>
      </c>
      <c r="L1829">
        <v>77.135566710999996</v>
      </c>
      <c r="M1829">
        <v>50</v>
      </c>
      <c r="N1829">
        <v>49.961704253999997</v>
      </c>
    </row>
    <row r="1830" spans="1:14" x14ac:dyDescent="0.25">
      <c r="A1830">
        <v>1688.121531</v>
      </c>
      <c r="B1830" s="1">
        <f>DATE(2014,12,14) + TIME(2,55,0)</f>
        <v>41987.121527777781</v>
      </c>
      <c r="C1830">
        <v>0</v>
      </c>
      <c r="D1830">
        <v>2400</v>
      </c>
      <c r="E1830">
        <v>2400</v>
      </c>
      <c r="F1830">
        <v>0</v>
      </c>
      <c r="G1830">
        <v>1322.3537598</v>
      </c>
      <c r="H1830">
        <v>1316.8942870999999</v>
      </c>
      <c r="I1830">
        <v>1364.510376</v>
      </c>
      <c r="J1830">
        <v>1353.7525635</v>
      </c>
      <c r="K1830">
        <v>80</v>
      </c>
      <c r="L1830">
        <v>77.056915282999995</v>
      </c>
      <c r="M1830">
        <v>50</v>
      </c>
      <c r="N1830">
        <v>49.961734772</v>
      </c>
    </row>
    <row r="1831" spans="1:14" x14ac:dyDescent="0.25">
      <c r="A1831">
        <v>1689.6345550000001</v>
      </c>
      <c r="B1831" s="1">
        <f>DATE(2014,12,15) + TIME(15,13,45)</f>
        <v>41988.634548611109</v>
      </c>
      <c r="C1831">
        <v>0</v>
      </c>
      <c r="D1831">
        <v>2400</v>
      </c>
      <c r="E1831">
        <v>2400</v>
      </c>
      <c r="F1831">
        <v>0</v>
      </c>
      <c r="G1831">
        <v>1322.2750243999999</v>
      </c>
      <c r="H1831">
        <v>1316.7901611</v>
      </c>
      <c r="I1831">
        <v>1364.5013428</v>
      </c>
      <c r="J1831">
        <v>1353.7432861</v>
      </c>
      <c r="K1831">
        <v>80</v>
      </c>
      <c r="L1831">
        <v>76.977005004999995</v>
      </c>
      <c r="M1831">
        <v>50</v>
      </c>
      <c r="N1831">
        <v>49.961761475000003</v>
      </c>
    </row>
    <row r="1832" spans="1:14" x14ac:dyDescent="0.25">
      <c r="A1832">
        <v>1691.192628</v>
      </c>
      <c r="B1832" s="1">
        <f>DATE(2014,12,17) + TIME(4,37,23)</f>
        <v>41990.192627314813</v>
      </c>
      <c r="C1832">
        <v>0</v>
      </c>
      <c r="D1832">
        <v>2400</v>
      </c>
      <c r="E1832">
        <v>2400</v>
      </c>
      <c r="F1832">
        <v>0</v>
      </c>
      <c r="G1832">
        <v>1322.1936035000001</v>
      </c>
      <c r="H1832">
        <v>1316.682251</v>
      </c>
      <c r="I1832">
        <v>1364.4925536999999</v>
      </c>
      <c r="J1832">
        <v>1353.7338867000001</v>
      </c>
      <c r="K1832">
        <v>80</v>
      </c>
      <c r="L1832">
        <v>76.895729064999998</v>
      </c>
      <c r="M1832">
        <v>50</v>
      </c>
      <c r="N1832">
        <v>49.961791992000002</v>
      </c>
    </row>
    <row r="1833" spans="1:14" x14ac:dyDescent="0.25">
      <c r="A1833">
        <v>1692.7962640000001</v>
      </c>
      <c r="B1833" s="1">
        <f>DATE(2014,12,18) + TIME(19,6,37)</f>
        <v>41991.796261574076</v>
      </c>
      <c r="C1833">
        <v>0</v>
      </c>
      <c r="D1833">
        <v>2400</v>
      </c>
      <c r="E1833">
        <v>2400</v>
      </c>
      <c r="F1833">
        <v>0</v>
      </c>
      <c r="G1833">
        <v>1322.1092529</v>
      </c>
      <c r="H1833">
        <v>1316.5703125</v>
      </c>
      <c r="I1833">
        <v>1364.4837646000001</v>
      </c>
      <c r="J1833">
        <v>1353.7244873</v>
      </c>
      <c r="K1833">
        <v>80</v>
      </c>
      <c r="L1833">
        <v>76.813072204999997</v>
      </c>
      <c r="M1833">
        <v>50</v>
      </c>
      <c r="N1833">
        <v>49.961822509999998</v>
      </c>
    </row>
    <row r="1834" spans="1:14" x14ac:dyDescent="0.25">
      <c r="A1834">
        <v>1694.435939</v>
      </c>
      <c r="B1834" s="1">
        <f>DATE(2014,12,20) + TIME(10,27,45)</f>
        <v>41993.435937499999</v>
      </c>
      <c r="C1834">
        <v>0</v>
      </c>
      <c r="D1834">
        <v>2400</v>
      </c>
      <c r="E1834">
        <v>2400</v>
      </c>
      <c r="F1834">
        <v>0</v>
      </c>
      <c r="G1834">
        <v>1322.0218506000001</v>
      </c>
      <c r="H1834">
        <v>1316.4542236</v>
      </c>
      <c r="I1834">
        <v>1364.4750977000001</v>
      </c>
      <c r="J1834">
        <v>1353.7150879000001</v>
      </c>
      <c r="K1834">
        <v>80</v>
      </c>
      <c r="L1834">
        <v>76.729301453000005</v>
      </c>
      <c r="M1834">
        <v>50</v>
      </c>
      <c r="N1834">
        <v>49.961853026999997</v>
      </c>
    </row>
    <row r="1835" spans="1:14" x14ac:dyDescent="0.25">
      <c r="A1835">
        <v>1696.115074</v>
      </c>
      <c r="B1835" s="1">
        <f>DATE(2014,12,22) + TIME(2,45,42)</f>
        <v>41995.115069444444</v>
      </c>
      <c r="C1835">
        <v>0</v>
      </c>
      <c r="D1835">
        <v>2400</v>
      </c>
      <c r="E1835">
        <v>2400</v>
      </c>
      <c r="F1835">
        <v>0</v>
      </c>
      <c r="G1835">
        <v>1321.9318848</v>
      </c>
      <c r="H1835">
        <v>1316.3345947</v>
      </c>
      <c r="I1835">
        <v>1364.4666748</v>
      </c>
      <c r="J1835">
        <v>1353.7056885</v>
      </c>
      <c r="K1835">
        <v>80</v>
      </c>
      <c r="L1835">
        <v>76.644447326999995</v>
      </c>
      <c r="M1835">
        <v>50</v>
      </c>
      <c r="N1835">
        <v>49.961887359999999</v>
      </c>
    </row>
    <row r="1836" spans="1:14" x14ac:dyDescent="0.25">
      <c r="A1836">
        <v>1697.8369849999999</v>
      </c>
      <c r="B1836" s="1">
        <f>DATE(2014,12,23) + TIME(20,5,15)</f>
        <v>41996.83697916667</v>
      </c>
      <c r="C1836">
        <v>0</v>
      </c>
      <c r="D1836">
        <v>2400</v>
      </c>
      <c r="E1836">
        <v>2400</v>
      </c>
      <c r="F1836">
        <v>0</v>
      </c>
      <c r="G1836">
        <v>1321.8391113</v>
      </c>
      <c r="H1836">
        <v>1316.2110596</v>
      </c>
      <c r="I1836">
        <v>1364.4582519999999</v>
      </c>
      <c r="J1836">
        <v>1353.6962891000001</v>
      </c>
      <c r="K1836">
        <v>80</v>
      </c>
      <c r="L1836">
        <v>76.558471679999997</v>
      </c>
      <c r="M1836">
        <v>50</v>
      </c>
      <c r="N1836">
        <v>49.961921691999997</v>
      </c>
    </row>
    <row r="1837" spans="1:14" x14ac:dyDescent="0.25">
      <c r="A1837">
        <v>1699.605125</v>
      </c>
      <c r="B1837" s="1">
        <f>DATE(2014,12,25) + TIME(14,31,22)</f>
        <v>41998.605115740742</v>
      </c>
      <c r="C1837">
        <v>0</v>
      </c>
      <c r="D1837">
        <v>2400</v>
      </c>
      <c r="E1837">
        <v>2400</v>
      </c>
      <c r="F1837">
        <v>0</v>
      </c>
      <c r="G1837">
        <v>1321.7434082</v>
      </c>
      <c r="H1837">
        <v>1316.0834961</v>
      </c>
      <c r="I1837">
        <v>1364.4500731999999</v>
      </c>
      <c r="J1837">
        <v>1353.6868896000001</v>
      </c>
      <c r="K1837">
        <v>80</v>
      </c>
      <c r="L1837">
        <v>76.471298218000001</v>
      </c>
      <c r="M1837">
        <v>50</v>
      </c>
      <c r="N1837">
        <v>49.961956024000003</v>
      </c>
    </row>
    <row r="1838" spans="1:14" x14ac:dyDescent="0.25">
      <c r="A1838">
        <v>1701.4223609999999</v>
      </c>
      <c r="B1838" s="1">
        <f>DATE(2014,12,27) + TIME(10,8,11)</f>
        <v>42000.422349537039</v>
      </c>
      <c r="C1838">
        <v>0</v>
      </c>
      <c r="D1838">
        <v>2400</v>
      </c>
      <c r="E1838">
        <v>2400</v>
      </c>
      <c r="F1838">
        <v>0</v>
      </c>
      <c r="G1838">
        <v>1321.6446533000001</v>
      </c>
      <c r="H1838">
        <v>1315.9516602000001</v>
      </c>
      <c r="I1838">
        <v>1364.4418945</v>
      </c>
      <c r="J1838">
        <v>1353.6774902</v>
      </c>
      <c r="K1838">
        <v>80</v>
      </c>
      <c r="L1838">
        <v>76.382858275999993</v>
      </c>
      <c r="M1838">
        <v>50</v>
      </c>
      <c r="N1838">
        <v>49.961990356000001</v>
      </c>
    </row>
    <row r="1839" spans="1:14" x14ac:dyDescent="0.25">
      <c r="A1839">
        <v>1703.2930960000001</v>
      </c>
      <c r="B1839" s="1">
        <f>DATE(2014,12,29) + TIME(7,2,3)</f>
        <v>42002.293090277781</v>
      </c>
      <c r="C1839">
        <v>0</v>
      </c>
      <c r="D1839">
        <v>2400</v>
      </c>
      <c r="E1839">
        <v>2400</v>
      </c>
      <c r="F1839">
        <v>0</v>
      </c>
      <c r="G1839">
        <v>1321.5424805</v>
      </c>
      <c r="H1839">
        <v>1315.8153076000001</v>
      </c>
      <c r="I1839">
        <v>1364.4338379000001</v>
      </c>
      <c r="J1839">
        <v>1353.6680908000001</v>
      </c>
      <c r="K1839">
        <v>80</v>
      </c>
      <c r="L1839">
        <v>76.293014525999993</v>
      </c>
      <c r="M1839">
        <v>50</v>
      </c>
      <c r="N1839">
        <v>49.962028502999999</v>
      </c>
    </row>
    <row r="1840" spans="1:14" x14ac:dyDescent="0.25">
      <c r="A1840">
        <v>1705.2126290000001</v>
      </c>
      <c r="B1840" s="1">
        <f>DATE(2014,12,31) + TIME(5,6,11)</f>
        <v>42004.212627314817</v>
      </c>
      <c r="C1840">
        <v>0</v>
      </c>
      <c r="D1840">
        <v>2400</v>
      </c>
      <c r="E1840">
        <v>2400</v>
      </c>
      <c r="F1840">
        <v>0</v>
      </c>
      <c r="G1840">
        <v>1321.4368896000001</v>
      </c>
      <c r="H1840">
        <v>1315.6741943</v>
      </c>
      <c r="I1840">
        <v>1364.4259033000001</v>
      </c>
      <c r="J1840">
        <v>1353.6586914</v>
      </c>
      <c r="K1840">
        <v>80</v>
      </c>
      <c r="L1840">
        <v>76.201850891000007</v>
      </c>
      <c r="M1840">
        <v>50</v>
      </c>
      <c r="N1840">
        <v>49.962066649999997</v>
      </c>
    </row>
    <row r="1841" spans="1:14" x14ac:dyDescent="0.25">
      <c r="A1841">
        <v>1706</v>
      </c>
      <c r="B1841" s="1">
        <f>DATE(2015,1,1) + TIME(0,0,0)</f>
        <v>42005</v>
      </c>
      <c r="C1841">
        <v>0</v>
      </c>
      <c r="D1841">
        <v>2400</v>
      </c>
      <c r="E1841">
        <v>2400</v>
      </c>
      <c r="F1841">
        <v>0</v>
      </c>
      <c r="G1841">
        <v>1321.3361815999999</v>
      </c>
      <c r="H1841">
        <v>1315.5424805</v>
      </c>
      <c r="I1841">
        <v>1364.4173584</v>
      </c>
      <c r="J1841">
        <v>1353.6491699000001</v>
      </c>
      <c r="K1841">
        <v>80</v>
      </c>
      <c r="L1841">
        <v>76.148414611999996</v>
      </c>
      <c r="M1841">
        <v>50</v>
      </c>
      <c r="N1841">
        <v>49.962081908999998</v>
      </c>
    </row>
    <row r="1842" spans="1:14" x14ac:dyDescent="0.25">
      <c r="A1842">
        <v>1707.964412</v>
      </c>
      <c r="B1842" s="1">
        <f>DATE(2015,1,2) + TIME(23,8,45)</f>
        <v>42006.964409722219</v>
      </c>
      <c r="C1842">
        <v>0</v>
      </c>
      <c r="D1842">
        <v>2400</v>
      </c>
      <c r="E1842">
        <v>2400</v>
      </c>
      <c r="F1842">
        <v>0</v>
      </c>
      <c r="G1842">
        <v>1321.2756348</v>
      </c>
      <c r="H1842">
        <v>1315.4569091999999</v>
      </c>
      <c r="I1842">
        <v>1364.4151611</v>
      </c>
      <c r="J1842">
        <v>1353.6452637</v>
      </c>
      <c r="K1842">
        <v>80</v>
      </c>
      <c r="L1842">
        <v>76.064453125</v>
      </c>
      <c r="M1842">
        <v>50</v>
      </c>
      <c r="N1842">
        <v>49.962123871000003</v>
      </c>
    </row>
    <row r="1843" spans="1:14" x14ac:dyDescent="0.25">
      <c r="A1843">
        <v>1709.9995449999999</v>
      </c>
      <c r="B1843" s="1">
        <f>DATE(2015,1,4) + TIME(23,59,20)</f>
        <v>42008.999537037038</v>
      </c>
      <c r="C1843">
        <v>0</v>
      </c>
      <c r="D1843">
        <v>2400</v>
      </c>
      <c r="E1843">
        <v>2400</v>
      </c>
      <c r="F1843">
        <v>0</v>
      </c>
      <c r="G1843">
        <v>1321.1672363</v>
      </c>
      <c r="H1843">
        <v>1315.3123779</v>
      </c>
      <c r="I1843">
        <v>1364.4073486</v>
      </c>
      <c r="J1843">
        <v>1353.6359863</v>
      </c>
      <c r="K1843">
        <v>80</v>
      </c>
      <c r="L1843">
        <v>75.974822997999993</v>
      </c>
      <c r="M1843">
        <v>50</v>
      </c>
      <c r="N1843">
        <v>49.962165833</v>
      </c>
    </row>
    <row r="1844" spans="1:14" x14ac:dyDescent="0.25">
      <c r="A1844">
        <v>1712.0884510000001</v>
      </c>
      <c r="B1844" s="1">
        <f>DATE(2015,1,7) + TIME(2,7,22)</f>
        <v>42011.088449074072</v>
      </c>
      <c r="C1844">
        <v>0</v>
      </c>
      <c r="D1844">
        <v>2400</v>
      </c>
      <c r="E1844">
        <v>2400</v>
      </c>
      <c r="F1844">
        <v>0</v>
      </c>
      <c r="G1844">
        <v>1321.0524902</v>
      </c>
      <c r="H1844">
        <v>1315.1586914</v>
      </c>
      <c r="I1844">
        <v>1364.3997803</v>
      </c>
      <c r="J1844">
        <v>1353.6267089999999</v>
      </c>
      <c r="K1844">
        <v>80</v>
      </c>
      <c r="L1844">
        <v>75.881645203000005</v>
      </c>
      <c r="M1844">
        <v>50</v>
      </c>
      <c r="N1844">
        <v>49.962207794000001</v>
      </c>
    </row>
    <row r="1845" spans="1:14" x14ac:dyDescent="0.25">
      <c r="A1845">
        <v>1714.235592</v>
      </c>
      <c r="B1845" s="1">
        <f>DATE(2015,1,9) + TIME(5,39,15)</f>
        <v>42013.235590277778</v>
      </c>
      <c r="C1845">
        <v>0</v>
      </c>
      <c r="D1845">
        <v>2400</v>
      </c>
      <c r="E1845">
        <v>2400</v>
      </c>
      <c r="F1845">
        <v>0</v>
      </c>
      <c r="G1845">
        <v>1320.9329834</v>
      </c>
      <c r="H1845">
        <v>1314.9984131000001</v>
      </c>
      <c r="I1845">
        <v>1364.3920897999999</v>
      </c>
      <c r="J1845">
        <v>1353.6173096</v>
      </c>
      <c r="K1845">
        <v>80</v>
      </c>
      <c r="L1845">
        <v>75.785987853999998</v>
      </c>
      <c r="M1845">
        <v>50</v>
      </c>
      <c r="N1845">
        <v>49.962249755999999</v>
      </c>
    </row>
    <row r="1846" spans="1:14" x14ac:dyDescent="0.25">
      <c r="A1846">
        <v>1716.4450629999999</v>
      </c>
      <c r="B1846" s="1">
        <f>DATE(2015,1,11) + TIME(10,40,53)</f>
        <v>42015.445057870369</v>
      </c>
      <c r="C1846">
        <v>0</v>
      </c>
      <c r="D1846">
        <v>2400</v>
      </c>
      <c r="E1846">
        <v>2400</v>
      </c>
      <c r="F1846">
        <v>0</v>
      </c>
      <c r="G1846">
        <v>1320.809082</v>
      </c>
      <c r="H1846">
        <v>1314.8319091999999</v>
      </c>
      <c r="I1846">
        <v>1364.3846435999999</v>
      </c>
      <c r="J1846">
        <v>1353.6077881000001</v>
      </c>
      <c r="K1846">
        <v>80</v>
      </c>
      <c r="L1846">
        <v>75.688301085999996</v>
      </c>
      <c r="M1846">
        <v>50</v>
      </c>
      <c r="N1846">
        <v>49.962291718000003</v>
      </c>
    </row>
    <row r="1847" spans="1:14" x14ac:dyDescent="0.25">
      <c r="A1847">
        <v>1718.704471</v>
      </c>
      <c r="B1847" s="1">
        <f>DATE(2015,1,13) + TIME(16,54,26)</f>
        <v>42017.704467592594</v>
      </c>
      <c r="C1847">
        <v>0</v>
      </c>
      <c r="D1847">
        <v>2400</v>
      </c>
      <c r="E1847">
        <v>2400</v>
      </c>
      <c r="F1847">
        <v>0</v>
      </c>
      <c r="G1847">
        <v>1320.6810303</v>
      </c>
      <c r="H1847">
        <v>1314.659668</v>
      </c>
      <c r="I1847">
        <v>1364.3771973</v>
      </c>
      <c r="J1847">
        <v>1353.5983887</v>
      </c>
      <c r="K1847">
        <v>80</v>
      </c>
      <c r="L1847">
        <v>75.589042664000004</v>
      </c>
      <c r="M1847">
        <v>50</v>
      </c>
      <c r="N1847">
        <v>49.962337494000003</v>
      </c>
    </row>
    <row r="1848" spans="1:14" x14ac:dyDescent="0.25">
      <c r="A1848">
        <v>1721.0189009999999</v>
      </c>
      <c r="B1848" s="1">
        <f>DATE(2015,1,16) + TIME(0,27,13)</f>
        <v>42020.018900462965</v>
      </c>
      <c r="C1848">
        <v>0</v>
      </c>
      <c r="D1848">
        <v>2400</v>
      </c>
      <c r="E1848">
        <v>2400</v>
      </c>
      <c r="F1848">
        <v>0</v>
      </c>
      <c r="G1848">
        <v>1320.5494385</v>
      </c>
      <c r="H1848">
        <v>1314.4824219</v>
      </c>
      <c r="I1848">
        <v>1364.369751</v>
      </c>
      <c r="J1848">
        <v>1353.5888672000001</v>
      </c>
      <c r="K1848">
        <v>80</v>
      </c>
      <c r="L1848">
        <v>75.488418578999998</v>
      </c>
      <c r="M1848">
        <v>50</v>
      </c>
      <c r="N1848">
        <v>49.962383269999997</v>
      </c>
    </row>
    <row r="1849" spans="1:14" x14ac:dyDescent="0.25">
      <c r="A1849">
        <v>1723.3932150000001</v>
      </c>
      <c r="B1849" s="1">
        <f>DATE(2015,1,18) + TIME(9,26,13)</f>
        <v>42022.393206018518</v>
      </c>
      <c r="C1849">
        <v>0</v>
      </c>
      <c r="D1849">
        <v>2400</v>
      </c>
      <c r="E1849">
        <v>2400</v>
      </c>
      <c r="F1849">
        <v>0</v>
      </c>
      <c r="G1849">
        <v>1320.4141846</v>
      </c>
      <c r="H1849">
        <v>1314.2999268000001</v>
      </c>
      <c r="I1849">
        <v>1364.3624268000001</v>
      </c>
      <c r="J1849">
        <v>1353.5794678</v>
      </c>
      <c r="K1849">
        <v>80</v>
      </c>
      <c r="L1849">
        <v>75.386398314999994</v>
      </c>
      <c r="M1849">
        <v>50</v>
      </c>
      <c r="N1849">
        <v>49.962432861000003</v>
      </c>
    </row>
    <row r="1850" spans="1:14" x14ac:dyDescent="0.25">
      <c r="A1850">
        <v>1725.8318469999999</v>
      </c>
      <c r="B1850" s="1">
        <f>DATE(2015,1,20) + TIME(19,57,51)</f>
        <v>42024.83184027778</v>
      </c>
      <c r="C1850">
        <v>0</v>
      </c>
      <c r="D1850">
        <v>2400</v>
      </c>
      <c r="E1850">
        <v>2400</v>
      </c>
      <c r="F1850">
        <v>0</v>
      </c>
      <c r="G1850">
        <v>1320.2749022999999</v>
      </c>
      <c r="H1850">
        <v>1314.1120605000001</v>
      </c>
      <c r="I1850">
        <v>1364.3552245999999</v>
      </c>
      <c r="J1850">
        <v>1353.5700684000001</v>
      </c>
      <c r="K1850">
        <v>80</v>
      </c>
      <c r="L1850">
        <v>75.282890320000007</v>
      </c>
      <c r="M1850">
        <v>50</v>
      </c>
      <c r="N1850">
        <v>49.962478638</v>
      </c>
    </row>
    <row r="1851" spans="1:14" x14ac:dyDescent="0.25">
      <c r="A1851">
        <v>1728.3400349999999</v>
      </c>
      <c r="B1851" s="1">
        <f>DATE(2015,1,23) + TIME(8,9,39)</f>
        <v>42027.34003472222</v>
      </c>
      <c r="C1851">
        <v>0</v>
      </c>
      <c r="D1851">
        <v>2400</v>
      </c>
      <c r="E1851">
        <v>2400</v>
      </c>
      <c r="F1851">
        <v>0</v>
      </c>
      <c r="G1851">
        <v>1320.1315918</v>
      </c>
      <c r="H1851">
        <v>1313.9183350000001</v>
      </c>
      <c r="I1851">
        <v>1364.3479004000001</v>
      </c>
      <c r="J1851">
        <v>1353.5605469</v>
      </c>
      <c r="K1851">
        <v>80</v>
      </c>
      <c r="L1851">
        <v>75.177749633999994</v>
      </c>
      <c r="M1851">
        <v>50</v>
      </c>
      <c r="N1851">
        <v>49.962528229</v>
      </c>
    </row>
    <row r="1852" spans="1:14" x14ac:dyDescent="0.25">
      <c r="A1852">
        <v>1730.9104560000001</v>
      </c>
      <c r="B1852" s="1">
        <f>DATE(2015,1,25) + TIME(21,51,3)</f>
        <v>42029.910451388889</v>
      </c>
      <c r="C1852">
        <v>0</v>
      </c>
      <c r="D1852">
        <v>2400</v>
      </c>
      <c r="E1852">
        <v>2400</v>
      </c>
      <c r="F1852">
        <v>0</v>
      </c>
      <c r="G1852">
        <v>1319.9840088000001</v>
      </c>
      <c r="H1852">
        <v>1313.7186279</v>
      </c>
      <c r="I1852">
        <v>1364.3406981999999</v>
      </c>
      <c r="J1852">
        <v>1353.5510254000001</v>
      </c>
      <c r="K1852">
        <v>80</v>
      </c>
      <c r="L1852">
        <v>75.070999146000005</v>
      </c>
      <c r="M1852">
        <v>50</v>
      </c>
      <c r="N1852">
        <v>49.962581634999999</v>
      </c>
    </row>
    <row r="1853" spans="1:14" x14ac:dyDescent="0.25">
      <c r="A1853">
        <v>1733.541516</v>
      </c>
      <c r="B1853" s="1">
        <f>DATE(2015,1,28) + TIME(12,59,46)</f>
        <v>42032.541504629633</v>
      </c>
      <c r="C1853">
        <v>0</v>
      </c>
      <c r="D1853">
        <v>2400</v>
      </c>
      <c r="E1853">
        <v>2400</v>
      </c>
      <c r="F1853">
        <v>0</v>
      </c>
      <c r="G1853">
        <v>1319.8323975000001</v>
      </c>
      <c r="H1853">
        <v>1313.5133057</v>
      </c>
      <c r="I1853">
        <v>1364.333374</v>
      </c>
      <c r="J1853">
        <v>1353.541626</v>
      </c>
      <c r="K1853">
        <v>80</v>
      </c>
      <c r="L1853">
        <v>74.962684631000002</v>
      </c>
      <c r="M1853">
        <v>50</v>
      </c>
      <c r="N1853">
        <v>49.962631225999999</v>
      </c>
    </row>
    <row r="1854" spans="1:14" x14ac:dyDescent="0.25">
      <c r="A1854">
        <v>1736.2391970000001</v>
      </c>
      <c r="B1854" s="1">
        <f>DATE(2015,1,31) + TIME(5,44,26)</f>
        <v>42035.239189814813</v>
      </c>
      <c r="C1854">
        <v>0</v>
      </c>
      <c r="D1854">
        <v>2400</v>
      </c>
      <c r="E1854">
        <v>2400</v>
      </c>
      <c r="F1854">
        <v>0</v>
      </c>
      <c r="G1854">
        <v>1319.6768798999999</v>
      </c>
      <c r="H1854">
        <v>1313.3024902</v>
      </c>
      <c r="I1854">
        <v>1364.3261719</v>
      </c>
      <c r="J1854">
        <v>1353.5321045000001</v>
      </c>
      <c r="K1854">
        <v>80</v>
      </c>
      <c r="L1854">
        <v>74.852684021000002</v>
      </c>
      <c r="M1854">
        <v>50</v>
      </c>
      <c r="N1854">
        <v>49.962684631000002</v>
      </c>
    </row>
    <row r="1855" spans="1:14" x14ac:dyDescent="0.25">
      <c r="A1855">
        <v>1737</v>
      </c>
      <c r="B1855" s="1">
        <f>DATE(2015,2,1) + TIME(0,0,0)</f>
        <v>42036</v>
      </c>
      <c r="C1855">
        <v>0</v>
      </c>
      <c r="D1855">
        <v>2400</v>
      </c>
      <c r="E1855">
        <v>2400</v>
      </c>
      <c r="F1855">
        <v>0</v>
      </c>
      <c r="G1855">
        <v>1319.5327147999999</v>
      </c>
      <c r="H1855">
        <v>1313.1123047000001</v>
      </c>
      <c r="I1855">
        <v>1364.3178711</v>
      </c>
      <c r="J1855">
        <v>1353.5224608999999</v>
      </c>
      <c r="K1855">
        <v>80</v>
      </c>
      <c r="L1855">
        <v>74.797050475999995</v>
      </c>
      <c r="M1855">
        <v>50</v>
      </c>
      <c r="N1855">
        <v>49.962696074999997</v>
      </c>
    </row>
    <row r="1856" spans="1:14" x14ac:dyDescent="0.25">
      <c r="A1856">
        <v>1739.7700219999999</v>
      </c>
      <c r="B1856" s="1">
        <f>DATE(2015,2,3) + TIME(18,28,49)</f>
        <v>42038.770011574074</v>
      </c>
      <c r="C1856">
        <v>0</v>
      </c>
      <c r="D1856">
        <v>2400</v>
      </c>
      <c r="E1856">
        <v>2400</v>
      </c>
      <c r="F1856">
        <v>0</v>
      </c>
      <c r="G1856">
        <v>1319.4584961</v>
      </c>
      <c r="H1856">
        <v>1313.0035399999999</v>
      </c>
      <c r="I1856">
        <v>1364.3171387</v>
      </c>
      <c r="J1856">
        <v>1353.5196533000001</v>
      </c>
      <c r="K1856">
        <v>80</v>
      </c>
      <c r="L1856">
        <v>74.700317382999998</v>
      </c>
      <c r="M1856">
        <v>50</v>
      </c>
      <c r="N1856">
        <v>49.962753296000002</v>
      </c>
    </row>
    <row r="1857" spans="1:14" x14ac:dyDescent="0.25">
      <c r="A1857">
        <v>1742.64113</v>
      </c>
      <c r="B1857" s="1">
        <f>DATE(2015,2,6) + TIME(15,23,13)</f>
        <v>42041.641122685185</v>
      </c>
      <c r="C1857">
        <v>0</v>
      </c>
      <c r="D1857">
        <v>2400</v>
      </c>
      <c r="E1857">
        <v>2400</v>
      </c>
      <c r="F1857">
        <v>0</v>
      </c>
      <c r="G1857">
        <v>1319.3031006000001</v>
      </c>
      <c r="H1857">
        <v>1312.7935791</v>
      </c>
      <c r="I1857">
        <v>1364.3098144999999</v>
      </c>
      <c r="J1857">
        <v>1353.5104980000001</v>
      </c>
      <c r="K1857">
        <v>80</v>
      </c>
      <c r="L1857">
        <v>74.592041015999996</v>
      </c>
      <c r="M1857">
        <v>50</v>
      </c>
      <c r="N1857">
        <v>49.962806702000002</v>
      </c>
    </row>
    <row r="1858" spans="1:14" x14ac:dyDescent="0.25">
      <c r="A1858">
        <v>1745.580209</v>
      </c>
      <c r="B1858" s="1">
        <f>DATE(2015,2,9) + TIME(13,55,30)</f>
        <v>42044.580208333333</v>
      </c>
      <c r="C1858">
        <v>0</v>
      </c>
      <c r="D1858">
        <v>2400</v>
      </c>
      <c r="E1858">
        <v>2400</v>
      </c>
      <c r="F1858">
        <v>0</v>
      </c>
      <c r="G1858">
        <v>1319.1365966999999</v>
      </c>
      <c r="H1858">
        <v>1312.567749</v>
      </c>
      <c r="I1858">
        <v>1364.3023682</v>
      </c>
      <c r="J1858">
        <v>1353.5010986</v>
      </c>
      <c r="K1858">
        <v>80</v>
      </c>
      <c r="L1858">
        <v>74.477722168</v>
      </c>
      <c r="M1858">
        <v>50</v>
      </c>
      <c r="N1858">
        <v>49.962860106999997</v>
      </c>
    </row>
    <row r="1859" spans="1:14" x14ac:dyDescent="0.25">
      <c r="A1859">
        <v>1748.589579</v>
      </c>
      <c r="B1859" s="1">
        <f>DATE(2015,2,12) + TIME(14,8,59)</f>
        <v>42047.589571759258</v>
      </c>
      <c r="C1859">
        <v>0</v>
      </c>
      <c r="D1859">
        <v>2400</v>
      </c>
      <c r="E1859">
        <v>2400</v>
      </c>
      <c r="F1859">
        <v>0</v>
      </c>
      <c r="G1859">
        <v>1318.9638672000001</v>
      </c>
      <c r="H1859">
        <v>1312.3325195</v>
      </c>
      <c r="I1859">
        <v>1364.2949219</v>
      </c>
      <c r="J1859">
        <v>1353.4916992000001</v>
      </c>
      <c r="K1859">
        <v>80</v>
      </c>
      <c r="L1859">
        <v>74.359794617000006</v>
      </c>
      <c r="M1859">
        <v>50</v>
      </c>
      <c r="N1859">
        <v>49.962913512999997</v>
      </c>
    </row>
    <row r="1860" spans="1:14" x14ac:dyDescent="0.25">
      <c r="A1860">
        <v>1751.67608</v>
      </c>
      <c r="B1860" s="1">
        <f>DATE(2015,2,15) + TIME(16,13,33)</f>
        <v>42050.676076388889</v>
      </c>
      <c r="C1860">
        <v>0</v>
      </c>
      <c r="D1860">
        <v>2400</v>
      </c>
      <c r="E1860">
        <v>2400</v>
      </c>
      <c r="F1860">
        <v>0</v>
      </c>
      <c r="G1860">
        <v>1318.7862548999999</v>
      </c>
      <c r="H1860">
        <v>1312.0900879000001</v>
      </c>
      <c r="I1860">
        <v>1364.2874756000001</v>
      </c>
      <c r="J1860">
        <v>1353.4822998</v>
      </c>
      <c r="K1860">
        <v>80</v>
      </c>
      <c r="L1860">
        <v>74.239013671999999</v>
      </c>
      <c r="M1860">
        <v>50</v>
      </c>
      <c r="N1860">
        <v>49.962970734000002</v>
      </c>
    </row>
    <row r="1861" spans="1:14" x14ac:dyDescent="0.25">
      <c r="A1861">
        <v>1754.8466900000001</v>
      </c>
      <c r="B1861" s="1">
        <f>DATE(2015,2,18) + TIME(20,19,14)</f>
        <v>42053.846689814818</v>
      </c>
      <c r="C1861">
        <v>0</v>
      </c>
      <c r="D1861">
        <v>2400</v>
      </c>
      <c r="E1861">
        <v>2400</v>
      </c>
      <c r="F1861">
        <v>0</v>
      </c>
      <c r="G1861">
        <v>1318.6040039</v>
      </c>
      <c r="H1861">
        <v>1311.8410644999999</v>
      </c>
      <c r="I1861">
        <v>1364.2800293</v>
      </c>
      <c r="J1861">
        <v>1353.4727783000001</v>
      </c>
      <c r="K1861">
        <v>80</v>
      </c>
      <c r="L1861">
        <v>74.115379333000007</v>
      </c>
      <c r="M1861">
        <v>50</v>
      </c>
      <c r="N1861">
        <v>49.963027953999998</v>
      </c>
    </row>
    <row r="1862" spans="1:14" x14ac:dyDescent="0.25">
      <c r="A1862">
        <v>1758.1025509999999</v>
      </c>
      <c r="B1862" s="1">
        <f>DATE(2015,2,22) + TIME(2,27,40)</f>
        <v>42057.102546296293</v>
      </c>
      <c r="C1862">
        <v>0</v>
      </c>
      <c r="D1862">
        <v>2400</v>
      </c>
      <c r="E1862">
        <v>2400</v>
      </c>
      <c r="F1862">
        <v>0</v>
      </c>
      <c r="G1862">
        <v>1318.4171143000001</v>
      </c>
      <c r="H1862">
        <v>1311.5854492000001</v>
      </c>
      <c r="I1862">
        <v>1364.2723389</v>
      </c>
      <c r="J1862">
        <v>1353.4633789</v>
      </c>
      <c r="K1862">
        <v>80</v>
      </c>
      <c r="L1862">
        <v>73.988700867000006</v>
      </c>
      <c r="M1862">
        <v>50</v>
      </c>
      <c r="N1862">
        <v>49.963085175000003</v>
      </c>
    </row>
    <row r="1863" spans="1:14" x14ac:dyDescent="0.25">
      <c r="A1863">
        <v>1761.4283969999999</v>
      </c>
      <c r="B1863" s="1">
        <f>DATE(2015,2,25) + TIME(10,16,53)</f>
        <v>42060.428391203706</v>
      </c>
      <c r="C1863">
        <v>0</v>
      </c>
      <c r="D1863">
        <v>2400</v>
      </c>
      <c r="E1863">
        <v>2400</v>
      </c>
      <c r="F1863">
        <v>0</v>
      </c>
      <c r="G1863">
        <v>1318.2257079999999</v>
      </c>
      <c r="H1863">
        <v>1311.3232422000001</v>
      </c>
      <c r="I1863">
        <v>1364.2645264</v>
      </c>
      <c r="J1863">
        <v>1353.4538574000001</v>
      </c>
      <c r="K1863">
        <v>80</v>
      </c>
      <c r="L1863">
        <v>73.858963012999993</v>
      </c>
      <c r="M1863">
        <v>50</v>
      </c>
      <c r="N1863">
        <v>49.963142394999998</v>
      </c>
    </row>
    <row r="1864" spans="1:14" x14ac:dyDescent="0.25">
      <c r="A1864">
        <v>1763.2141979999999</v>
      </c>
      <c r="B1864" s="1">
        <f>DATE(2015,2,27) + TIME(5,8,26)</f>
        <v>42062.214189814818</v>
      </c>
      <c r="C1864">
        <v>0</v>
      </c>
      <c r="D1864">
        <v>2400</v>
      </c>
      <c r="E1864">
        <v>2400</v>
      </c>
      <c r="F1864">
        <v>0</v>
      </c>
      <c r="G1864">
        <v>1318.0389404</v>
      </c>
      <c r="H1864">
        <v>1311.0706786999999</v>
      </c>
      <c r="I1864">
        <v>1364.2561035000001</v>
      </c>
      <c r="J1864">
        <v>1353.4443358999999</v>
      </c>
      <c r="K1864">
        <v>80</v>
      </c>
      <c r="L1864">
        <v>73.756042480000005</v>
      </c>
      <c r="M1864">
        <v>50</v>
      </c>
      <c r="N1864">
        <v>49.963172913000001</v>
      </c>
    </row>
    <row r="1865" spans="1:14" x14ac:dyDescent="0.25">
      <c r="A1865">
        <v>1765</v>
      </c>
      <c r="B1865" s="1">
        <f>DATE(2015,3,1) + TIME(0,0,0)</f>
        <v>42064</v>
      </c>
      <c r="C1865">
        <v>0</v>
      </c>
      <c r="D1865">
        <v>2400</v>
      </c>
      <c r="E1865">
        <v>2400</v>
      </c>
      <c r="F1865">
        <v>0</v>
      </c>
      <c r="G1865">
        <v>1317.9146728999999</v>
      </c>
      <c r="H1865">
        <v>1310.8963623</v>
      </c>
      <c r="I1865">
        <v>1364.2521973</v>
      </c>
      <c r="J1865">
        <v>1353.4388428</v>
      </c>
      <c r="K1865">
        <v>80</v>
      </c>
      <c r="L1865">
        <v>73.669464110999996</v>
      </c>
      <c r="M1865">
        <v>50</v>
      </c>
      <c r="N1865">
        <v>49.963207245</v>
      </c>
    </row>
    <row r="1866" spans="1:14" x14ac:dyDescent="0.25">
      <c r="A1866">
        <v>1767.415246</v>
      </c>
      <c r="B1866" s="1">
        <f>DATE(2015,3,3) + TIME(9,57,57)</f>
        <v>42066.415243055555</v>
      </c>
      <c r="C1866">
        <v>0</v>
      </c>
      <c r="D1866">
        <v>2400</v>
      </c>
      <c r="E1866">
        <v>2400</v>
      </c>
      <c r="F1866">
        <v>0</v>
      </c>
      <c r="G1866">
        <v>1317.7976074000001</v>
      </c>
      <c r="H1866">
        <v>1310.7321777</v>
      </c>
      <c r="I1866">
        <v>1364.2484131000001</v>
      </c>
      <c r="J1866">
        <v>1353.4337158000001</v>
      </c>
      <c r="K1866">
        <v>80</v>
      </c>
      <c r="L1866">
        <v>73.579460143999995</v>
      </c>
      <c r="M1866">
        <v>50</v>
      </c>
      <c r="N1866">
        <v>49.963249206999997</v>
      </c>
    </row>
    <row r="1867" spans="1:14" x14ac:dyDescent="0.25">
      <c r="A1867">
        <v>1770.854709</v>
      </c>
      <c r="B1867" s="1">
        <f>DATE(2015,3,6) + TIME(20,30,46)</f>
        <v>42069.854699074072</v>
      </c>
      <c r="C1867">
        <v>0</v>
      </c>
      <c r="D1867">
        <v>2400</v>
      </c>
      <c r="E1867">
        <v>2400</v>
      </c>
      <c r="F1867">
        <v>0</v>
      </c>
      <c r="G1867">
        <v>1317.6563721</v>
      </c>
      <c r="H1867">
        <v>1310.5371094</v>
      </c>
      <c r="I1867">
        <v>1364.2429199000001</v>
      </c>
      <c r="J1867">
        <v>1353.4273682</v>
      </c>
      <c r="K1867">
        <v>80</v>
      </c>
      <c r="L1867">
        <v>73.472099303999997</v>
      </c>
      <c r="M1867">
        <v>50</v>
      </c>
      <c r="N1867">
        <v>49.963306426999999</v>
      </c>
    </row>
    <row r="1868" spans="1:14" x14ac:dyDescent="0.25">
      <c r="A1868">
        <v>1774.4304059999999</v>
      </c>
      <c r="B1868" s="1">
        <f>DATE(2015,3,10) + TIME(10,19,47)</f>
        <v>42073.430405092593</v>
      </c>
      <c r="C1868">
        <v>0</v>
      </c>
      <c r="D1868">
        <v>2400</v>
      </c>
      <c r="E1868">
        <v>2400</v>
      </c>
      <c r="F1868">
        <v>0</v>
      </c>
      <c r="G1868">
        <v>1317.4720459</v>
      </c>
      <c r="H1868">
        <v>1310.2857666</v>
      </c>
      <c r="I1868">
        <v>1364.2346190999999</v>
      </c>
      <c r="J1868">
        <v>1353.4185791</v>
      </c>
      <c r="K1868">
        <v>80</v>
      </c>
      <c r="L1868">
        <v>73.341133118000002</v>
      </c>
      <c r="M1868">
        <v>50</v>
      </c>
      <c r="N1868">
        <v>49.963359832999998</v>
      </c>
    </row>
    <row r="1869" spans="1:14" x14ac:dyDescent="0.25">
      <c r="A1869">
        <v>1778.161695</v>
      </c>
      <c r="B1869" s="1">
        <f>DATE(2015,3,14) + TIME(3,52,50)</f>
        <v>42077.161689814813</v>
      </c>
      <c r="C1869">
        <v>0</v>
      </c>
      <c r="D1869">
        <v>2400</v>
      </c>
      <c r="E1869">
        <v>2400</v>
      </c>
      <c r="F1869">
        <v>0</v>
      </c>
      <c r="G1869">
        <v>1317.2709961</v>
      </c>
      <c r="H1869">
        <v>1310.0091553</v>
      </c>
      <c r="I1869">
        <v>1364.2260742000001</v>
      </c>
      <c r="J1869">
        <v>1353.4095459</v>
      </c>
      <c r="K1869">
        <v>80</v>
      </c>
      <c r="L1869">
        <v>73.197746276999993</v>
      </c>
      <c r="M1869">
        <v>50</v>
      </c>
      <c r="N1869">
        <v>49.963420868</v>
      </c>
    </row>
    <row r="1870" spans="1:14" x14ac:dyDescent="0.25">
      <c r="A1870">
        <v>1781.9935660000001</v>
      </c>
      <c r="B1870" s="1">
        <f>DATE(2015,3,17) + TIME(23,50,44)</f>
        <v>42080.993564814817</v>
      </c>
      <c r="C1870">
        <v>0</v>
      </c>
      <c r="D1870">
        <v>2400</v>
      </c>
      <c r="E1870">
        <v>2400</v>
      </c>
      <c r="F1870">
        <v>0</v>
      </c>
      <c r="G1870">
        <v>1317.0594481999999</v>
      </c>
      <c r="H1870">
        <v>1309.7172852000001</v>
      </c>
      <c r="I1870">
        <v>1364.2172852000001</v>
      </c>
      <c r="J1870">
        <v>1353.4001464999999</v>
      </c>
      <c r="K1870">
        <v>80</v>
      </c>
      <c r="L1870">
        <v>73.045555114999999</v>
      </c>
      <c r="M1870">
        <v>50</v>
      </c>
      <c r="N1870">
        <v>49.963478088000002</v>
      </c>
    </row>
    <row r="1871" spans="1:14" x14ac:dyDescent="0.25">
      <c r="A1871">
        <v>1785.923767</v>
      </c>
      <c r="B1871" s="1">
        <f>DATE(2015,3,21) + TIME(22,10,13)</f>
        <v>42084.923761574071</v>
      </c>
      <c r="C1871">
        <v>0</v>
      </c>
      <c r="D1871">
        <v>2400</v>
      </c>
      <c r="E1871">
        <v>2400</v>
      </c>
      <c r="F1871">
        <v>0</v>
      </c>
      <c r="G1871">
        <v>1316.8416748</v>
      </c>
      <c r="H1871">
        <v>1309.4161377</v>
      </c>
      <c r="I1871">
        <v>1364.2082519999999</v>
      </c>
      <c r="J1871">
        <v>1353.390625</v>
      </c>
      <c r="K1871">
        <v>80</v>
      </c>
      <c r="L1871">
        <v>72.886344910000005</v>
      </c>
      <c r="M1871">
        <v>50</v>
      </c>
      <c r="N1871">
        <v>49.963539124</v>
      </c>
    </row>
    <row r="1872" spans="1:14" x14ac:dyDescent="0.25">
      <c r="A1872">
        <v>1789.9472780000001</v>
      </c>
      <c r="B1872" s="1">
        <f>DATE(2015,3,25) + TIME(22,44,4)</f>
        <v>42088.947268518517</v>
      </c>
      <c r="C1872">
        <v>0</v>
      </c>
      <c r="D1872">
        <v>2400</v>
      </c>
      <c r="E1872">
        <v>2400</v>
      </c>
      <c r="F1872">
        <v>0</v>
      </c>
      <c r="G1872">
        <v>1316.6195068</v>
      </c>
      <c r="H1872">
        <v>1309.1081543</v>
      </c>
      <c r="I1872">
        <v>1364.1989745999999</v>
      </c>
      <c r="J1872">
        <v>1353.3811035000001</v>
      </c>
      <c r="K1872">
        <v>80</v>
      </c>
      <c r="L1872">
        <v>72.720375060999999</v>
      </c>
      <c r="M1872">
        <v>50</v>
      </c>
      <c r="N1872">
        <v>49.963600159000002</v>
      </c>
    </row>
    <row r="1873" spans="1:14" x14ac:dyDescent="0.25">
      <c r="A1873">
        <v>1794.0742439999999</v>
      </c>
      <c r="B1873" s="1">
        <f>DATE(2015,3,30) + TIME(1,46,54)</f>
        <v>42093.074236111112</v>
      </c>
      <c r="C1873">
        <v>0</v>
      </c>
      <c r="D1873">
        <v>2400</v>
      </c>
      <c r="E1873">
        <v>2400</v>
      </c>
      <c r="F1873">
        <v>0</v>
      </c>
      <c r="G1873">
        <v>1316.3936768000001</v>
      </c>
      <c r="H1873">
        <v>1308.7945557</v>
      </c>
      <c r="I1873">
        <v>1364.1893310999999</v>
      </c>
      <c r="J1873">
        <v>1353.371582</v>
      </c>
      <c r="K1873">
        <v>80</v>
      </c>
      <c r="L1873">
        <v>72.547302246000001</v>
      </c>
      <c r="M1873">
        <v>50</v>
      </c>
      <c r="N1873">
        <v>49.963661193999997</v>
      </c>
    </row>
    <row r="1874" spans="1:14" x14ac:dyDescent="0.25">
      <c r="A1874">
        <v>1796</v>
      </c>
      <c r="B1874" s="1">
        <f>DATE(2015,4,1) + TIME(0,0,0)</f>
        <v>42095</v>
      </c>
      <c r="C1874">
        <v>0</v>
      </c>
      <c r="D1874">
        <v>2400</v>
      </c>
      <c r="E1874">
        <v>2400</v>
      </c>
      <c r="F1874">
        <v>0</v>
      </c>
      <c r="G1874">
        <v>1316.1748047000001</v>
      </c>
      <c r="H1874">
        <v>1308.4958495999999</v>
      </c>
      <c r="I1874">
        <v>1364.1788329999999</v>
      </c>
      <c r="J1874">
        <v>1353.3616943</v>
      </c>
      <c r="K1874">
        <v>80</v>
      </c>
      <c r="L1874">
        <v>72.409370421999995</v>
      </c>
      <c r="M1874">
        <v>50</v>
      </c>
      <c r="N1874">
        <v>49.963687897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2022-05-31T09:46:00Z</dcterms:created>
  <dcterms:modified xsi:type="dcterms:W3CDTF">2022-05-31T09:46:38Z</dcterms:modified>
</cp:coreProperties>
</file>