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16_high_ambient_T/"/>
    </mc:Choice>
  </mc:AlternateContent>
  <xr:revisionPtr revIDLastSave="0" documentId="8_{90FC7A30-FD8B-457D-976E-8038E20569CC}" xr6:coauthVersionLast="47" xr6:coauthVersionMax="47" xr10:uidLastSave="{00000000-0000-0000-0000-000000000000}"/>
  <bookViews>
    <workbookView xWindow="1575" yWindow="465" windowWidth="18915" windowHeight="9960" xr2:uid="{CC97AE29-DA39-46D9-98FE-D676F4C33F2D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92" i="1" l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<sst xmlns="http://schemas.openxmlformats.org/spreadsheetml/2006/main" count="15" uniqueCount="15">
  <si>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MODEL\SCENARIOS\2022\S16_high_ambient_T\S16_high_ambient_T.sr3</t>
  </si>
  <si>
    <t>Time (day)</t>
  </si>
  <si>
    <t>Date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</si>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</sst>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7A3256-B648-4BF6-A29C-56EB42080D1E}" name="Table1" displayName="Table1" ref="A3:N1292" totalsRowShown="0">
  <autoFilter ref="A3:N1292" xr:uid="{827A3256-B648-4BF6-A29C-56EB42080D1E}"/>
  <tableColumns count="14">
    <tableColumn id="1" xr3:uid="{D27B8896-FB76-46A0-B0FA-268BFCFB9F9E}" name="Time (day)"/>
    <tableColumn id="2" xr3:uid="{3DA76230-1705-47F7-BC3E-544C9298ABA9}" name="Date" dataDxfId="0"/>
    <tableColumn id="3" xr3:uid="{4C9F0978-B4DF-4F3D-A4DA-98405EECF31A}" name="Hot well INJ-Well Bottom-hole Pressure (kPa)"/>
    <tableColumn id="4" xr3:uid="{BD644D67-B3AA-4BE5-A24B-1A05C1276203}" name="Hot well PROD-Well Bottom-hole Pressure (kPa)"/>
    <tableColumn id="5" xr3:uid="{A5AF7318-10F1-4D63-AB7C-AFE5BB58B6D6}" name="Warm well INJ-Well Bottom-hole Pressure (kPa)"/>
    <tableColumn id="6" xr3:uid="{28E68282-4EB7-45B8-A9E3-379B86B84A89}" name="Warm well PROD-Well Bottom-hole Pressure (kPa)"/>
    <tableColumn id="7" xr3:uid="{88DAFF7E-B1F6-4C81-8E48-DE7693EBB1FC}" name="Hot well INJ-Fluid Rate SC (m³/day)"/>
    <tableColumn id="8" xr3:uid="{B01911F5-2BA4-4B0E-B5F1-8CF6F0C3D206}" name="Hot well PROD-Fluid Rate SC (m³/day)"/>
    <tableColumn id="9" xr3:uid="{09A58374-1B44-45F9-8DAF-56E72CF6EA5B}" name="Warm well INJ-Fluid Rate SC (m³/day)"/>
    <tableColumn id="10" xr3:uid="{87596C55-B944-4B2F-BE62-1B205964DA0D}" name="Warm well PROD-Fluid Rate SC (m³/day)"/>
    <tableColumn id="11" xr3:uid="{8A169EC7-0434-4E6F-AFBE-AB06443DE2B4}" name="Hot well INJ-Well bottom hole temperature (C)"/>
    <tableColumn id="12" xr3:uid="{F8DEE91B-8E60-4B62-A79C-45E535753434}" name="Hot well PROD-Well bottom hole temperature (C)"/>
    <tableColumn id="13" xr3:uid="{E6D53226-5039-4BF1-A87D-1E0D0A350D73}" name="Warm well INJ-Well bottom hole temperature (C)"/>
    <tableColumn id="14" xr3:uid="{07159480-307C-4ED4-BE86-739E7A9CCA33}" name="Warm well PROD-Well bottom hole temperature (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D973-CA2F-4BE2-B592-439F3E115F96}">
  <dimension ref="A1:N1292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3.5703125" customWidth="1"/>
    <col min="4" max="5" width="45.85546875" customWidth="1"/>
    <col min="6" max="6" width="48.140625" customWidth="1"/>
    <col min="7" max="7" width="34.140625" customWidth="1"/>
    <col min="8" max="9" width="36.42578125" customWidth="1"/>
    <col min="10" max="10" width="38.7109375" customWidth="1"/>
    <col min="11" max="11" width="44.85546875" customWidth="1"/>
    <col min="12" max="13" width="47.140625" customWidth="1"/>
    <col min="14" max="14" width="49.4257812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1354.1466064000001</v>
      </c>
      <c r="D4">
        <v>1331.3710937999999</v>
      </c>
      <c r="E4">
        <v>1330.4927978999999</v>
      </c>
      <c r="F4">
        <v>1307.7165527</v>
      </c>
      <c r="G4">
        <v>2400</v>
      </c>
      <c r="H4">
        <v>0</v>
      </c>
      <c r="I4">
        <v>0</v>
      </c>
      <c r="J4">
        <v>2400</v>
      </c>
      <c r="K4">
        <v>80</v>
      </c>
      <c r="L4">
        <v>40.000099182</v>
      </c>
      <c r="M4">
        <v>50</v>
      </c>
      <c r="N4">
        <v>39.999946594000001</v>
      </c>
    </row>
    <row r="5" spans="1:14" x14ac:dyDescent="0.25">
      <c r="A5">
        <v>3.9999999999999998E-6</v>
      </c>
      <c r="B5" s="1">
        <f>DATE(2010,5,1) + TIME(0,0,0)</f>
        <v>40299</v>
      </c>
      <c r="C5">
        <v>1355.3428954999999</v>
      </c>
      <c r="D5">
        <v>1332.5675048999999</v>
      </c>
      <c r="E5">
        <v>1329.3049315999999</v>
      </c>
      <c r="F5">
        <v>1306.5286865</v>
      </c>
      <c r="G5">
        <v>2400</v>
      </c>
      <c r="H5">
        <v>0</v>
      </c>
      <c r="I5">
        <v>0</v>
      </c>
      <c r="J5">
        <v>2400</v>
      </c>
      <c r="K5">
        <v>80</v>
      </c>
      <c r="L5">
        <v>40.000385283999996</v>
      </c>
      <c r="M5">
        <v>50</v>
      </c>
      <c r="N5">
        <v>39.999805449999997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1358.1278076000001</v>
      </c>
      <c r="D6">
        <v>1335.3526611</v>
      </c>
      <c r="E6">
        <v>1326.5396728999999</v>
      </c>
      <c r="F6">
        <v>1303.7633057</v>
      </c>
      <c r="G6">
        <v>2400</v>
      </c>
      <c r="H6">
        <v>0</v>
      </c>
      <c r="I6">
        <v>0</v>
      </c>
      <c r="J6">
        <v>2400</v>
      </c>
      <c r="K6">
        <v>80</v>
      </c>
      <c r="L6">
        <v>40.001144408999998</v>
      </c>
      <c r="M6">
        <v>50</v>
      </c>
      <c r="N6">
        <v>39.999473571999999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1363.0394286999999</v>
      </c>
      <c r="D7">
        <v>1340.2650146000001</v>
      </c>
      <c r="E7">
        <v>1321.6625977000001</v>
      </c>
      <c r="F7">
        <v>1298.8859863</v>
      </c>
      <c r="G7">
        <v>2400</v>
      </c>
      <c r="H7">
        <v>0</v>
      </c>
      <c r="I7">
        <v>0</v>
      </c>
      <c r="J7">
        <v>2400</v>
      </c>
      <c r="K7">
        <v>80</v>
      </c>
      <c r="L7">
        <v>40.003013611</v>
      </c>
      <c r="M7">
        <v>50</v>
      </c>
      <c r="N7">
        <v>39.998889923</v>
      </c>
    </row>
    <row r="8" spans="1:14" x14ac:dyDescent="0.25">
      <c r="A8">
        <v>1.21E-4</v>
      </c>
      <c r="B8" s="1">
        <f>DATE(2010,5,1) + TIME(0,0,10)</f>
        <v>40299.000115740739</v>
      </c>
      <c r="C8">
        <v>1369.309082</v>
      </c>
      <c r="D8">
        <v>1346.536499</v>
      </c>
      <c r="E8">
        <v>1315.4353027</v>
      </c>
      <c r="F8">
        <v>1292.6584473</v>
      </c>
      <c r="G8">
        <v>2400</v>
      </c>
      <c r="H8">
        <v>0</v>
      </c>
      <c r="I8">
        <v>0</v>
      </c>
      <c r="J8">
        <v>2400</v>
      </c>
      <c r="K8">
        <v>80</v>
      </c>
      <c r="L8">
        <v>40.007598877</v>
      </c>
      <c r="M8">
        <v>50</v>
      </c>
      <c r="N8">
        <v>39.998142242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1375.8591309000001</v>
      </c>
      <c r="D9">
        <v>1353.0915527</v>
      </c>
      <c r="E9">
        <v>1308.9249268000001</v>
      </c>
      <c r="F9">
        <v>1286.1477050999999</v>
      </c>
      <c r="G9">
        <v>2400</v>
      </c>
      <c r="H9">
        <v>0</v>
      </c>
      <c r="I9">
        <v>0</v>
      </c>
      <c r="J9">
        <v>2400</v>
      </c>
      <c r="K9">
        <v>80</v>
      </c>
      <c r="L9">
        <v>40.019878386999999</v>
      </c>
      <c r="M9">
        <v>50</v>
      </c>
      <c r="N9">
        <v>39.997360229000002</v>
      </c>
    </row>
    <row r="10" spans="1:14" x14ac:dyDescent="0.25">
      <c r="A10">
        <v>1.093E-3</v>
      </c>
      <c r="B10" s="1">
        <f>DATE(2010,5,1) + TIME(0,1,34)</f>
        <v>40299.001087962963</v>
      </c>
      <c r="C10">
        <v>1382.3782959</v>
      </c>
      <c r="D10">
        <v>1359.625</v>
      </c>
      <c r="E10">
        <v>1302.4307861</v>
      </c>
      <c r="F10">
        <v>1279.6531981999999</v>
      </c>
      <c r="G10">
        <v>2400</v>
      </c>
      <c r="H10">
        <v>0</v>
      </c>
      <c r="I10">
        <v>0</v>
      </c>
      <c r="J10">
        <v>2400</v>
      </c>
      <c r="K10">
        <v>80</v>
      </c>
      <c r="L10">
        <v>40.055114746000001</v>
      </c>
      <c r="M10">
        <v>50</v>
      </c>
      <c r="N10">
        <v>39.996585846000002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1388.7713623</v>
      </c>
      <c r="D11">
        <v>1366.0601807</v>
      </c>
      <c r="E11">
        <v>1296.0202637</v>
      </c>
      <c r="F11">
        <v>1273.2424315999999</v>
      </c>
      <c r="G11">
        <v>2400</v>
      </c>
      <c r="H11">
        <v>0</v>
      </c>
      <c r="I11">
        <v>0</v>
      </c>
      <c r="J11">
        <v>2400</v>
      </c>
      <c r="K11">
        <v>80</v>
      </c>
      <c r="L11">
        <v>40.158977509000003</v>
      </c>
      <c r="M11">
        <v>50</v>
      </c>
      <c r="N11">
        <v>39.995822906000001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1394.3934326000001</v>
      </c>
      <c r="D12">
        <v>1371.8062743999999</v>
      </c>
      <c r="E12">
        <v>1290.2788086</v>
      </c>
      <c r="F12">
        <v>1267.5008545000001</v>
      </c>
      <c r="G12">
        <v>2400</v>
      </c>
      <c r="H12">
        <v>0</v>
      </c>
      <c r="I12">
        <v>0</v>
      </c>
      <c r="J12">
        <v>2400</v>
      </c>
      <c r="K12">
        <v>80</v>
      </c>
      <c r="L12">
        <v>40.466636657999999</v>
      </c>
      <c r="M12">
        <v>50</v>
      </c>
      <c r="N12">
        <v>39.99515152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1397.7947998</v>
      </c>
      <c r="D13">
        <v>1375.5638428</v>
      </c>
      <c r="E13">
        <v>1286.5725098</v>
      </c>
      <c r="F13">
        <v>1263.7943115</v>
      </c>
      <c r="G13">
        <v>2400</v>
      </c>
      <c r="H13">
        <v>0</v>
      </c>
      <c r="I13">
        <v>0</v>
      </c>
      <c r="J13">
        <v>2400</v>
      </c>
      <c r="K13">
        <v>80</v>
      </c>
      <c r="L13">
        <v>41.368228911999999</v>
      </c>
      <c r="M13">
        <v>50</v>
      </c>
      <c r="N13">
        <v>39.994750977000002</v>
      </c>
    </row>
    <row r="14" spans="1:14" x14ac:dyDescent="0.25">
      <c r="A14">
        <v>5.1354999999999998E-2</v>
      </c>
      <c r="B14" s="1">
        <f>DATE(2010,5,1) + TIME(1,13,57)</f>
        <v>40299.051354166666</v>
      </c>
      <c r="C14">
        <v>1398.5224608999999</v>
      </c>
      <c r="D14">
        <v>1376.6452637</v>
      </c>
      <c r="E14">
        <v>1285.5488281</v>
      </c>
      <c r="F14">
        <v>1262.7706298999999</v>
      </c>
      <c r="G14">
        <v>2400</v>
      </c>
      <c r="H14">
        <v>0</v>
      </c>
      <c r="I14">
        <v>0</v>
      </c>
      <c r="J14">
        <v>2400</v>
      </c>
      <c r="K14">
        <v>80</v>
      </c>
      <c r="L14">
        <v>42.345062255999999</v>
      </c>
      <c r="M14">
        <v>50</v>
      </c>
      <c r="N14">
        <v>39.994667053000001</v>
      </c>
    </row>
    <row r="15" spans="1:14" x14ac:dyDescent="0.25">
      <c r="A15">
        <v>7.3705000000000007E-2</v>
      </c>
      <c r="B15" s="1">
        <f>DATE(2010,5,1) + TIME(1,46,8)</f>
        <v>40299.073703703703</v>
      </c>
      <c r="C15">
        <v>1398.4521483999999</v>
      </c>
      <c r="D15">
        <v>1376.9145507999999</v>
      </c>
      <c r="E15">
        <v>1285.2808838000001</v>
      </c>
      <c r="F15">
        <v>1262.5025635</v>
      </c>
      <c r="G15">
        <v>2400</v>
      </c>
      <c r="H15">
        <v>0</v>
      </c>
      <c r="I15">
        <v>0</v>
      </c>
      <c r="J15">
        <v>2400</v>
      </c>
      <c r="K15">
        <v>80</v>
      </c>
      <c r="L15">
        <v>43.321800232000001</v>
      </c>
      <c r="M15">
        <v>50</v>
      </c>
      <c r="N15">
        <v>39.994670868</v>
      </c>
    </row>
    <row r="16" spans="1:14" x14ac:dyDescent="0.25">
      <c r="A16">
        <v>9.6586000000000005E-2</v>
      </c>
      <c r="B16" s="1">
        <f>DATE(2010,5,1) + TIME(2,19,5)</f>
        <v>40299.096585648149</v>
      </c>
      <c r="C16">
        <v>1398.1342772999999</v>
      </c>
      <c r="D16">
        <v>1376.9249268000001</v>
      </c>
      <c r="E16">
        <v>1285.21875</v>
      </c>
      <c r="F16">
        <v>1262.4404297000001</v>
      </c>
      <c r="G16">
        <v>2400</v>
      </c>
      <c r="H16">
        <v>0</v>
      </c>
      <c r="I16">
        <v>0</v>
      </c>
      <c r="J16">
        <v>2400</v>
      </c>
      <c r="K16">
        <v>80</v>
      </c>
      <c r="L16">
        <v>44.297966002999999</v>
      </c>
      <c r="M16">
        <v>50</v>
      </c>
      <c r="N16">
        <v>39.994701384999999</v>
      </c>
    </row>
    <row r="17" spans="1:14" x14ac:dyDescent="0.25">
      <c r="A17">
        <v>0.12002599999999999</v>
      </c>
      <c r="B17" s="1">
        <f>DATE(2010,5,1) + TIME(2,52,50)</f>
        <v>40299.120023148149</v>
      </c>
      <c r="C17">
        <v>1397.739624</v>
      </c>
      <c r="D17">
        <v>1376.8476562000001</v>
      </c>
      <c r="E17">
        <v>1285.2104492000001</v>
      </c>
      <c r="F17">
        <v>1262.4321289</v>
      </c>
      <c r="G17">
        <v>2400</v>
      </c>
      <c r="H17">
        <v>0</v>
      </c>
      <c r="I17">
        <v>0</v>
      </c>
      <c r="J17">
        <v>2400</v>
      </c>
      <c r="K17">
        <v>80</v>
      </c>
      <c r="L17">
        <v>45.273483276</v>
      </c>
      <c r="M17">
        <v>50</v>
      </c>
      <c r="N17">
        <v>39.994735718000001</v>
      </c>
    </row>
    <row r="18" spans="1:14" x14ac:dyDescent="0.25">
      <c r="A18">
        <v>0.14405399999999999</v>
      </c>
      <c r="B18" s="1">
        <f>DATE(2010,5,1) + TIME(3,27,26)</f>
        <v>40299.144050925926</v>
      </c>
      <c r="C18">
        <v>1397.3259277</v>
      </c>
      <c r="D18">
        <v>1376.7407227000001</v>
      </c>
      <c r="E18">
        <v>1285.2137451000001</v>
      </c>
      <c r="F18">
        <v>1262.4353027</v>
      </c>
      <c r="G18">
        <v>2400</v>
      </c>
      <c r="H18">
        <v>0</v>
      </c>
      <c r="I18">
        <v>0</v>
      </c>
      <c r="J18">
        <v>2400</v>
      </c>
      <c r="K18">
        <v>80</v>
      </c>
      <c r="L18">
        <v>46.248298644999998</v>
      </c>
      <c r="M18">
        <v>50</v>
      </c>
      <c r="N18">
        <v>39.994773864999999</v>
      </c>
    </row>
    <row r="19" spans="1:14" x14ac:dyDescent="0.25">
      <c r="A19">
        <v>0.16870399999999999</v>
      </c>
      <c r="B19" s="1">
        <f>DATE(2010,5,1) + TIME(4,2,55)</f>
        <v>40299.168692129628</v>
      </c>
      <c r="C19">
        <v>1396.9138184000001</v>
      </c>
      <c r="D19">
        <v>1376.6252440999999</v>
      </c>
      <c r="E19">
        <v>1285.2178954999999</v>
      </c>
      <c r="F19">
        <v>1262.4394531</v>
      </c>
      <c r="G19">
        <v>2400</v>
      </c>
      <c r="H19">
        <v>0</v>
      </c>
      <c r="I19">
        <v>0</v>
      </c>
      <c r="J19">
        <v>2400</v>
      </c>
      <c r="K19">
        <v>80</v>
      </c>
      <c r="L19">
        <v>47.222362517999997</v>
      </c>
      <c r="M19">
        <v>50</v>
      </c>
      <c r="N19">
        <v>39.994808196999998</v>
      </c>
    </row>
    <row r="20" spans="1:14" x14ac:dyDescent="0.25">
      <c r="A20">
        <v>0.19400899999999999</v>
      </c>
      <c r="B20" s="1">
        <f>DATE(2010,5,1) + TIME(4,39,22)</f>
        <v>40299.194004629629</v>
      </c>
      <c r="C20">
        <v>1396.5106201000001</v>
      </c>
      <c r="D20">
        <v>1376.5091553</v>
      </c>
      <c r="E20">
        <v>1285.2210693</v>
      </c>
      <c r="F20">
        <v>1262.4423827999999</v>
      </c>
      <c r="G20">
        <v>2400</v>
      </c>
      <c r="H20">
        <v>0</v>
      </c>
      <c r="I20">
        <v>0</v>
      </c>
      <c r="J20">
        <v>2400</v>
      </c>
      <c r="K20">
        <v>80</v>
      </c>
      <c r="L20">
        <v>48.195632934999999</v>
      </c>
      <c r="M20">
        <v>50</v>
      </c>
      <c r="N20">
        <v>39.994846344000003</v>
      </c>
    </row>
    <row r="21" spans="1:14" x14ac:dyDescent="0.25">
      <c r="A21">
        <v>0.22001000000000001</v>
      </c>
      <c r="B21" s="1">
        <f>DATE(2010,5,1) + TIME(5,16,48)</f>
        <v>40299.22</v>
      </c>
      <c r="C21">
        <v>1396.1192627</v>
      </c>
      <c r="D21">
        <v>1376.3956298999999</v>
      </c>
      <c r="E21">
        <v>1285.2230225000001</v>
      </c>
      <c r="F21">
        <v>1262.4444579999999</v>
      </c>
      <c r="G21">
        <v>2400</v>
      </c>
      <c r="H21">
        <v>0</v>
      </c>
      <c r="I21">
        <v>0</v>
      </c>
      <c r="J21">
        <v>2400</v>
      </c>
      <c r="K21">
        <v>80</v>
      </c>
      <c r="L21">
        <v>49.168052672999998</v>
      </c>
      <c r="M21">
        <v>50</v>
      </c>
      <c r="N21">
        <v>39.994880676000001</v>
      </c>
    </row>
    <row r="22" spans="1:14" x14ac:dyDescent="0.25">
      <c r="A22">
        <v>0.24674699999999999</v>
      </c>
      <c r="B22" s="1">
        <f>DATE(2010,5,1) + TIME(5,55,18)</f>
        <v>40299.246736111112</v>
      </c>
      <c r="C22">
        <v>1395.7404785000001</v>
      </c>
      <c r="D22">
        <v>1376.2856445</v>
      </c>
      <c r="E22">
        <v>1285.2244873</v>
      </c>
      <c r="F22">
        <v>1262.4456786999999</v>
      </c>
      <c r="G22">
        <v>2400</v>
      </c>
      <c r="H22">
        <v>0</v>
      </c>
      <c r="I22">
        <v>0</v>
      </c>
      <c r="J22">
        <v>2400</v>
      </c>
      <c r="K22">
        <v>80</v>
      </c>
      <c r="L22">
        <v>50.139507293999998</v>
      </c>
      <c r="M22">
        <v>50</v>
      </c>
      <c r="N22">
        <v>39.994918822999999</v>
      </c>
    </row>
    <row r="23" spans="1:14" x14ac:dyDescent="0.25">
      <c r="A23">
        <v>0.27427099999999999</v>
      </c>
      <c r="B23" s="1">
        <f>DATE(2010,5,1) + TIME(6,34,57)</f>
        <v>40299.274270833332</v>
      </c>
      <c r="C23">
        <v>1395.3741454999999</v>
      </c>
      <c r="D23">
        <v>1376.1794434000001</v>
      </c>
      <c r="E23">
        <v>1285.2254639</v>
      </c>
      <c r="F23">
        <v>1262.4466553</v>
      </c>
      <c r="G23">
        <v>2400</v>
      </c>
      <c r="H23">
        <v>0</v>
      </c>
      <c r="I23">
        <v>0</v>
      </c>
      <c r="J23">
        <v>2400</v>
      </c>
      <c r="K23">
        <v>80</v>
      </c>
      <c r="L23">
        <v>51.109668732000003</v>
      </c>
      <c r="M23">
        <v>50</v>
      </c>
      <c r="N23">
        <v>39.994956969999997</v>
      </c>
    </row>
    <row r="24" spans="1:14" x14ac:dyDescent="0.25">
      <c r="A24">
        <v>0.30264099999999999</v>
      </c>
      <c r="B24" s="1">
        <f>DATE(2010,5,1) + TIME(7,15,48)</f>
        <v>40299.30263888889</v>
      </c>
      <c r="C24">
        <v>1395.0198975000001</v>
      </c>
      <c r="D24">
        <v>1376.0773925999999</v>
      </c>
      <c r="E24">
        <v>1285.2263184000001</v>
      </c>
      <c r="F24">
        <v>1262.4473877</v>
      </c>
      <c r="G24">
        <v>2400</v>
      </c>
      <c r="H24">
        <v>0</v>
      </c>
      <c r="I24">
        <v>0</v>
      </c>
      <c r="J24">
        <v>2400</v>
      </c>
      <c r="K24">
        <v>80</v>
      </c>
      <c r="L24">
        <v>52.079170226999999</v>
      </c>
      <c r="M24">
        <v>50</v>
      </c>
      <c r="N24">
        <v>39.994991302000003</v>
      </c>
    </row>
    <row r="25" spans="1:14" x14ac:dyDescent="0.25">
      <c r="A25">
        <v>0.33190399999999998</v>
      </c>
      <c r="B25" s="1">
        <f>DATE(2010,5,1) + TIME(7,57,56)</f>
        <v>40299.33189814815</v>
      </c>
      <c r="C25">
        <v>1394.6774902</v>
      </c>
      <c r="D25">
        <v>1375.9790039</v>
      </c>
      <c r="E25">
        <v>1285.2269286999999</v>
      </c>
      <c r="F25">
        <v>1262.4479980000001</v>
      </c>
      <c r="G25">
        <v>2400</v>
      </c>
      <c r="H25">
        <v>0</v>
      </c>
      <c r="I25">
        <v>0</v>
      </c>
      <c r="J25">
        <v>2400</v>
      </c>
      <c r="K25">
        <v>80</v>
      </c>
      <c r="L25">
        <v>53.04757309</v>
      </c>
      <c r="M25">
        <v>50</v>
      </c>
      <c r="N25">
        <v>39.995029449</v>
      </c>
    </row>
    <row r="26" spans="1:14" x14ac:dyDescent="0.25">
      <c r="A26">
        <v>0.36212100000000003</v>
      </c>
      <c r="B26" s="1">
        <f>DATE(2010,5,1) + TIME(8,41,27)</f>
        <v>40299.362118055556</v>
      </c>
      <c r="C26">
        <v>1394.3463135</v>
      </c>
      <c r="D26">
        <v>1375.8843993999999</v>
      </c>
      <c r="E26">
        <v>1285.2275391000001</v>
      </c>
      <c r="F26">
        <v>1262.4484863</v>
      </c>
      <c r="G26">
        <v>2400</v>
      </c>
      <c r="H26">
        <v>0</v>
      </c>
      <c r="I26">
        <v>0</v>
      </c>
      <c r="J26">
        <v>2400</v>
      </c>
      <c r="K26">
        <v>80</v>
      </c>
      <c r="L26">
        <v>54.014797211000001</v>
      </c>
      <c r="M26">
        <v>50</v>
      </c>
      <c r="N26">
        <v>39.995067595999998</v>
      </c>
    </row>
    <row r="27" spans="1:14" x14ac:dyDescent="0.25">
      <c r="A27">
        <v>0.39336199999999999</v>
      </c>
      <c r="B27" s="1">
        <f>DATE(2010,5,1) + TIME(9,26,26)</f>
        <v>40299.39335648148</v>
      </c>
      <c r="C27">
        <v>1394.026001</v>
      </c>
      <c r="D27">
        <v>1375.7930908000001</v>
      </c>
      <c r="E27">
        <v>1285.2281493999999</v>
      </c>
      <c r="F27">
        <v>1262.4489745999999</v>
      </c>
      <c r="G27">
        <v>2400</v>
      </c>
      <c r="H27">
        <v>0</v>
      </c>
      <c r="I27">
        <v>0</v>
      </c>
      <c r="J27">
        <v>2400</v>
      </c>
      <c r="K27">
        <v>80</v>
      </c>
      <c r="L27">
        <v>54.980758667000003</v>
      </c>
      <c r="M27">
        <v>50</v>
      </c>
      <c r="N27">
        <v>39.995105743000003</v>
      </c>
    </row>
    <row r="28" spans="1:14" x14ac:dyDescent="0.25">
      <c r="A28">
        <v>0.42570400000000003</v>
      </c>
      <c r="B28" s="1">
        <f>DATE(2010,5,1) + TIME(10,13,0)</f>
        <v>40299.425694444442</v>
      </c>
      <c r="C28">
        <v>1393.7159423999999</v>
      </c>
      <c r="D28">
        <v>1375.7050781</v>
      </c>
      <c r="E28">
        <v>1285.2286377</v>
      </c>
      <c r="F28">
        <v>1262.4494629000001</v>
      </c>
      <c r="G28">
        <v>2400</v>
      </c>
      <c r="H28">
        <v>0</v>
      </c>
      <c r="I28">
        <v>0</v>
      </c>
      <c r="J28">
        <v>2400</v>
      </c>
      <c r="K28">
        <v>80</v>
      </c>
      <c r="L28">
        <v>55.945362091</v>
      </c>
      <c r="M28">
        <v>50</v>
      </c>
      <c r="N28">
        <v>39.995140075999998</v>
      </c>
    </row>
    <row r="29" spans="1:14" x14ac:dyDescent="0.25">
      <c r="A29">
        <v>0.459233</v>
      </c>
      <c r="B29" s="1">
        <f>DATE(2010,5,1) + TIME(11,1,17)</f>
        <v>40299.459224537037</v>
      </c>
      <c r="C29">
        <v>1393.4155272999999</v>
      </c>
      <c r="D29">
        <v>1375.6198730000001</v>
      </c>
      <c r="E29">
        <v>1285.229126</v>
      </c>
      <c r="F29">
        <v>1262.4498291</v>
      </c>
      <c r="G29">
        <v>2400</v>
      </c>
      <c r="H29">
        <v>0</v>
      </c>
      <c r="I29">
        <v>0</v>
      </c>
      <c r="J29">
        <v>2400</v>
      </c>
      <c r="K29">
        <v>80</v>
      </c>
      <c r="L29">
        <v>56.908500670999999</v>
      </c>
      <c r="M29">
        <v>50</v>
      </c>
      <c r="N29">
        <v>39.995178223000003</v>
      </c>
    </row>
    <row r="30" spans="1:14" x14ac:dyDescent="0.25">
      <c r="A30">
        <v>0.49404599999999999</v>
      </c>
      <c r="B30" s="1">
        <f>DATE(2010,5,1) + TIME(11,51,25)</f>
        <v>40299.494039351855</v>
      </c>
      <c r="C30">
        <v>1393.1245117000001</v>
      </c>
      <c r="D30">
        <v>1375.5373535000001</v>
      </c>
      <c r="E30">
        <v>1285.2296143000001</v>
      </c>
      <c r="F30">
        <v>1262.4501952999999</v>
      </c>
      <c r="G30">
        <v>2400</v>
      </c>
      <c r="H30">
        <v>0</v>
      </c>
      <c r="I30">
        <v>0</v>
      </c>
      <c r="J30">
        <v>2400</v>
      </c>
      <c r="K30">
        <v>80</v>
      </c>
      <c r="L30">
        <v>57.870052338000001</v>
      </c>
      <c r="M30">
        <v>50</v>
      </c>
      <c r="N30">
        <v>39.995216370000001</v>
      </c>
    </row>
    <row r="31" spans="1:14" x14ac:dyDescent="0.25">
      <c r="A31">
        <v>0.53025</v>
      </c>
      <c r="B31" s="1">
        <f>DATE(2010,5,1) + TIME(12,43,33)</f>
        <v>40299.530243055553</v>
      </c>
      <c r="C31">
        <v>1392.8422852000001</v>
      </c>
      <c r="D31">
        <v>1375.4573975000001</v>
      </c>
      <c r="E31">
        <v>1285.2301024999999</v>
      </c>
      <c r="F31">
        <v>1262.4505615</v>
      </c>
      <c r="G31">
        <v>2400</v>
      </c>
      <c r="H31">
        <v>0</v>
      </c>
      <c r="I31">
        <v>0</v>
      </c>
      <c r="J31">
        <v>2400</v>
      </c>
      <c r="K31">
        <v>80</v>
      </c>
      <c r="L31">
        <v>58.829887390000003</v>
      </c>
      <c r="M31">
        <v>50</v>
      </c>
      <c r="N31">
        <v>39.995254516999999</v>
      </c>
    </row>
    <row r="32" spans="1:14" x14ac:dyDescent="0.25">
      <c r="A32">
        <v>0.56796899999999995</v>
      </c>
      <c r="B32" s="1">
        <f>DATE(2010,5,1) + TIME(13,37,52)</f>
        <v>40299.567962962959</v>
      </c>
      <c r="C32">
        <v>1392.5683594</v>
      </c>
      <c r="D32">
        <v>1375.3795166</v>
      </c>
      <c r="E32">
        <v>1285.2304687999999</v>
      </c>
      <c r="F32">
        <v>1262.4508057</v>
      </c>
      <c r="G32">
        <v>2400</v>
      </c>
      <c r="H32">
        <v>0</v>
      </c>
      <c r="I32">
        <v>0</v>
      </c>
      <c r="J32">
        <v>2400</v>
      </c>
      <c r="K32">
        <v>80</v>
      </c>
      <c r="L32">
        <v>59.787857056</v>
      </c>
      <c r="M32">
        <v>50</v>
      </c>
      <c r="N32">
        <v>39.995292663999997</v>
      </c>
    </row>
    <row r="33" spans="1:14" x14ac:dyDescent="0.25">
      <c r="A33">
        <v>0.60734299999999997</v>
      </c>
      <c r="B33" s="1">
        <f>DATE(2010,5,1) + TIME(14,34,34)</f>
        <v>40299.60733796296</v>
      </c>
      <c r="C33">
        <v>1392.3024902</v>
      </c>
      <c r="D33">
        <v>1375.3034668</v>
      </c>
      <c r="E33">
        <v>1285.230957</v>
      </c>
      <c r="F33">
        <v>1262.4511719</v>
      </c>
      <c r="G33">
        <v>2400</v>
      </c>
      <c r="H33">
        <v>0</v>
      </c>
      <c r="I33">
        <v>0</v>
      </c>
      <c r="J33">
        <v>2400</v>
      </c>
      <c r="K33">
        <v>80</v>
      </c>
      <c r="L33">
        <v>60.743244171000001</v>
      </c>
      <c r="M33">
        <v>50</v>
      </c>
      <c r="N33">
        <v>39.995334624999998</v>
      </c>
    </row>
    <row r="34" spans="1:14" x14ac:dyDescent="0.25">
      <c r="A34">
        <v>0.64855600000000002</v>
      </c>
      <c r="B34" s="1">
        <f>DATE(2010,5,1) + TIME(15,33,55)</f>
        <v>40299.648553240739</v>
      </c>
      <c r="C34">
        <v>1392.0438231999999</v>
      </c>
      <c r="D34">
        <v>1375.229126</v>
      </c>
      <c r="E34">
        <v>1285.2313231999999</v>
      </c>
      <c r="F34">
        <v>1262.4514160000001</v>
      </c>
      <c r="G34">
        <v>2400</v>
      </c>
      <c r="H34">
        <v>0</v>
      </c>
      <c r="I34">
        <v>0</v>
      </c>
      <c r="J34">
        <v>2400</v>
      </c>
      <c r="K34">
        <v>80</v>
      </c>
      <c r="L34">
        <v>61.696735382</v>
      </c>
      <c r="M34">
        <v>50</v>
      </c>
      <c r="N34">
        <v>39.995372772000003</v>
      </c>
    </row>
    <row r="35" spans="1:14" x14ac:dyDescent="0.25">
      <c r="A35">
        <v>0.69177900000000003</v>
      </c>
      <c r="B35" s="1">
        <f>DATE(2010,5,1) + TIME(16,36,9)</f>
        <v>40299.691770833335</v>
      </c>
      <c r="C35">
        <v>1391.7921143000001</v>
      </c>
      <c r="D35">
        <v>1375.1561279</v>
      </c>
      <c r="E35">
        <v>1285.2316894999999</v>
      </c>
      <c r="F35">
        <v>1262.4517822</v>
      </c>
      <c r="G35">
        <v>2400</v>
      </c>
      <c r="H35">
        <v>0</v>
      </c>
      <c r="I35">
        <v>0</v>
      </c>
      <c r="J35">
        <v>2400</v>
      </c>
      <c r="K35">
        <v>80</v>
      </c>
      <c r="L35">
        <v>62.647914886000002</v>
      </c>
      <c r="M35">
        <v>50</v>
      </c>
      <c r="N35">
        <v>39.995410919000001</v>
      </c>
    </row>
    <row r="36" spans="1:14" x14ac:dyDescent="0.25">
      <c r="A36">
        <v>0.73721999999999999</v>
      </c>
      <c r="B36" s="1">
        <f>DATE(2010,5,1) + TIME(17,41,35)</f>
        <v>40299.737210648149</v>
      </c>
      <c r="C36">
        <v>1391.546875</v>
      </c>
      <c r="D36">
        <v>1375.0842285000001</v>
      </c>
      <c r="E36">
        <v>1285.2320557</v>
      </c>
      <c r="F36">
        <v>1262.4520264</v>
      </c>
      <c r="G36">
        <v>2400</v>
      </c>
      <c r="H36">
        <v>0</v>
      </c>
      <c r="I36">
        <v>0</v>
      </c>
      <c r="J36">
        <v>2400</v>
      </c>
      <c r="K36">
        <v>80</v>
      </c>
      <c r="L36">
        <v>63.596385955999999</v>
      </c>
      <c r="M36">
        <v>50</v>
      </c>
      <c r="N36">
        <v>39.995452880999999</v>
      </c>
    </row>
    <row r="37" spans="1:14" x14ac:dyDescent="0.25">
      <c r="A37">
        <v>0.78513100000000002</v>
      </c>
      <c r="B37" s="1">
        <f>DATE(2010,5,1) + TIME(18,50,35)</f>
        <v>40299.785127314812</v>
      </c>
      <c r="C37">
        <v>1391.3077393000001</v>
      </c>
      <c r="D37">
        <v>1375.0129394999999</v>
      </c>
      <c r="E37">
        <v>1285.2324219</v>
      </c>
      <c r="F37">
        <v>1262.4522704999999</v>
      </c>
      <c r="G37">
        <v>2400</v>
      </c>
      <c r="H37">
        <v>0</v>
      </c>
      <c r="I37">
        <v>0</v>
      </c>
      <c r="J37">
        <v>2400</v>
      </c>
      <c r="K37">
        <v>80</v>
      </c>
      <c r="L37">
        <v>64.541854857999994</v>
      </c>
      <c r="M37">
        <v>50</v>
      </c>
      <c r="N37">
        <v>39.995491028000004</v>
      </c>
    </row>
    <row r="38" spans="1:14" x14ac:dyDescent="0.25">
      <c r="A38">
        <v>0.83580399999999999</v>
      </c>
      <c r="B38" s="1">
        <f>DATE(2010,5,1) + TIME(20,3,33)</f>
        <v>40299.835798611108</v>
      </c>
      <c r="C38">
        <v>1391.0739745999999</v>
      </c>
      <c r="D38">
        <v>1374.9421387</v>
      </c>
      <c r="E38">
        <v>1285.2327881000001</v>
      </c>
      <c r="F38">
        <v>1262.4525146000001</v>
      </c>
      <c r="G38">
        <v>2400</v>
      </c>
      <c r="H38">
        <v>0</v>
      </c>
      <c r="I38">
        <v>0</v>
      </c>
      <c r="J38">
        <v>2400</v>
      </c>
      <c r="K38">
        <v>80</v>
      </c>
      <c r="L38">
        <v>65.484107971</v>
      </c>
      <c r="M38">
        <v>50</v>
      </c>
      <c r="N38">
        <v>39.995532990000001</v>
      </c>
    </row>
    <row r="39" spans="1:14" x14ac:dyDescent="0.25">
      <c r="A39">
        <v>0.88958300000000001</v>
      </c>
      <c r="B39" s="1">
        <f>DATE(2010,5,1) + TIME(21,21,0)</f>
        <v>40299.88958333333</v>
      </c>
      <c r="C39">
        <v>1390.8453368999999</v>
      </c>
      <c r="D39">
        <v>1374.8712158000001</v>
      </c>
      <c r="E39">
        <v>1285.2331543</v>
      </c>
      <c r="F39">
        <v>1262.4527588000001</v>
      </c>
      <c r="G39">
        <v>2400</v>
      </c>
      <c r="H39">
        <v>0</v>
      </c>
      <c r="I39">
        <v>0</v>
      </c>
      <c r="J39">
        <v>2400</v>
      </c>
      <c r="K39">
        <v>80</v>
      </c>
      <c r="L39">
        <v>66.422622681000007</v>
      </c>
      <c r="M39">
        <v>50</v>
      </c>
      <c r="N39">
        <v>39.995574951000002</v>
      </c>
    </row>
    <row r="40" spans="1:14" x14ac:dyDescent="0.25">
      <c r="A40">
        <v>0.94688600000000001</v>
      </c>
      <c r="B40" s="1">
        <f>DATE(2010,5,1) + TIME(22,43,30)</f>
        <v>40299.946875000001</v>
      </c>
      <c r="C40">
        <v>1390.6210937999999</v>
      </c>
      <c r="D40">
        <v>1374.7998047000001</v>
      </c>
      <c r="E40">
        <v>1285.2336425999999</v>
      </c>
      <c r="F40">
        <v>1262.4530029</v>
      </c>
      <c r="G40">
        <v>2400</v>
      </c>
      <c r="H40">
        <v>0</v>
      </c>
      <c r="I40">
        <v>0</v>
      </c>
      <c r="J40">
        <v>2400</v>
      </c>
      <c r="K40">
        <v>80</v>
      </c>
      <c r="L40">
        <v>67.356834411999998</v>
      </c>
      <c r="M40">
        <v>50</v>
      </c>
      <c r="N40">
        <v>39.995616912999999</v>
      </c>
    </row>
    <row r="41" spans="1:14" x14ac:dyDescent="0.25">
      <c r="A41">
        <v>1.0082230000000001</v>
      </c>
      <c r="B41" s="1">
        <f>DATE(2010,5,2) + TIME(0,11,50)</f>
        <v>40300.008217592593</v>
      </c>
      <c r="C41">
        <v>1390.4007568</v>
      </c>
      <c r="D41">
        <v>1374.7276611</v>
      </c>
      <c r="E41">
        <v>1285.2340088000001</v>
      </c>
      <c r="F41">
        <v>1262.4533690999999</v>
      </c>
      <c r="G41">
        <v>2400</v>
      </c>
      <c r="H41">
        <v>0</v>
      </c>
      <c r="I41">
        <v>0</v>
      </c>
      <c r="J41">
        <v>2400</v>
      </c>
      <c r="K41">
        <v>80</v>
      </c>
      <c r="L41">
        <v>68.286270142000006</v>
      </c>
      <c r="M41">
        <v>50</v>
      </c>
      <c r="N41">
        <v>39.995658874999997</v>
      </c>
    </row>
    <row r="42" spans="1:14" x14ac:dyDescent="0.25">
      <c r="A42">
        <v>1.074217</v>
      </c>
      <c r="B42" s="1">
        <f>DATE(2010,5,2) + TIME(1,46,52)</f>
        <v>40300.074212962965</v>
      </c>
      <c r="C42">
        <v>1390.1837158000001</v>
      </c>
      <c r="D42">
        <v>1374.6539307</v>
      </c>
      <c r="E42">
        <v>1285.234375</v>
      </c>
      <c r="F42">
        <v>1262.4536132999999</v>
      </c>
      <c r="G42">
        <v>2400</v>
      </c>
      <c r="H42">
        <v>0</v>
      </c>
      <c r="I42">
        <v>0</v>
      </c>
      <c r="J42">
        <v>2400</v>
      </c>
      <c r="K42">
        <v>80</v>
      </c>
      <c r="L42">
        <v>69.210258483999993</v>
      </c>
      <c r="M42">
        <v>50</v>
      </c>
      <c r="N42">
        <v>39.995704650999997</v>
      </c>
    </row>
    <row r="43" spans="1:14" x14ac:dyDescent="0.25">
      <c r="A43">
        <v>1.1456409999999999</v>
      </c>
      <c r="B43" s="1">
        <f>DATE(2010,5,2) + TIME(3,29,43)</f>
        <v>40300.145636574074</v>
      </c>
      <c r="C43">
        <v>1389.9691161999999</v>
      </c>
      <c r="D43">
        <v>1374.578125</v>
      </c>
      <c r="E43">
        <v>1285.2348632999999</v>
      </c>
      <c r="F43">
        <v>1262.4538574000001</v>
      </c>
      <c r="G43">
        <v>2400</v>
      </c>
      <c r="H43">
        <v>0</v>
      </c>
      <c r="I43">
        <v>0</v>
      </c>
      <c r="J43">
        <v>2400</v>
      </c>
      <c r="K43">
        <v>80</v>
      </c>
      <c r="L43">
        <v>70.127861022999994</v>
      </c>
      <c r="M43">
        <v>50</v>
      </c>
      <c r="N43">
        <v>39.995750426999997</v>
      </c>
    </row>
    <row r="44" spans="1:14" x14ac:dyDescent="0.25">
      <c r="A44">
        <v>1.2234780000000001</v>
      </c>
      <c r="B44" s="1">
        <f>DATE(2010,5,2) + TIME(5,21,48)</f>
        <v>40300.22347222222</v>
      </c>
      <c r="C44">
        <v>1389.7564697</v>
      </c>
      <c r="D44">
        <v>1374.4993896000001</v>
      </c>
      <c r="E44">
        <v>1285.2352295000001</v>
      </c>
      <c r="F44">
        <v>1262.4542236</v>
      </c>
      <c r="G44">
        <v>2400</v>
      </c>
      <c r="H44">
        <v>0</v>
      </c>
      <c r="I44">
        <v>0</v>
      </c>
      <c r="J44">
        <v>2400</v>
      </c>
      <c r="K44">
        <v>80</v>
      </c>
      <c r="L44">
        <v>71.037643433</v>
      </c>
      <c r="M44">
        <v>50</v>
      </c>
      <c r="N44">
        <v>39.995796204000001</v>
      </c>
    </row>
    <row r="45" spans="1:14" x14ac:dyDescent="0.25">
      <c r="A45">
        <v>1.3090329999999999</v>
      </c>
      <c r="B45" s="1">
        <f>DATE(2010,5,2) + TIME(7,25,0)</f>
        <v>40300.309027777781</v>
      </c>
      <c r="C45">
        <v>1389.5446777</v>
      </c>
      <c r="D45">
        <v>1374.4169922000001</v>
      </c>
      <c r="E45">
        <v>1285.2357178</v>
      </c>
      <c r="F45">
        <v>1262.4545897999999</v>
      </c>
      <c r="G45">
        <v>2400</v>
      </c>
      <c r="H45">
        <v>0</v>
      </c>
      <c r="I45">
        <v>0</v>
      </c>
      <c r="J45">
        <v>2400</v>
      </c>
      <c r="K45">
        <v>80</v>
      </c>
      <c r="L45">
        <v>71.939308166999993</v>
      </c>
      <c r="M45">
        <v>50</v>
      </c>
      <c r="N45">
        <v>39.995841980000002</v>
      </c>
    </row>
    <row r="46" spans="1:14" x14ac:dyDescent="0.25">
      <c r="A46">
        <v>1.3545799999999999</v>
      </c>
      <c r="B46" s="1">
        <f>DATE(2010,5,2) + TIME(8,30,35)</f>
        <v>40300.354571759257</v>
      </c>
      <c r="C46">
        <v>1389.4536132999999</v>
      </c>
      <c r="D46">
        <v>1374.3649902</v>
      </c>
      <c r="E46">
        <v>1285.2362060999999</v>
      </c>
      <c r="F46">
        <v>1262.4548339999999</v>
      </c>
      <c r="G46">
        <v>2400</v>
      </c>
      <c r="H46">
        <v>0</v>
      </c>
      <c r="I46">
        <v>0</v>
      </c>
      <c r="J46">
        <v>2400</v>
      </c>
      <c r="K46">
        <v>80</v>
      </c>
      <c r="L46">
        <v>72.393653869999994</v>
      </c>
      <c r="M46">
        <v>50</v>
      </c>
      <c r="N46">
        <v>39.995868682999998</v>
      </c>
    </row>
    <row r="47" spans="1:14" x14ac:dyDescent="0.25">
      <c r="A47">
        <v>1.4456739999999999</v>
      </c>
      <c r="B47" s="1">
        <f>DATE(2010,5,2) + TIME(10,41,46)</f>
        <v>40300.445671296293</v>
      </c>
      <c r="C47">
        <v>1389.2468262</v>
      </c>
      <c r="D47">
        <v>1374.2918701000001</v>
      </c>
      <c r="E47">
        <v>1285.2365723</v>
      </c>
      <c r="F47">
        <v>1262.4552002</v>
      </c>
      <c r="G47">
        <v>2400</v>
      </c>
      <c r="H47">
        <v>0</v>
      </c>
      <c r="I47">
        <v>0</v>
      </c>
      <c r="J47">
        <v>2400</v>
      </c>
      <c r="K47">
        <v>80</v>
      </c>
      <c r="L47">
        <v>73.205589294000006</v>
      </c>
      <c r="M47">
        <v>50</v>
      </c>
      <c r="N47">
        <v>39.995914458999998</v>
      </c>
    </row>
    <row r="48" spans="1:14" x14ac:dyDescent="0.25">
      <c r="A48">
        <v>1.53688</v>
      </c>
      <c r="B48" s="1">
        <f>DATE(2010,5,2) + TIME(12,53,6)</f>
        <v>40300.536874999998</v>
      </c>
      <c r="C48">
        <v>1389.0705565999999</v>
      </c>
      <c r="D48">
        <v>1374.2104492000001</v>
      </c>
      <c r="E48">
        <v>1285.2370605000001</v>
      </c>
      <c r="F48">
        <v>1262.4555664</v>
      </c>
      <c r="G48">
        <v>2400</v>
      </c>
      <c r="H48">
        <v>0</v>
      </c>
      <c r="I48">
        <v>0</v>
      </c>
      <c r="J48">
        <v>2400</v>
      </c>
      <c r="K48">
        <v>80</v>
      </c>
      <c r="L48">
        <v>73.932754517000006</v>
      </c>
      <c r="M48">
        <v>50</v>
      </c>
      <c r="N48">
        <v>39.995956421000002</v>
      </c>
    </row>
    <row r="49" spans="1:14" x14ac:dyDescent="0.25">
      <c r="A49">
        <v>1.6288750000000001</v>
      </c>
      <c r="B49" s="1">
        <f>DATE(2010,5,2) + TIME(15,5,34)</f>
        <v>40300.628865740742</v>
      </c>
      <c r="C49">
        <v>1388.9064940999999</v>
      </c>
      <c r="D49">
        <v>1374.130249</v>
      </c>
      <c r="E49">
        <v>1285.2375488</v>
      </c>
      <c r="F49">
        <v>1262.4559326000001</v>
      </c>
      <c r="G49">
        <v>2400</v>
      </c>
      <c r="H49">
        <v>0</v>
      </c>
      <c r="I49">
        <v>0</v>
      </c>
      <c r="J49">
        <v>2400</v>
      </c>
      <c r="K49">
        <v>80</v>
      </c>
      <c r="L49">
        <v>74.587791443</v>
      </c>
      <c r="M49">
        <v>50</v>
      </c>
      <c r="N49">
        <v>39.995998383</v>
      </c>
    </row>
    <row r="50" spans="1:14" x14ac:dyDescent="0.25">
      <c r="A50">
        <v>1.721989</v>
      </c>
      <c r="B50" s="1">
        <f>DATE(2010,5,2) + TIME(17,19,39)</f>
        <v>40300.721979166665</v>
      </c>
      <c r="C50">
        <v>1388.7526855000001</v>
      </c>
      <c r="D50">
        <v>1374.0509033000001</v>
      </c>
      <c r="E50">
        <v>1285.2380370999999</v>
      </c>
      <c r="F50">
        <v>1262.4564209</v>
      </c>
      <c r="G50">
        <v>2400</v>
      </c>
      <c r="H50">
        <v>0</v>
      </c>
      <c r="I50">
        <v>0</v>
      </c>
      <c r="J50">
        <v>2400</v>
      </c>
      <c r="K50">
        <v>80</v>
      </c>
      <c r="L50">
        <v>75.178649902000004</v>
      </c>
      <c r="M50">
        <v>50</v>
      </c>
      <c r="N50">
        <v>39.996040344000001</v>
      </c>
    </row>
    <row r="51" spans="1:14" x14ac:dyDescent="0.25">
      <c r="A51">
        <v>1.8165530000000001</v>
      </c>
      <c r="B51" s="1">
        <f>DATE(2010,5,2) + TIME(19,35,50)</f>
        <v>40300.816550925927</v>
      </c>
      <c r="C51">
        <v>1388.6076660000001</v>
      </c>
      <c r="D51">
        <v>1373.9720459</v>
      </c>
      <c r="E51">
        <v>1285.2386475000001</v>
      </c>
      <c r="F51">
        <v>1262.4567870999999</v>
      </c>
      <c r="G51">
        <v>2400</v>
      </c>
      <c r="H51">
        <v>0</v>
      </c>
      <c r="I51">
        <v>0</v>
      </c>
      <c r="J51">
        <v>2400</v>
      </c>
      <c r="K51">
        <v>80</v>
      </c>
      <c r="L51">
        <v>75.712036132999998</v>
      </c>
      <c r="M51">
        <v>50</v>
      </c>
      <c r="N51">
        <v>39.996074677000003</v>
      </c>
    </row>
    <row r="52" spans="1:14" x14ac:dyDescent="0.25">
      <c r="A52">
        <v>1.912898</v>
      </c>
      <c r="B52" s="1">
        <f>DATE(2010,5,2) + TIME(21,54,34)</f>
        <v>40300.912893518522</v>
      </c>
      <c r="C52">
        <v>1388.4699707</v>
      </c>
      <c r="D52">
        <v>1373.8933105000001</v>
      </c>
      <c r="E52">
        <v>1285.2391356999999</v>
      </c>
      <c r="F52">
        <v>1262.4571533000001</v>
      </c>
      <c r="G52">
        <v>2400</v>
      </c>
      <c r="H52">
        <v>0</v>
      </c>
      <c r="I52">
        <v>0</v>
      </c>
      <c r="J52">
        <v>2400</v>
      </c>
      <c r="K52">
        <v>80</v>
      </c>
      <c r="L52">
        <v>76.194084167</v>
      </c>
      <c r="M52">
        <v>50</v>
      </c>
      <c r="N52">
        <v>39.996112822999997</v>
      </c>
    </row>
    <row r="53" spans="1:14" x14ac:dyDescent="0.25">
      <c r="A53">
        <v>2.0113599999999998</v>
      </c>
      <c r="B53" s="1">
        <f>DATE(2010,5,3) + TIME(0,16,21)</f>
        <v>40301.011354166665</v>
      </c>
      <c r="C53">
        <v>1388.338501</v>
      </c>
      <c r="D53">
        <v>1373.8145752</v>
      </c>
      <c r="E53">
        <v>1285.239624</v>
      </c>
      <c r="F53">
        <v>1262.4576416</v>
      </c>
      <c r="G53">
        <v>2400</v>
      </c>
      <c r="H53">
        <v>0</v>
      </c>
      <c r="I53">
        <v>0</v>
      </c>
      <c r="J53">
        <v>2400</v>
      </c>
      <c r="K53">
        <v>80</v>
      </c>
      <c r="L53">
        <v>76.629791260000005</v>
      </c>
      <c r="M53">
        <v>50</v>
      </c>
      <c r="N53">
        <v>39.996147155999999</v>
      </c>
    </row>
    <row r="54" spans="1:14" x14ac:dyDescent="0.25">
      <c r="A54">
        <v>2.1122909999999999</v>
      </c>
      <c r="B54" s="1">
        <f>DATE(2010,5,3) + TIME(2,41,41)</f>
        <v>40301.112280092595</v>
      </c>
      <c r="C54">
        <v>1388.2121582</v>
      </c>
      <c r="D54">
        <v>1373.7354736</v>
      </c>
      <c r="E54">
        <v>1285.2402344</v>
      </c>
      <c r="F54">
        <v>1262.4581298999999</v>
      </c>
      <c r="G54">
        <v>2400</v>
      </c>
      <c r="H54">
        <v>0</v>
      </c>
      <c r="I54">
        <v>0</v>
      </c>
      <c r="J54">
        <v>2400</v>
      </c>
      <c r="K54">
        <v>80</v>
      </c>
      <c r="L54">
        <v>77.023513793999996</v>
      </c>
      <c r="M54">
        <v>50</v>
      </c>
      <c r="N54">
        <v>39.996181487999998</v>
      </c>
    </row>
    <row r="55" spans="1:14" x14ac:dyDescent="0.25">
      <c r="A55">
        <v>2.2160639999999998</v>
      </c>
      <c r="B55" s="1">
        <f>DATE(2010,5,3) + TIME(5,11,7)</f>
        <v>40301.216053240743</v>
      </c>
      <c r="C55">
        <v>1388.090332</v>
      </c>
      <c r="D55">
        <v>1373.6558838000001</v>
      </c>
      <c r="E55">
        <v>1285.2407227000001</v>
      </c>
      <c r="F55">
        <v>1262.4584961</v>
      </c>
      <c r="G55">
        <v>2400</v>
      </c>
      <c r="H55">
        <v>0</v>
      </c>
      <c r="I55">
        <v>0</v>
      </c>
      <c r="J55">
        <v>2400</v>
      </c>
      <c r="K55">
        <v>80</v>
      </c>
      <c r="L55">
        <v>77.379043578999998</v>
      </c>
      <c r="M55">
        <v>50</v>
      </c>
      <c r="N55">
        <v>39.996215820000003</v>
      </c>
    </row>
    <row r="56" spans="1:14" x14ac:dyDescent="0.25">
      <c r="A56">
        <v>2.32308</v>
      </c>
      <c r="B56" s="1">
        <f>DATE(2010,5,3) + TIME(7,45,14)</f>
        <v>40301.323078703703</v>
      </c>
      <c r="C56">
        <v>1387.972168</v>
      </c>
      <c r="D56">
        <v>1373.5754394999999</v>
      </c>
      <c r="E56">
        <v>1285.2412108999999</v>
      </c>
      <c r="F56">
        <v>1262.4589844</v>
      </c>
      <c r="G56">
        <v>2400</v>
      </c>
      <c r="H56">
        <v>0</v>
      </c>
      <c r="I56">
        <v>0</v>
      </c>
      <c r="J56">
        <v>2400</v>
      </c>
      <c r="K56">
        <v>80</v>
      </c>
      <c r="L56">
        <v>77.699722289999997</v>
      </c>
      <c r="M56">
        <v>50</v>
      </c>
      <c r="N56">
        <v>39.996250152999998</v>
      </c>
    </row>
    <row r="57" spans="1:14" x14ac:dyDescent="0.25">
      <c r="A57">
        <v>2.4338160000000002</v>
      </c>
      <c r="B57" s="1">
        <f>DATE(2010,5,3) + TIME(10,24,41)</f>
        <v>40301.433807870373</v>
      </c>
      <c r="C57">
        <v>1387.8569336</v>
      </c>
      <c r="D57">
        <v>1373.4942627</v>
      </c>
      <c r="E57">
        <v>1285.2418213000001</v>
      </c>
      <c r="F57">
        <v>1262.4594727000001</v>
      </c>
      <c r="G57">
        <v>2400</v>
      </c>
      <c r="H57">
        <v>0</v>
      </c>
      <c r="I57">
        <v>0</v>
      </c>
      <c r="J57">
        <v>2400</v>
      </c>
      <c r="K57">
        <v>80</v>
      </c>
      <c r="L57">
        <v>77.988616942999997</v>
      </c>
      <c r="M57">
        <v>50</v>
      </c>
      <c r="N57">
        <v>39.996280669999997</v>
      </c>
    </row>
    <row r="58" spans="1:14" x14ac:dyDescent="0.25">
      <c r="A58">
        <v>2.5487690000000001</v>
      </c>
      <c r="B58" s="1">
        <f>DATE(2010,5,3) + TIME(13,10,13)</f>
        <v>40301.548761574071</v>
      </c>
      <c r="C58">
        <v>1387.7442627</v>
      </c>
      <c r="D58">
        <v>1373.4118652</v>
      </c>
      <c r="E58">
        <v>1285.2423096</v>
      </c>
      <c r="F58">
        <v>1262.4599608999999</v>
      </c>
      <c r="G58">
        <v>2400</v>
      </c>
      <c r="H58">
        <v>0</v>
      </c>
      <c r="I58">
        <v>0</v>
      </c>
      <c r="J58">
        <v>2400</v>
      </c>
      <c r="K58">
        <v>80</v>
      </c>
      <c r="L58">
        <v>78.248352050999998</v>
      </c>
      <c r="M58">
        <v>50</v>
      </c>
      <c r="N58">
        <v>39.996311188</v>
      </c>
    </row>
    <row r="59" spans="1:14" x14ac:dyDescent="0.25">
      <c r="A59">
        <v>2.668453</v>
      </c>
      <c r="B59" s="1">
        <f>DATE(2010,5,3) + TIME(16,2,34)</f>
        <v>40301.668449074074</v>
      </c>
      <c r="C59">
        <v>1387.6333007999999</v>
      </c>
      <c r="D59">
        <v>1373.3282471</v>
      </c>
      <c r="E59">
        <v>1285.2429199000001</v>
      </c>
      <c r="F59">
        <v>1262.4604492000001</v>
      </c>
      <c r="G59">
        <v>2400</v>
      </c>
      <c r="H59">
        <v>0</v>
      </c>
      <c r="I59">
        <v>0</v>
      </c>
      <c r="J59">
        <v>2400</v>
      </c>
      <c r="K59">
        <v>80</v>
      </c>
      <c r="L59">
        <v>78.481239318999997</v>
      </c>
      <c r="M59">
        <v>50</v>
      </c>
      <c r="N59">
        <v>39.996345519999998</v>
      </c>
    </row>
    <row r="60" spans="1:14" x14ac:dyDescent="0.25">
      <c r="A60">
        <v>2.7934969999999999</v>
      </c>
      <c r="B60" s="1">
        <f>DATE(2010,5,3) + TIME(19,2,38)</f>
        <v>40301.793495370373</v>
      </c>
      <c r="C60">
        <v>1387.5238036999999</v>
      </c>
      <c r="D60">
        <v>1373.2430420000001</v>
      </c>
      <c r="E60">
        <v>1285.2434082</v>
      </c>
      <c r="F60">
        <v>1262.4609375</v>
      </c>
      <c r="G60">
        <v>2400</v>
      </c>
      <c r="H60">
        <v>0</v>
      </c>
      <c r="I60">
        <v>0</v>
      </c>
      <c r="J60">
        <v>2400</v>
      </c>
      <c r="K60">
        <v>80</v>
      </c>
      <c r="L60">
        <v>78.689445496000005</v>
      </c>
      <c r="M60">
        <v>50</v>
      </c>
      <c r="N60">
        <v>39.996376038000001</v>
      </c>
    </row>
    <row r="61" spans="1:14" x14ac:dyDescent="0.25">
      <c r="A61">
        <v>2.9246219999999998</v>
      </c>
      <c r="B61" s="1">
        <f>DATE(2010,5,3) + TIME(22,11,27)</f>
        <v>40301.924618055556</v>
      </c>
      <c r="C61">
        <v>1387.4152832</v>
      </c>
      <c r="D61">
        <v>1373.15625</v>
      </c>
      <c r="E61">
        <v>1285.2440185999999</v>
      </c>
      <c r="F61">
        <v>1262.4615478999999</v>
      </c>
      <c r="G61">
        <v>2400</v>
      </c>
      <c r="H61">
        <v>0</v>
      </c>
      <c r="I61">
        <v>0</v>
      </c>
      <c r="J61">
        <v>2400</v>
      </c>
      <c r="K61">
        <v>80</v>
      </c>
      <c r="L61">
        <v>78.874954224000007</v>
      </c>
      <c r="M61">
        <v>50</v>
      </c>
      <c r="N61">
        <v>39.996406555</v>
      </c>
    </row>
    <row r="62" spans="1:14" x14ac:dyDescent="0.25">
      <c r="A62">
        <v>3.0625399999999998</v>
      </c>
      <c r="B62" s="1">
        <f>DATE(2010,5,4) + TIME(1,30,3)</f>
        <v>40302.062534722223</v>
      </c>
      <c r="C62">
        <v>1387.3071289</v>
      </c>
      <c r="D62">
        <v>1373.0675048999999</v>
      </c>
      <c r="E62">
        <v>1285.2446289</v>
      </c>
      <c r="F62">
        <v>1262.4620361</v>
      </c>
      <c r="G62">
        <v>2400</v>
      </c>
      <c r="H62">
        <v>0</v>
      </c>
      <c r="I62">
        <v>0</v>
      </c>
      <c r="J62">
        <v>2400</v>
      </c>
      <c r="K62">
        <v>80</v>
      </c>
      <c r="L62">
        <v>79.039443969999994</v>
      </c>
      <c r="M62">
        <v>50</v>
      </c>
      <c r="N62">
        <v>39.996437073000003</v>
      </c>
    </row>
    <row r="63" spans="1:14" x14ac:dyDescent="0.25">
      <c r="A63">
        <v>3.2079840000000002</v>
      </c>
      <c r="B63" s="1">
        <f>DATE(2010,5,4) + TIME(4,59,29)</f>
        <v>40302.207974537036</v>
      </c>
      <c r="C63">
        <v>1387.1990966999999</v>
      </c>
      <c r="D63">
        <v>1372.9766846</v>
      </c>
      <c r="E63">
        <v>1285.2452393000001</v>
      </c>
      <c r="F63">
        <v>1262.4626464999999</v>
      </c>
      <c r="G63">
        <v>2400</v>
      </c>
      <c r="H63">
        <v>0</v>
      </c>
      <c r="I63">
        <v>0</v>
      </c>
      <c r="J63">
        <v>2400</v>
      </c>
      <c r="K63">
        <v>80</v>
      </c>
      <c r="L63">
        <v>79.184440613000007</v>
      </c>
      <c r="M63">
        <v>50</v>
      </c>
      <c r="N63">
        <v>39.996467590000002</v>
      </c>
    </row>
    <row r="64" spans="1:14" x14ac:dyDescent="0.25">
      <c r="A64">
        <v>3.3615729999999999</v>
      </c>
      <c r="B64" s="1">
        <f>DATE(2010,5,4) + TIME(8,40,39)</f>
        <v>40302.361562500002</v>
      </c>
      <c r="C64">
        <v>1387.0908202999999</v>
      </c>
      <c r="D64">
        <v>1372.8836670000001</v>
      </c>
      <c r="E64">
        <v>1285.2458495999999</v>
      </c>
      <c r="F64">
        <v>1262.4632568</v>
      </c>
      <c r="G64">
        <v>2400</v>
      </c>
      <c r="H64">
        <v>0</v>
      </c>
      <c r="I64">
        <v>0</v>
      </c>
      <c r="J64">
        <v>2400</v>
      </c>
      <c r="K64">
        <v>80</v>
      </c>
      <c r="L64">
        <v>79.311271667</v>
      </c>
      <c r="M64">
        <v>50</v>
      </c>
      <c r="N64">
        <v>39.996498107999997</v>
      </c>
    </row>
    <row r="65" spans="1:14" x14ac:dyDescent="0.25">
      <c r="A65">
        <v>3.5235690000000002</v>
      </c>
      <c r="B65" s="1">
        <f>DATE(2010,5,4) + TIME(12,33,56)</f>
        <v>40302.523564814815</v>
      </c>
      <c r="C65">
        <v>1386.9820557</v>
      </c>
      <c r="D65">
        <v>1372.7883300999999</v>
      </c>
      <c r="E65">
        <v>1285.246582</v>
      </c>
      <c r="F65">
        <v>1262.4638672000001</v>
      </c>
      <c r="G65">
        <v>2400</v>
      </c>
      <c r="H65">
        <v>0</v>
      </c>
      <c r="I65">
        <v>0</v>
      </c>
      <c r="J65">
        <v>2400</v>
      </c>
      <c r="K65">
        <v>80</v>
      </c>
      <c r="L65">
        <v>79.421073914000004</v>
      </c>
      <c r="M65">
        <v>50</v>
      </c>
      <c r="N65">
        <v>39.996528625000003</v>
      </c>
    </row>
    <row r="66" spans="1:14" x14ac:dyDescent="0.25">
      <c r="A66">
        <v>3.6952590000000001</v>
      </c>
      <c r="B66" s="1">
        <f>DATE(2010,5,4) + TIME(16,41,10)</f>
        <v>40302.695254629631</v>
      </c>
      <c r="C66">
        <v>1386.8726807</v>
      </c>
      <c r="D66">
        <v>1372.6910399999999</v>
      </c>
      <c r="E66">
        <v>1285.2473144999999</v>
      </c>
      <c r="F66">
        <v>1262.4644774999999</v>
      </c>
      <c r="G66">
        <v>2400</v>
      </c>
      <c r="H66">
        <v>0</v>
      </c>
      <c r="I66">
        <v>0</v>
      </c>
      <c r="J66">
        <v>2400</v>
      </c>
      <c r="K66">
        <v>80</v>
      </c>
      <c r="L66">
        <v>79.515594481999997</v>
      </c>
      <c r="M66">
        <v>50</v>
      </c>
      <c r="N66">
        <v>39.996559142999999</v>
      </c>
    </row>
    <row r="67" spans="1:14" x14ac:dyDescent="0.25">
      <c r="A67">
        <v>3.877704</v>
      </c>
      <c r="B67" s="1">
        <f>DATE(2010,5,4) + TIME(21,3,53)</f>
        <v>40302.877696759257</v>
      </c>
      <c r="C67">
        <v>1386.7623291</v>
      </c>
      <c r="D67">
        <v>1372.5911865</v>
      </c>
      <c r="E67">
        <v>1285.2480469</v>
      </c>
      <c r="F67">
        <v>1262.4652100000001</v>
      </c>
      <c r="G67">
        <v>2400</v>
      </c>
      <c r="H67">
        <v>0</v>
      </c>
      <c r="I67">
        <v>0</v>
      </c>
      <c r="J67">
        <v>2400</v>
      </c>
      <c r="K67">
        <v>80</v>
      </c>
      <c r="L67">
        <v>79.596267699999999</v>
      </c>
      <c r="M67">
        <v>50</v>
      </c>
      <c r="N67">
        <v>39.996589661000002</v>
      </c>
    </row>
    <row r="68" spans="1:14" x14ac:dyDescent="0.25">
      <c r="A68">
        <v>4.0665570000000004</v>
      </c>
      <c r="B68" s="1">
        <f>DATE(2010,5,5) + TIME(1,35,50)</f>
        <v>40303.066550925927</v>
      </c>
      <c r="C68">
        <v>1386.6511230000001</v>
      </c>
      <c r="D68">
        <v>1372.4890137</v>
      </c>
      <c r="E68">
        <v>1285.2487793</v>
      </c>
      <c r="F68">
        <v>1262.4659423999999</v>
      </c>
      <c r="G68">
        <v>2400</v>
      </c>
      <c r="H68">
        <v>0</v>
      </c>
      <c r="I68">
        <v>0</v>
      </c>
      <c r="J68">
        <v>2400</v>
      </c>
      <c r="K68">
        <v>80</v>
      </c>
      <c r="L68">
        <v>79.662918090999995</v>
      </c>
      <c r="M68">
        <v>50</v>
      </c>
      <c r="N68">
        <v>39.996623993</v>
      </c>
    </row>
    <row r="69" spans="1:14" x14ac:dyDescent="0.25">
      <c r="A69">
        <v>4.2558720000000001</v>
      </c>
      <c r="B69" s="1">
        <f>DATE(2010,5,5) + TIME(6,8,27)</f>
        <v>40303.255868055552</v>
      </c>
      <c r="C69">
        <v>1386.5415039</v>
      </c>
      <c r="D69">
        <v>1372.3870850000001</v>
      </c>
      <c r="E69">
        <v>1285.2495117000001</v>
      </c>
      <c r="F69">
        <v>1262.4666748</v>
      </c>
      <c r="G69">
        <v>2400</v>
      </c>
      <c r="H69">
        <v>0</v>
      </c>
      <c r="I69">
        <v>0</v>
      </c>
      <c r="J69">
        <v>2400</v>
      </c>
      <c r="K69">
        <v>80</v>
      </c>
      <c r="L69">
        <v>79.716247558999996</v>
      </c>
      <c r="M69">
        <v>50</v>
      </c>
      <c r="N69">
        <v>39.996654509999999</v>
      </c>
    </row>
    <row r="70" spans="1:14" x14ac:dyDescent="0.25">
      <c r="A70">
        <v>4.4464699999999997</v>
      </c>
      <c r="B70" s="1">
        <f>DATE(2010,5,5) + TIME(10,42,54)</f>
        <v>40303.446458333332</v>
      </c>
      <c r="C70">
        <v>1386.4364014</v>
      </c>
      <c r="D70">
        <v>1372.2886963000001</v>
      </c>
      <c r="E70">
        <v>1285.2502440999999</v>
      </c>
      <c r="F70">
        <v>1262.4674072</v>
      </c>
      <c r="G70">
        <v>2400</v>
      </c>
      <c r="H70">
        <v>0</v>
      </c>
      <c r="I70">
        <v>0</v>
      </c>
      <c r="J70">
        <v>2400</v>
      </c>
      <c r="K70">
        <v>80</v>
      </c>
      <c r="L70">
        <v>79.759086608999993</v>
      </c>
      <c r="M70">
        <v>50</v>
      </c>
      <c r="N70">
        <v>39.996681213000002</v>
      </c>
    </row>
    <row r="71" spans="1:14" x14ac:dyDescent="0.25">
      <c r="A71">
        <v>4.6391169999999997</v>
      </c>
      <c r="B71" s="1">
        <f>DATE(2010,5,5) + TIME(15,20,19)</f>
        <v>40303.639108796298</v>
      </c>
      <c r="C71">
        <v>1386.3348389</v>
      </c>
      <c r="D71">
        <v>1372.1929932</v>
      </c>
      <c r="E71">
        <v>1285.2509766000001</v>
      </c>
      <c r="F71">
        <v>1262.4681396000001</v>
      </c>
      <c r="G71">
        <v>2400</v>
      </c>
      <c r="H71">
        <v>0</v>
      </c>
      <c r="I71">
        <v>0</v>
      </c>
      <c r="J71">
        <v>2400</v>
      </c>
      <c r="K71">
        <v>80</v>
      </c>
      <c r="L71">
        <v>79.793586731000005</v>
      </c>
      <c r="M71">
        <v>50</v>
      </c>
      <c r="N71">
        <v>39.996711730999998</v>
      </c>
    </row>
    <row r="72" spans="1:14" x14ac:dyDescent="0.25">
      <c r="A72">
        <v>4.8345510000000003</v>
      </c>
      <c r="B72" s="1">
        <f>DATE(2010,5,5) + TIME(20,1,45)</f>
        <v>40303.834548611114</v>
      </c>
      <c r="C72">
        <v>1386.2362060999999</v>
      </c>
      <c r="D72">
        <v>1372.0997314000001</v>
      </c>
      <c r="E72">
        <v>1285.2518310999999</v>
      </c>
      <c r="F72">
        <v>1262.46875</v>
      </c>
      <c r="G72">
        <v>2400</v>
      </c>
      <c r="H72">
        <v>0</v>
      </c>
      <c r="I72">
        <v>0</v>
      </c>
      <c r="J72">
        <v>2400</v>
      </c>
      <c r="K72">
        <v>80</v>
      </c>
      <c r="L72">
        <v>79.821434021000002</v>
      </c>
      <c r="M72">
        <v>50</v>
      </c>
      <c r="N72">
        <v>39.996738434000001</v>
      </c>
    </row>
    <row r="73" spans="1:14" x14ac:dyDescent="0.25">
      <c r="A73">
        <v>5.0334960000000004</v>
      </c>
      <c r="B73" s="1">
        <f>DATE(2010,5,6) + TIME(0,48,14)</f>
        <v>40304.033495370371</v>
      </c>
      <c r="C73">
        <v>1386.1398925999999</v>
      </c>
      <c r="D73">
        <v>1372.0084228999999</v>
      </c>
      <c r="E73">
        <v>1285.2525635</v>
      </c>
      <c r="F73">
        <v>1262.4694824000001</v>
      </c>
      <c r="G73">
        <v>2400</v>
      </c>
      <c r="H73">
        <v>0</v>
      </c>
      <c r="I73">
        <v>0</v>
      </c>
      <c r="J73">
        <v>2400</v>
      </c>
      <c r="K73">
        <v>80</v>
      </c>
      <c r="L73">
        <v>79.843925475999995</v>
      </c>
      <c r="M73">
        <v>50</v>
      </c>
      <c r="N73">
        <v>39.996765136999997</v>
      </c>
    </row>
    <row r="74" spans="1:14" x14ac:dyDescent="0.25">
      <c r="A74">
        <v>5.2366919999999997</v>
      </c>
      <c r="B74" s="1">
        <f>DATE(2010,5,6) + TIME(5,40,50)</f>
        <v>40304.236689814818</v>
      </c>
      <c r="C74">
        <v>1386.0456543</v>
      </c>
      <c r="D74">
        <v>1371.9187012</v>
      </c>
      <c r="E74">
        <v>1285.2532959</v>
      </c>
      <c r="F74">
        <v>1262.4703368999999</v>
      </c>
      <c r="G74">
        <v>2400</v>
      </c>
      <c r="H74">
        <v>0</v>
      </c>
      <c r="I74">
        <v>0</v>
      </c>
      <c r="J74">
        <v>2400</v>
      </c>
      <c r="K74">
        <v>80</v>
      </c>
      <c r="L74">
        <v>79.862113953000005</v>
      </c>
      <c r="M74">
        <v>50</v>
      </c>
      <c r="N74">
        <v>39.99679184</v>
      </c>
    </row>
    <row r="75" spans="1:14" x14ac:dyDescent="0.25">
      <c r="A75">
        <v>5.444909</v>
      </c>
      <c r="B75" s="1">
        <f>DATE(2010,5,6) + TIME(10,40,40)</f>
        <v>40304.444907407407</v>
      </c>
      <c r="C75">
        <v>1385.9528809000001</v>
      </c>
      <c r="D75">
        <v>1371.8302002</v>
      </c>
      <c r="E75">
        <v>1285.2541504000001</v>
      </c>
      <c r="F75">
        <v>1262.4710693</v>
      </c>
      <c r="G75">
        <v>2400</v>
      </c>
      <c r="H75">
        <v>0</v>
      </c>
      <c r="I75">
        <v>0</v>
      </c>
      <c r="J75">
        <v>2400</v>
      </c>
      <c r="K75">
        <v>80</v>
      </c>
      <c r="L75">
        <v>79.876815796000002</v>
      </c>
      <c r="M75">
        <v>50</v>
      </c>
      <c r="N75">
        <v>39.996818542</v>
      </c>
    </row>
    <row r="76" spans="1:14" x14ac:dyDescent="0.25">
      <c r="A76">
        <v>5.6590499999999997</v>
      </c>
      <c r="B76" s="1">
        <f>DATE(2010,5,6) + TIME(15,49,1)</f>
        <v>40304.659039351849</v>
      </c>
      <c r="C76">
        <v>1385.8612060999999</v>
      </c>
      <c r="D76">
        <v>1371.7427978999999</v>
      </c>
      <c r="E76">
        <v>1285.2548827999999</v>
      </c>
      <c r="F76">
        <v>1262.4718018000001</v>
      </c>
      <c r="G76">
        <v>2400</v>
      </c>
      <c r="H76">
        <v>0</v>
      </c>
      <c r="I76">
        <v>0</v>
      </c>
      <c r="J76">
        <v>2400</v>
      </c>
      <c r="K76">
        <v>80</v>
      </c>
      <c r="L76">
        <v>79.888702393000003</v>
      </c>
      <c r="M76">
        <v>50</v>
      </c>
      <c r="N76">
        <v>39.996845245000003</v>
      </c>
    </row>
    <row r="77" spans="1:14" x14ac:dyDescent="0.25">
      <c r="A77">
        <v>5.8798060000000003</v>
      </c>
      <c r="B77" s="1">
        <f>DATE(2010,5,6) + TIME(21,6,55)</f>
        <v>40304.879803240743</v>
      </c>
      <c r="C77">
        <v>1385.7703856999999</v>
      </c>
      <c r="D77">
        <v>1371.6558838000001</v>
      </c>
      <c r="E77">
        <v>1285.2557373</v>
      </c>
      <c r="F77">
        <v>1262.4726562000001</v>
      </c>
      <c r="G77">
        <v>2400</v>
      </c>
      <c r="H77">
        <v>0</v>
      </c>
      <c r="I77">
        <v>0</v>
      </c>
      <c r="J77">
        <v>2400</v>
      </c>
      <c r="K77">
        <v>80</v>
      </c>
      <c r="L77">
        <v>79.898300171000002</v>
      </c>
      <c r="M77">
        <v>50</v>
      </c>
      <c r="N77">
        <v>39.996871947999999</v>
      </c>
    </row>
    <row r="78" spans="1:14" x14ac:dyDescent="0.25">
      <c r="A78">
        <v>6.1075739999999996</v>
      </c>
      <c r="B78" s="1">
        <f>DATE(2010,5,7) + TIME(2,34,54)</f>
        <v>40305.107569444444</v>
      </c>
      <c r="C78">
        <v>1385.6799315999999</v>
      </c>
      <c r="D78">
        <v>1371.5694579999999</v>
      </c>
      <c r="E78">
        <v>1285.2565918</v>
      </c>
      <c r="F78">
        <v>1262.4733887</v>
      </c>
      <c r="G78">
        <v>2400</v>
      </c>
      <c r="H78">
        <v>0</v>
      </c>
      <c r="I78">
        <v>0</v>
      </c>
      <c r="J78">
        <v>2400</v>
      </c>
      <c r="K78">
        <v>80</v>
      </c>
      <c r="L78">
        <v>79.906028747999997</v>
      </c>
      <c r="M78">
        <v>50</v>
      </c>
      <c r="N78">
        <v>39.996898651000002</v>
      </c>
    </row>
    <row r="79" spans="1:14" x14ac:dyDescent="0.25">
      <c r="A79">
        <v>6.3433799999999998</v>
      </c>
      <c r="B79" s="1">
        <f>DATE(2010,5,7) + TIME(8,14,28)</f>
        <v>40305.34337962963</v>
      </c>
      <c r="C79">
        <v>1385.5898437999999</v>
      </c>
      <c r="D79">
        <v>1371.4833983999999</v>
      </c>
      <c r="E79">
        <v>1285.2574463000001</v>
      </c>
      <c r="F79">
        <v>1262.4742432</v>
      </c>
      <c r="G79">
        <v>2400</v>
      </c>
      <c r="H79">
        <v>0</v>
      </c>
      <c r="I79">
        <v>0</v>
      </c>
      <c r="J79">
        <v>2400</v>
      </c>
      <c r="K79">
        <v>80</v>
      </c>
      <c r="L79">
        <v>79.912254333000007</v>
      </c>
      <c r="M79">
        <v>50</v>
      </c>
      <c r="N79">
        <v>39.996925353999998</v>
      </c>
    </row>
    <row r="80" spans="1:14" x14ac:dyDescent="0.25">
      <c r="A80">
        <v>6.5883649999999996</v>
      </c>
      <c r="B80" s="1">
        <f>DATE(2010,5,7) + TIME(14,7,14)</f>
        <v>40305.588356481479</v>
      </c>
      <c r="C80">
        <v>1385.5</v>
      </c>
      <c r="D80">
        <v>1371.3974608999999</v>
      </c>
      <c r="E80">
        <v>1285.2584228999999</v>
      </c>
      <c r="F80">
        <v>1262.4750977000001</v>
      </c>
      <c r="G80">
        <v>2400</v>
      </c>
      <c r="H80">
        <v>0</v>
      </c>
      <c r="I80">
        <v>0</v>
      </c>
      <c r="J80">
        <v>2400</v>
      </c>
      <c r="K80">
        <v>80</v>
      </c>
      <c r="L80">
        <v>79.917259216000005</v>
      </c>
      <c r="M80">
        <v>50</v>
      </c>
      <c r="N80">
        <v>39.996952057000001</v>
      </c>
    </row>
    <row r="81" spans="1:14" x14ac:dyDescent="0.25">
      <c r="A81">
        <v>6.843839</v>
      </c>
      <c r="B81" s="1">
        <f>DATE(2010,5,7) + TIME(20,15,7)</f>
        <v>40305.843831018516</v>
      </c>
      <c r="C81">
        <v>1385.4097899999999</v>
      </c>
      <c r="D81">
        <v>1371.3112793</v>
      </c>
      <c r="E81">
        <v>1285.2592772999999</v>
      </c>
      <c r="F81">
        <v>1262.4759521000001</v>
      </c>
      <c r="G81">
        <v>2400</v>
      </c>
      <c r="H81">
        <v>0</v>
      </c>
      <c r="I81">
        <v>0</v>
      </c>
      <c r="J81">
        <v>2400</v>
      </c>
      <c r="K81">
        <v>80</v>
      </c>
      <c r="L81">
        <v>79.921295165999993</v>
      </c>
      <c r="M81">
        <v>50</v>
      </c>
      <c r="N81">
        <v>39.996974944999998</v>
      </c>
    </row>
    <row r="82" spans="1:14" x14ac:dyDescent="0.25">
      <c r="A82">
        <v>7.1110230000000003</v>
      </c>
      <c r="B82" s="1">
        <f>DATE(2010,5,8) + TIME(2,39,52)</f>
        <v>40306.111018518517</v>
      </c>
      <c r="C82">
        <v>1385.3189697</v>
      </c>
      <c r="D82">
        <v>1371.2247314000001</v>
      </c>
      <c r="E82">
        <v>1285.2602539</v>
      </c>
      <c r="F82">
        <v>1262.4769286999999</v>
      </c>
      <c r="G82">
        <v>2400</v>
      </c>
      <c r="H82">
        <v>0</v>
      </c>
      <c r="I82">
        <v>0</v>
      </c>
      <c r="J82">
        <v>2400</v>
      </c>
      <c r="K82">
        <v>80</v>
      </c>
      <c r="L82">
        <v>79.924537658999995</v>
      </c>
      <c r="M82">
        <v>50</v>
      </c>
      <c r="N82">
        <v>39.997001648000001</v>
      </c>
    </row>
    <row r="83" spans="1:14" x14ac:dyDescent="0.25">
      <c r="A83">
        <v>7.3907150000000001</v>
      </c>
      <c r="B83" s="1">
        <f>DATE(2010,5,8) + TIME(9,22,37)</f>
        <v>40306.390706018516</v>
      </c>
      <c r="C83">
        <v>1385.2274170000001</v>
      </c>
      <c r="D83">
        <v>1371.1374512</v>
      </c>
      <c r="E83">
        <v>1285.2613524999999</v>
      </c>
      <c r="F83">
        <v>1262.4779053</v>
      </c>
      <c r="G83">
        <v>2400</v>
      </c>
      <c r="H83">
        <v>0</v>
      </c>
      <c r="I83">
        <v>0</v>
      </c>
      <c r="J83">
        <v>2400</v>
      </c>
      <c r="K83">
        <v>80</v>
      </c>
      <c r="L83">
        <v>79.927139281999999</v>
      </c>
      <c r="M83">
        <v>50</v>
      </c>
      <c r="N83">
        <v>39.997028350999997</v>
      </c>
    </row>
    <row r="84" spans="1:14" x14ac:dyDescent="0.25">
      <c r="A84">
        <v>7.6835880000000003</v>
      </c>
      <c r="B84" s="1">
        <f>DATE(2010,5,8) + TIME(16,24,21)</f>
        <v>40306.683576388888</v>
      </c>
      <c r="C84">
        <v>1385.1348877</v>
      </c>
      <c r="D84">
        <v>1371.0494385</v>
      </c>
      <c r="E84">
        <v>1285.2623291</v>
      </c>
      <c r="F84">
        <v>1262.4788818</v>
      </c>
      <c r="G84">
        <v>2400</v>
      </c>
      <c r="H84">
        <v>0</v>
      </c>
      <c r="I84">
        <v>0</v>
      </c>
      <c r="J84">
        <v>2400</v>
      </c>
      <c r="K84">
        <v>80</v>
      </c>
      <c r="L84">
        <v>79.929229735999996</v>
      </c>
      <c r="M84">
        <v>50</v>
      </c>
      <c r="N84">
        <v>39.997058868000003</v>
      </c>
    </row>
    <row r="85" spans="1:14" x14ac:dyDescent="0.25">
      <c r="A85">
        <v>7.9863479999999996</v>
      </c>
      <c r="B85" s="1">
        <f>DATE(2010,5,8) + TIME(23,40,20)</f>
        <v>40306.986342592594</v>
      </c>
      <c r="C85">
        <v>1385.0415039</v>
      </c>
      <c r="D85">
        <v>1370.9608154</v>
      </c>
      <c r="E85">
        <v>1285.2634277</v>
      </c>
      <c r="F85">
        <v>1262.4799805</v>
      </c>
      <c r="G85">
        <v>2400</v>
      </c>
      <c r="H85">
        <v>0</v>
      </c>
      <c r="I85">
        <v>0</v>
      </c>
      <c r="J85">
        <v>2400</v>
      </c>
      <c r="K85">
        <v>80</v>
      </c>
      <c r="L85">
        <v>79.930885314999998</v>
      </c>
      <c r="M85">
        <v>50</v>
      </c>
      <c r="N85">
        <v>39.997085571</v>
      </c>
    </row>
    <row r="86" spans="1:14" x14ac:dyDescent="0.25">
      <c r="A86">
        <v>8.2899930000000008</v>
      </c>
      <c r="B86" s="1">
        <f>DATE(2010,5,9) + TIME(6,57,35)</f>
        <v>40307.289988425924</v>
      </c>
      <c r="C86">
        <v>1384.9484863</v>
      </c>
      <c r="D86">
        <v>1370.8725586</v>
      </c>
      <c r="E86">
        <v>1285.2646483999999</v>
      </c>
      <c r="F86">
        <v>1262.4810791</v>
      </c>
      <c r="G86">
        <v>2400</v>
      </c>
      <c r="H86">
        <v>0</v>
      </c>
      <c r="I86">
        <v>0</v>
      </c>
      <c r="J86">
        <v>2400</v>
      </c>
      <c r="K86">
        <v>80</v>
      </c>
      <c r="L86">
        <v>79.932174683</v>
      </c>
      <c r="M86">
        <v>50</v>
      </c>
      <c r="N86">
        <v>39.997112274000003</v>
      </c>
    </row>
    <row r="87" spans="1:14" x14ac:dyDescent="0.25">
      <c r="A87">
        <v>8.5958089999999991</v>
      </c>
      <c r="B87" s="1">
        <f>DATE(2010,5,9) + TIME(14,17,57)</f>
        <v>40307.59579861111</v>
      </c>
      <c r="C87">
        <v>1384.8583983999999</v>
      </c>
      <c r="D87">
        <v>1370.7872314000001</v>
      </c>
      <c r="E87">
        <v>1285.2657471</v>
      </c>
      <c r="F87">
        <v>1262.4821777</v>
      </c>
      <c r="G87">
        <v>2400</v>
      </c>
      <c r="H87">
        <v>0</v>
      </c>
      <c r="I87">
        <v>0</v>
      </c>
      <c r="J87">
        <v>2400</v>
      </c>
      <c r="K87">
        <v>80</v>
      </c>
      <c r="L87">
        <v>79.933197020999998</v>
      </c>
      <c r="M87">
        <v>50</v>
      </c>
      <c r="N87">
        <v>39.997135161999999</v>
      </c>
    </row>
    <row r="88" spans="1:14" x14ac:dyDescent="0.25">
      <c r="A88">
        <v>8.9050229999999999</v>
      </c>
      <c r="B88" s="1">
        <f>DATE(2010,5,9) + TIME(21,43,13)</f>
        <v>40307.905011574076</v>
      </c>
      <c r="C88">
        <v>1384.770874</v>
      </c>
      <c r="D88">
        <v>1370.7045897999999</v>
      </c>
      <c r="E88">
        <v>1285.2668457</v>
      </c>
      <c r="F88">
        <v>1262.4831543</v>
      </c>
      <c r="G88">
        <v>2400</v>
      </c>
      <c r="H88">
        <v>0</v>
      </c>
      <c r="I88">
        <v>0</v>
      </c>
      <c r="J88">
        <v>2400</v>
      </c>
      <c r="K88">
        <v>80</v>
      </c>
      <c r="L88">
        <v>79.934005737000007</v>
      </c>
      <c r="M88">
        <v>50</v>
      </c>
      <c r="N88">
        <v>39.997161865000002</v>
      </c>
    </row>
    <row r="89" spans="1:14" x14ac:dyDescent="0.25">
      <c r="A89">
        <v>9.2188459999999992</v>
      </c>
      <c r="B89" s="1">
        <f>DATE(2010,5,10) + TIME(5,15,8)</f>
        <v>40308.218842592592</v>
      </c>
      <c r="C89">
        <v>1384.6853027</v>
      </c>
      <c r="D89">
        <v>1370.6239014</v>
      </c>
      <c r="E89">
        <v>1285.2680664</v>
      </c>
      <c r="F89">
        <v>1262.4842529</v>
      </c>
      <c r="G89">
        <v>2400</v>
      </c>
      <c r="H89">
        <v>0</v>
      </c>
      <c r="I89">
        <v>0</v>
      </c>
      <c r="J89">
        <v>2400</v>
      </c>
      <c r="K89">
        <v>80</v>
      </c>
      <c r="L89">
        <v>79.934669494999994</v>
      </c>
      <c r="M89">
        <v>50</v>
      </c>
      <c r="N89">
        <v>39.997188567999999</v>
      </c>
    </row>
    <row r="90" spans="1:14" x14ac:dyDescent="0.25">
      <c r="A90">
        <v>9.5385030000000004</v>
      </c>
      <c r="B90" s="1">
        <f>DATE(2010,5,10) + TIME(12,55,26)</f>
        <v>40308.538495370369</v>
      </c>
      <c r="C90">
        <v>1384.6013184000001</v>
      </c>
      <c r="D90">
        <v>1370.5447998</v>
      </c>
      <c r="E90">
        <v>1285.2691649999999</v>
      </c>
      <c r="F90">
        <v>1262.4854736</v>
      </c>
      <c r="G90">
        <v>2400</v>
      </c>
      <c r="H90">
        <v>0</v>
      </c>
      <c r="I90">
        <v>0</v>
      </c>
      <c r="J90">
        <v>2400</v>
      </c>
      <c r="K90">
        <v>80</v>
      </c>
      <c r="L90">
        <v>79.935203552000004</v>
      </c>
      <c r="M90">
        <v>50</v>
      </c>
      <c r="N90">
        <v>39.997211456000002</v>
      </c>
    </row>
    <row r="91" spans="1:14" x14ac:dyDescent="0.25">
      <c r="A91">
        <v>9.8644619999999996</v>
      </c>
      <c r="B91" s="1">
        <f>DATE(2010,5,10) + TIME(20,44,49)</f>
        <v>40308.86445601852</v>
      </c>
      <c r="C91">
        <v>1384.5185547000001</v>
      </c>
      <c r="D91">
        <v>1370.4670410000001</v>
      </c>
      <c r="E91">
        <v>1285.2703856999999</v>
      </c>
      <c r="F91">
        <v>1262.4865723</v>
      </c>
      <c r="G91">
        <v>2400</v>
      </c>
      <c r="H91">
        <v>0</v>
      </c>
      <c r="I91">
        <v>0</v>
      </c>
      <c r="J91">
        <v>2400</v>
      </c>
      <c r="K91">
        <v>80</v>
      </c>
      <c r="L91">
        <v>79.935653686999999</v>
      </c>
      <c r="M91">
        <v>50</v>
      </c>
      <c r="N91">
        <v>39.997234343999999</v>
      </c>
    </row>
    <row r="92" spans="1:14" x14ac:dyDescent="0.25">
      <c r="A92">
        <v>10.197483999999999</v>
      </c>
      <c r="B92" s="1">
        <f>DATE(2010,5,11) + TIME(4,44,22)</f>
        <v>40309.197476851848</v>
      </c>
      <c r="C92">
        <v>1384.4368896000001</v>
      </c>
      <c r="D92">
        <v>1370.3903809000001</v>
      </c>
      <c r="E92">
        <v>1285.2716064000001</v>
      </c>
      <c r="F92">
        <v>1262.4876709</v>
      </c>
      <c r="G92">
        <v>2400</v>
      </c>
      <c r="H92">
        <v>0</v>
      </c>
      <c r="I92">
        <v>0</v>
      </c>
      <c r="J92">
        <v>2400</v>
      </c>
      <c r="K92">
        <v>80</v>
      </c>
      <c r="L92">
        <v>79.936019896999994</v>
      </c>
      <c r="M92">
        <v>50</v>
      </c>
      <c r="N92">
        <v>39.997261047000002</v>
      </c>
    </row>
    <row r="93" spans="1:14" x14ac:dyDescent="0.25">
      <c r="A93">
        <v>10.539007</v>
      </c>
      <c r="B93" s="1">
        <f>DATE(2010,5,11) + TIME(12,56,10)</f>
        <v>40309.539004629631</v>
      </c>
      <c r="C93">
        <v>1384.3560791</v>
      </c>
      <c r="D93">
        <v>1370.3146973</v>
      </c>
      <c r="E93">
        <v>1285.2728271000001</v>
      </c>
      <c r="F93">
        <v>1262.4888916</v>
      </c>
      <c r="G93">
        <v>2400</v>
      </c>
      <c r="H93">
        <v>0</v>
      </c>
      <c r="I93">
        <v>0</v>
      </c>
      <c r="J93">
        <v>2400</v>
      </c>
      <c r="K93">
        <v>80</v>
      </c>
      <c r="L93">
        <v>79.936340332</v>
      </c>
      <c r="M93">
        <v>50</v>
      </c>
      <c r="N93">
        <v>39.997283936000002</v>
      </c>
    </row>
    <row r="94" spans="1:14" x14ac:dyDescent="0.25">
      <c r="A94">
        <v>10.890292000000001</v>
      </c>
      <c r="B94" s="1">
        <f>DATE(2010,5,11) + TIME(21,22,1)</f>
        <v>40309.890289351853</v>
      </c>
      <c r="C94">
        <v>1384.2757568</v>
      </c>
      <c r="D94">
        <v>1370.239624</v>
      </c>
      <c r="E94">
        <v>1285.2740478999999</v>
      </c>
      <c r="F94">
        <v>1262.4901123</v>
      </c>
      <c r="G94">
        <v>2400</v>
      </c>
      <c r="H94">
        <v>0</v>
      </c>
      <c r="I94">
        <v>0</v>
      </c>
      <c r="J94">
        <v>2400</v>
      </c>
      <c r="K94">
        <v>80</v>
      </c>
      <c r="L94">
        <v>79.936599731000001</v>
      </c>
      <c r="M94">
        <v>50</v>
      </c>
      <c r="N94">
        <v>39.997306823999999</v>
      </c>
    </row>
    <row r="95" spans="1:14" x14ac:dyDescent="0.25">
      <c r="A95">
        <v>11.252907</v>
      </c>
      <c r="B95" s="1">
        <f>DATE(2010,5,12) + TIME(6,4,11)</f>
        <v>40310.252905092595</v>
      </c>
      <c r="C95">
        <v>1384.1956786999999</v>
      </c>
      <c r="D95">
        <v>1370.1649170000001</v>
      </c>
      <c r="E95">
        <v>1285.2753906</v>
      </c>
      <c r="F95">
        <v>1262.4913329999999</v>
      </c>
      <c r="G95">
        <v>2400</v>
      </c>
      <c r="H95">
        <v>0</v>
      </c>
      <c r="I95">
        <v>0</v>
      </c>
      <c r="J95">
        <v>2400</v>
      </c>
      <c r="K95">
        <v>80</v>
      </c>
      <c r="L95">
        <v>79.936828613000003</v>
      </c>
      <c r="M95">
        <v>50</v>
      </c>
      <c r="N95">
        <v>39.997333527000002</v>
      </c>
    </row>
    <row r="96" spans="1:14" x14ac:dyDescent="0.25">
      <c r="A96">
        <v>11.628596999999999</v>
      </c>
      <c r="B96" s="1">
        <f>DATE(2010,5,12) + TIME(15,5,10)</f>
        <v>40310.628587962965</v>
      </c>
      <c r="C96">
        <v>1384.1157227000001</v>
      </c>
      <c r="D96">
        <v>1370.0904541</v>
      </c>
      <c r="E96">
        <v>1285.2767334</v>
      </c>
      <c r="F96">
        <v>1262.4925536999999</v>
      </c>
      <c r="G96">
        <v>2400</v>
      </c>
      <c r="H96">
        <v>0</v>
      </c>
      <c r="I96">
        <v>0</v>
      </c>
      <c r="J96">
        <v>2400</v>
      </c>
      <c r="K96">
        <v>80</v>
      </c>
      <c r="L96">
        <v>79.937026978000006</v>
      </c>
      <c r="M96">
        <v>50</v>
      </c>
      <c r="N96">
        <v>39.997356414999999</v>
      </c>
    </row>
    <row r="97" spans="1:14" x14ac:dyDescent="0.25">
      <c r="A97">
        <v>12.018579000000001</v>
      </c>
      <c r="B97" s="1">
        <f>DATE(2010,5,13) + TIME(0,26,45)</f>
        <v>40311.018576388888</v>
      </c>
      <c r="C97">
        <v>1384.0354004000001</v>
      </c>
      <c r="D97">
        <v>1370.0157471</v>
      </c>
      <c r="E97">
        <v>1285.2781981999999</v>
      </c>
      <c r="F97">
        <v>1262.4938964999999</v>
      </c>
      <c r="G97">
        <v>2400</v>
      </c>
      <c r="H97">
        <v>0</v>
      </c>
      <c r="I97">
        <v>0</v>
      </c>
      <c r="J97">
        <v>2400</v>
      </c>
      <c r="K97">
        <v>80</v>
      </c>
      <c r="L97">
        <v>79.937202454000001</v>
      </c>
      <c r="M97">
        <v>50</v>
      </c>
      <c r="N97">
        <v>39.997379303000002</v>
      </c>
    </row>
    <row r="98" spans="1:14" x14ac:dyDescent="0.25">
      <c r="A98">
        <v>12.423183999999999</v>
      </c>
      <c r="B98" s="1">
        <f>DATE(2010,5,13) + TIME(10,9,23)</f>
        <v>40311.423182870371</v>
      </c>
      <c r="C98">
        <v>1383.9545897999999</v>
      </c>
      <c r="D98">
        <v>1369.9406738</v>
      </c>
      <c r="E98">
        <v>1285.2795410000001</v>
      </c>
      <c r="F98">
        <v>1262.4952393000001</v>
      </c>
      <c r="G98">
        <v>2400</v>
      </c>
      <c r="H98">
        <v>0</v>
      </c>
      <c r="I98">
        <v>0</v>
      </c>
      <c r="J98">
        <v>2400</v>
      </c>
      <c r="K98">
        <v>80</v>
      </c>
      <c r="L98">
        <v>79.937347411999994</v>
      </c>
      <c r="M98">
        <v>50</v>
      </c>
      <c r="N98">
        <v>39.997406005999999</v>
      </c>
    </row>
    <row r="99" spans="1:14" x14ac:dyDescent="0.25">
      <c r="A99">
        <v>12.843204</v>
      </c>
      <c r="B99" s="1">
        <f>DATE(2010,5,13) + TIME(20,14,12)</f>
        <v>40311.843194444446</v>
      </c>
      <c r="C99">
        <v>1383.8732910000001</v>
      </c>
      <c r="D99">
        <v>1369.8654785000001</v>
      </c>
      <c r="E99">
        <v>1285.2811279</v>
      </c>
      <c r="F99">
        <v>1262.4967041</v>
      </c>
      <c r="G99">
        <v>2400</v>
      </c>
      <c r="H99">
        <v>0</v>
      </c>
      <c r="I99">
        <v>0</v>
      </c>
      <c r="J99">
        <v>2400</v>
      </c>
      <c r="K99">
        <v>80</v>
      </c>
      <c r="L99">
        <v>79.937484741000006</v>
      </c>
      <c r="M99">
        <v>50</v>
      </c>
      <c r="N99">
        <v>39.997428894000002</v>
      </c>
    </row>
    <row r="100" spans="1:14" x14ac:dyDescent="0.25">
      <c r="A100">
        <v>13.265615</v>
      </c>
      <c r="B100" s="1">
        <f>DATE(2010,5,14) + TIME(6,22,29)</f>
        <v>40312.265613425923</v>
      </c>
      <c r="C100">
        <v>1383.791626</v>
      </c>
      <c r="D100">
        <v>1369.7900391000001</v>
      </c>
      <c r="E100">
        <v>1285.2825928</v>
      </c>
      <c r="F100">
        <v>1262.4981689000001</v>
      </c>
      <c r="G100">
        <v>2400</v>
      </c>
      <c r="H100">
        <v>0</v>
      </c>
      <c r="I100">
        <v>0</v>
      </c>
      <c r="J100">
        <v>2400</v>
      </c>
      <c r="K100">
        <v>80</v>
      </c>
      <c r="L100">
        <v>79.937591553000004</v>
      </c>
      <c r="M100">
        <v>50</v>
      </c>
      <c r="N100">
        <v>39.997451781999999</v>
      </c>
    </row>
    <row r="101" spans="1:14" x14ac:dyDescent="0.25">
      <c r="A101">
        <v>13.691297</v>
      </c>
      <c r="B101" s="1">
        <f>DATE(2010,5,14) + TIME(16,35,28)</f>
        <v>40312.691296296296</v>
      </c>
      <c r="C101">
        <v>1383.7121582</v>
      </c>
      <c r="D101">
        <v>1369.7165527</v>
      </c>
      <c r="E101">
        <v>1285.2841797000001</v>
      </c>
      <c r="F101">
        <v>1262.4996338000001</v>
      </c>
      <c r="G101">
        <v>2400</v>
      </c>
      <c r="H101">
        <v>0</v>
      </c>
      <c r="I101">
        <v>0</v>
      </c>
      <c r="J101">
        <v>2400</v>
      </c>
      <c r="K101">
        <v>80</v>
      </c>
      <c r="L101">
        <v>79.937690735000004</v>
      </c>
      <c r="M101">
        <v>50</v>
      </c>
      <c r="N101">
        <v>39.997474670000003</v>
      </c>
    </row>
    <row r="102" spans="1:14" x14ac:dyDescent="0.25">
      <c r="A102">
        <v>14.122007</v>
      </c>
      <c r="B102" s="1">
        <f>DATE(2010,5,15) + TIME(2,55,41)</f>
        <v>40313.122002314813</v>
      </c>
      <c r="C102">
        <v>1383.6343993999999</v>
      </c>
      <c r="D102">
        <v>1369.6450195</v>
      </c>
      <c r="E102">
        <v>1285.2857666</v>
      </c>
      <c r="F102">
        <v>1262.5010986</v>
      </c>
      <c r="G102">
        <v>2400</v>
      </c>
      <c r="H102">
        <v>0</v>
      </c>
      <c r="I102">
        <v>0</v>
      </c>
      <c r="J102">
        <v>2400</v>
      </c>
      <c r="K102">
        <v>80</v>
      </c>
      <c r="L102">
        <v>79.937774657999995</v>
      </c>
      <c r="M102">
        <v>50</v>
      </c>
      <c r="N102">
        <v>39.997497559000003</v>
      </c>
    </row>
    <row r="103" spans="1:14" x14ac:dyDescent="0.25">
      <c r="A103">
        <v>14.558198000000001</v>
      </c>
      <c r="B103" s="1">
        <f>DATE(2010,5,15) + TIME(13,23,48)</f>
        <v>40313.558194444442</v>
      </c>
      <c r="C103">
        <v>1383.5581055</v>
      </c>
      <c r="D103">
        <v>1369.5748291</v>
      </c>
      <c r="E103">
        <v>1285.2873535000001</v>
      </c>
      <c r="F103">
        <v>1262.5026855000001</v>
      </c>
      <c r="G103">
        <v>2400</v>
      </c>
      <c r="H103">
        <v>0</v>
      </c>
      <c r="I103">
        <v>0</v>
      </c>
      <c r="J103">
        <v>2400</v>
      </c>
      <c r="K103">
        <v>80</v>
      </c>
      <c r="L103">
        <v>79.937850952000005</v>
      </c>
      <c r="M103">
        <v>50</v>
      </c>
      <c r="N103">
        <v>39.997520446999999</v>
      </c>
    </row>
    <row r="104" spans="1:14" x14ac:dyDescent="0.25">
      <c r="A104">
        <v>15.000477999999999</v>
      </c>
      <c r="B104" s="1">
        <f>DATE(2010,5,16) + TIME(0,0,41)</f>
        <v>40314.000474537039</v>
      </c>
      <c r="C104">
        <v>1383.4831543</v>
      </c>
      <c r="D104">
        <v>1369.5061035000001</v>
      </c>
      <c r="E104">
        <v>1285.2889404</v>
      </c>
      <c r="F104">
        <v>1262.5041504000001</v>
      </c>
      <c r="G104">
        <v>2400</v>
      </c>
      <c r="H104">
        <v>0</v>
      </c>
      <c r="I104">
        <v>0</v>
      </c>
      <c r="J104">
        <v>2400</v>
      </c>
      <c r="K104">
        <v>80</v>
      </c>
      <c r="L104">
        <v>79.937919617000006</v>
      </c>
      <c r="M104">
        <v>50</v>
      </c>
      <c r="N104">
        <v>39.997543335000003</v>
      </c>
    </row>
    <row r="105" spans="1:14" x14ac:dyDescent="0.25">
      <c r="A105">
        <v>15.450519999999999</v>
      </c>
      <c r="B105" s="1">
        <f>DATE(2010,5,16) + TIME(10,48,44)</f>
        <v>40314.450509259259</v>
      </c>
      <c r="C105">
        <v>1383.4093018000001</v>
      </c>
      <c r="D105">
        <v>1369.4383545000001</v>
      </c>
      <c r="E105">
        <v>1285.2906493999999</v>
      </c>
      <c r="F105">
        <v>1262.5057373</v>
      </c>
      <c r="G105">
        <v>2400</v>
      </c>
      <c r="H105">
        <v>0</v>
      </c>
      <c r="I105">
        <v>0</v>
      </c>
      <c r="J105">
        <v>2400</v>
      </c>
      <c r="K105">
        <v>80</v>
      </c>
      <c r="L105">
        <v>79.937973021999994</v>
      </c>
      <c r="M105">
        <v>50</v>
      </c>
      <c r="N105">
        <v>39.997566223</v>
      </c>
    </row>
    <row r="106" spans="1:14" x14ac:dyDescent="0.25">
      <c r="A106">
        <v>15.910382999999999</v>
      </c>
      <c r="B106" s="1">
        <f>DATE(2010,5,16) + TIME(21,50,57)</f>
        <v>40314.910381944443</v>
      </c>
      <c r="C106">
        <v>1383.3363036999999</v>
      </c>
      <c r="D106">
        <v>1369.371582</v>
      </c>
      <c r="E106">
        <v>1285.2923584</v>
      </c>
      <c r="F106">
        <v>1262.5073242000001</v>
      </c>
      <c r="G106">
        <v>2400</v>
      </c>
      <c r="H106">
        <v>0</v>
      </c>
      <c r="I106">
        <v>0</v>
      </c>
      <c r="J106">
        <v>2400</v>
      </c>
      <c r="K106">
        <v>80</v>
      </c>
      <c r="L106">
        <v>79.938034058</v>
      </c>
      <c r="M106">
        <v>50</v>
      </c>
      <c r="N106">
        <v>39.997589111000003</v>
      </c>
    </row>
    <row r="107" spans="1:14" x14ac:dyDescent="0.25">
      <c r="A107">
        <v>16.381654999999999</v>
      </c>
      <c r="B107" s="1">
        <f>DATE(2010,5,17) + TIME(9,9,34)</f>
        <v>40315.381643518522</v>
      </c>
      <c r="C107">
        <v>1383.2637939000001</v>
      </c>
      <c r="D107">
        <v>1369.3054199000001</v>
      </c>
      <c r="E107">
        <v>1285.2940673999999</v>
      </c>
      <c r="F107">
        <v>1262.5089111</v>
      </c>
      <c r="G107">
        <v>2400</v>
      </c>
      <c r="H107">
        <v>0</v>
      </c>
      <c r="I107">
        <v>0</v>
      </c>
      <c r="J107">
        <v>2400</v>
      </c>
      <c r="K107">
        <v>80</v>
      </c>
      <c r="L107">
        <v>79.938087463000002</v>
      </c>
      <c r="M107">
        <v>50</v>
      </c>
      <c r="N107">
        <v>39.997611999999997</v>
      </c>
    </row>
    <row r="108" spans="1:14" x14ac:dyDescent="0.25">
      <c r="A108">
        <v>16.866375999999999</v>
      </c>
      <c r="B108" s="1">
        <f>DATE(2010,5,17) + TIME(20,47,34)</f>
        <v>40315.866365740738</v>
      </c>
      <c r="C108">
        <v>1383.1916504000001</v>
      </c>
      <c r="D108">
        <v>1369.239624</v>
      </c>
      <c r="E108">
        <v>1285.2957764</v>
      </c>
      <c r="F108">
        <v>1262.5106201000001</v>
      </c>
      <c r="G108">
        <v>2400</v>
      </c>
      <c r="H108">
        <v>0</v>
      </c>
      <c r="I108">
        <v>0</v>
      </c>
      <c r="J108">
        <v>2400</v>
      </c>
      <c r="K108">
        <v>80</v>
      </c>
      <c r="L108">
        <v>79.938133239999999</v>
      </c>
      <c r="M108">
        <v>50</v>
      </c>
      <c r="N108">
        <v>39.997631073000001</v>
      </c>
    </row>
    <row r="109" spans="1:14" x14ac:dyDescent="0.25">
      <c r="A109">
        <v>17.366803999999998</v>
      </c>
      <c r="B109" s="1">
        <f>DATE(2010,5,18) + TIME(8,48,11)</f>
        <v>40316.366793981484</v>
      </c>
      <c r="C109">
        <v>1383.1195068</v>
      </c>
      <c r="D109">
        <v>1369.1738281</v>
      </c>
      <c r="E109">
        <v>1285.2976074000001</v>
      </c>
      <c r="F109">
        <v>1262.5123291</v>
      </c>
      <c r="G109">
        <v>2400</v>
      </c>
      <c r="H109">
        <v>0</v>
      </c>
      <c r="I109">
        <v>0</v>
      </c>
      <c r="J109">
        <v>2400</v>
      </c>
      <c r="K109">
        <v>80</v>
      </c>
      <c r="L109">
        <v>79.938179016000007</v>
      </c>
      <c r="M109">
        <v>50</v>
      </c>
      <c r="N109">
        <v>39.997653960999997</v>
      </c>
    </row>
    <row r="110" spans="1:14" x14ac:dyDescent="0.25">
      <c r="A110">
        <v>17.884025000000001</v>
      </c>
      <c r="B110" s="1">
        <f>DATE(2010,5,18) + TIME(21,12,59)</f>
        <v>40316.884016203701</v>
      </c>
      <c r="C110">
        <v>1383.0469971</v>
      </c>
      <c r="D110">
        <v>1369.1080322</v>
      </c>
      <c r="E110">
        <v>1285.2994385</v>
      </c>
      <c r="F110">
        <v>1262.5140381000001</v>
      </c>
      <c r="G110">
        <v>2400</v>
      </c>
      <c r="H110">
        <v>0</v>
      </c>
      <c r="I110">
        <v>0</v>
      </c>
      <c r="J110">
        <v>2400</v>
      </c>
      <c r="K110">
        <v>80</v>
      </c>
      <c r="L110">
        <v>79.938224792</v>
      </c>
      <c r="M110">
        <v>50</v>
      </c>
      <c r="N110">
        <v>39.997676849000001</v>
      </c>
    </row>
    <row r="111" spans="1:14" x14ac:dyDescent="0.25">
      <c r="A111">
        <v>18.418081000000001</v>
      </c>
      <c r="B111" s="1">
        <f>DATE(2010,5,19) + TIME(10,2,2)</f>
        <v>40317.418078703704</v>
      </c>
      <c r="C111">
        <v>1382.9742432</v>
      </c>
      <c r="D111">
        <v>1369.0419922000001</v>
      </c>
      <c r="E111">
        <v>1285.3013916</v>
      </c>
      <c r="F111">
        <v>1262.5158690999999</v>
      </c>
      <c r="G111">
        <v>2400</v>
      </c>
      <c r="H111">
        <v>0</v>
      </c>
      <c r="I111">
        <v>0</v>
      </c>
      <c r="J111">
        <v>2400</v>
      </c>
      <c r="K111">
        <v>80</v>
      </c>
      <c r="L111">
        <v>79.938270568999997</v>
      </c>
      <c r="M111">
        <v>50</v>
      </c>
      <c r="N111">
        <v>39.997699738000001</v>
      </c>
    </row>
    <row r="112" spans="1:14" x14ac:dyDescent="0.25">
      <c r="A112">
        <v>18.969649</v>
      </c>
      <c r="B112" s="1">
        <f>DATE(2010,5,19) + TIME(23,16,17)</f>
        <v>40317.969641203701</v>
      </c>
      <c r="C112">
        <v>1382.9012451000001</v>
      </c>
      <c r="D112">
        <v>1368.9758300999999</v>
      </c>
      <c r="E112">
        <v>1285.3033447</v>
      </c>
      <c r="F112">
        <v>1262.5178223</v>
      </c>
      <c r="G112">
        <v>2400</v>
      </c>
      <c r="H112">
        <v>0</v>
      </c>
      <c r="I112">
        <v>0</v>
      </c>
      <c r="J112">
        <v>2400</v>
      </c>
      <c r="K112">
        <v>80</v>
      </c>
      <c r="L112">
        <v>79.938316345000004</v>
      </c>
      <c r="M112">
        <v>50</v>
      </c>
      <c r="N112">
        <v>39.997722625999998</v>
      </c>
    </row>
    <row r="113" spans="1:14" x14ac:dyDescent="0.25">
      <c r="A113">
        <v>19.524294000000001</v>
      </c>
      <c r="B113" s="1">
        <f>DATE(2010,5,20) + TIME(12,34,59)</f>
        <v>40318.524293981478</v>
      </c>
      <c r="C113">
        <v>1382.8278809000001</v>
      </c>
      <c r="D113">
        <v>1368.9095459</v>
      </c>
      <c r="E113">
        <v>1285.3054199000001</v>
      </c>
      <c r="F113">
        <v>1262.5196533000001</v>
      </c>
      <c r="G113">
        <v>2400</v>
      </c>
      <c r="H113">
        <v>0</v>
      </c>
      <c r="I113">
        <v>0</v>
      </c>
      <c r="J113">
        <v>2400</v>
      </c>
      <c r="K113">
        <v>80</v>
      </c>
      <c r="L113">
        <v>79.938362122000001</v>
      </c>
      <c r="M113">
        <v>50</v>
      </c>
      <c r="N113">
        <v>39.997741699000002</v>
      </c>
    </row>
    <row r="114" spans="1:14" x14ac:dyDescent="0.25">
      <c r="A114">
        <v>20.082576</v>
      </c>
      <c r="B114" s="1">
        <f>DATE(2010,5,21) + TIME(1,58,54)</f>
        <v>40319.082569444443</v>
      </c>
      <c r="C114">
        <v>1382.7562256000001</v>
      </c>
      <c r="D114">
        <v>1368.8448486</v>
      </c>
      <c r="E114">
        <v>1285.3074951000001</v>
      </c>
      <c r="F114">
        <v>1262.5216064000001</v>
      </c>
      <c r="G114">
        <v>2400</v>
      </c>
      <c r="H114">
        <v>0</v>
      </c>
      <c r="I114">
        <v>0</v>
      </c>
      <c r="J114">
        <v>2400</v>
      </c>
      <c r="K114">
        <v>80</v>
      </c>
      <c r="L114">
        <v>79.938400268999999</v>
      </c>
      <c r="M114">
        <v>50</v>
      </c>
      <c r="N114">
        <v>39.997764586999999</v>
      </c>
    </row>
    <row r="115" spans="1:14" x14ac:dyDescent="0.25">
      <c r="A115">
        <v>20.644819999999999</v>
      </c>
      <c r="B115" s="1">
        <f>DATE(2010,5,21) + TIME(15,28,32)</f>
        <v>40319.644814814812</v>
      </c>
      <c r="C115">
        <v>1382.6860352000001</v>
      </c>
      <c r="D115">
        <v>1368.7816161999999</v>
      </c>
      <c r="E115">
        <v>1285.3096923999999</v>
      </c>
      <c r="F115">
        <v>1262.5236815999999</v>
      </c>
      <c r="G115">
        <v>2400</v>
      </c>
      <c r="H115">
        <v>0</v>
      </c>
      <c r="I115">
        <v>0</v>
      </c>
      <c r="J115">
        <v>2400</v>
      </c>
      <c r="K115">
        <v>80</v>
      </c>
      <c r="L115">
        <v>79.938438415999997</v>
      </c>
      <c r="M115">
        <v>50</v>
      </c>
      <c r="N115">
        <v>39.997787475999999</v>
      </c>
    </row>
    <row r="116" spans="1:14" x14ac:dyDescent="0.25">
      <c r="A116">
        <v>21.213228000000001</v>
      </c>
      <c r="B116" s="1">
        <f>DATE(2010,5,22) + TIME(5,7,2)</f>
        <v>40320.213217592594</v>
      </c>
      <c r="C116">
        <v>1382.6173096</v>
      </c>
      <c r="D116">
        <v>1368.7197266000001</v>
      </c>
      <c r="E116">
        <v>1285.3117675999999</v>
      </c>
      <c r="F116">
        <v>1262.5256348</v>
      </c>
      <c r="G116">
        <v>2400</v>
      </c>
      <c r="H116">
        <v>0</v>
      </c>
      <c r="I116">
        <v>0</v>
      </c>
      <c r="J116">
        <v>2400</v>
      </c>
      <c r="K116">
        <v>80</v>
      </c>
      <c r="L116">
        <v>79.938484192000004</v>
      </c>
      <c r="M116">
        <v>50</v>
      </c>
      <c r="N116">
        <v>39.997806549000003</v>
      </c>
    </row>
    <row r="117" spans="1:14" x14ac:dyDescent="0.25">
      <c r="A117">
        <v>21.789966</v>
      </c>
      <c r="B117" s="1">
        <f>DATE(2010,5,22) + TIME(18,57,33)</f>
        <v>40320.789965277778</v>
      </c>
      <c r="C117">
        <v>1382.5495605000001</v>
      </c>
      <c r="D117">
        <v>1368.6589355000001</v>
      </c>
      <c r="E117">
        <v>1285.3138428</v>
      </c>
      <c r="F117">
        <v>1262.5275879000001</v>
      </c>
      <c r="G117">
        <v>2400</v>
      </c>
      <c r="H117">
        <v>0</v>
      </c>
      <c r="I117">
        <v>0</v>
      </c>
      <c r="J117">
        <v>2400</v>
      </c>
      <c r="K117">
        <v>80</v>
      </c>
      <c r="L117">
        <v>79.938522339000002</v>
      </c>
      <c r="M117">
        <v>50</v>
      </c>
      <c r="N117">
        <v>39.997829437</v>
      </c>
    </row>
    <row r="118" spans="1:14" x14ac:dyDescent="0.25">
      <c r="A118">
        <v>22.377576999999999</v>
      </c>
      <c r="B118" s="1">
        <f>DATE(2010,5,23) + TIME(9,3,42)</f>
        <v>40321.377569444441</v>
      </c>
      <c r="C118">
        <v>1382.4826660000001</v>
      </c>
      <c r="D118">
        <v>1368.5988769999999</v>
      </c>
      <c r="E118">
        <v>1285.3160399999999</v>
      </c>
      <c r="F118">
        <v>1262.5296631000001</v>
      </c>
      <c r="G118">
        <v>2400</v>
      </c>
      <c r="H118">
        <v>0</v>
      </c>
      <c r="I118">
        <v>0</v>
      </c>
      <c r="J118">
        <v>2400</v>
      </c>
      <c r="K118">
        <v>80</v>
      </c>
      <c r="L118">
        <v>79.938568114999995</v>
      </c>
      <c r="M118">
        <v>50</v>
      </c>
      <c r="N118">
        <v>39.997848511000001</v>
      </c>
    </row>
    <row r="119" spans="1:14" x14ac:dyDescent="0.25">
      <c r="A119">
        <v>22.978228999999999</v>
      </c>
      <c r="B119" s="1">
        <f>DATE(2010,5,23) + TIME(23,28,39)</f>
        <v>40321.978229166663</v>
      </c>
      <c r="C119">
        <v>1382.4163818</v>
      </c>
      <c r="D119">
        <v>1368.5394286999999</v>
      </c>
      <c r="E119">
        <v>1285.3183594</v>
      </c>
      <c r="F119">
        <v>1262.5317382999999</v>
      </c>
      <c r="G119">
        <v>2400</v>
      </c>
      <c r="H119">
        <v>0</v>
      </c>
      <c r="I119">
        <v>0</v>
      </c>
      <c r="J119">
        <v>2400</v>
      </c>
      <c r="K119">
        <v>80</v>
      </c>
      <c r="L119">
        <v>79.938606261999993</v>
      </c>
      <c r="M119">
        <v>50</v>
      </c>
      <c r="N119">
        <v>39.997867583999998</v>
      </c>
    </row>
    <row r="120" spans="1:14" x14ac:dyDescent="0.25">
      <c r="A120">
        <v>23.594394000000001</v>
      </c>
      <c r="B120" s="1">
        <f>DATE(2010,5,24) + TIME(14,15,55)</f>
        <v>40322.594386574077</v>
      </c>
      <c r="C120">
        <v>1382.3502197</v>
      </c>
      <c r="D120">
        <v>1368.4802245999999</v>
      </c>
      <c r="E120">
        <v>1285.3205565999999</v>
      </c>
      <c r="F120">
        <v>1262.5339355000001</v>
      </c>
      <c r="G120">
        <v>2400</v>
      </c>
      <c r="H120">
        <v>0</v>
      </c>
      <c r="I120">
        <v>0</v>
      </c>
      <c r="J120">
        <v>2400</v>
      </c>
      <c r="K120">
        <v>80</v>
      </c>
      <c r="L120">
        <v>79.938652039000004</v>
      </c>
      <c r="M120">
        <v>50</v>
      </c>
      <c r="N120">
        <v>39.997890472000002</v>
      </c>
    </row>
    <row r="121" spans="1:14" x14ac:dyDescent="0.25">
      <c r="A121">
        <v>24.228874000000001</v>
      </c>
      <c r="B121" s="1">
        <f>DATE(2010,5,25) + TIME(5,29,34)</f>
        <v>40323.228865740741</v>
      </c>
      <c r="C121">
        <v>1382.2840576000001</v>
      </c>
      <c r="D121">
        <v>1368.4211425999999</v>
      </c>
      <c r="E121">
        <v>1285.3229980000001</v>
      </c>
      <c r="F121">
        <v>1262.5361327999999</v>
      </c>
      <c r="G121">
        <v>2400</v>
      </c>
      <c r="H121">
        <v>0</v>
      </c>
      <c r="I121">
        <v>0</v>
      </c>
      <c r="J121">
        <v>2400</v>
      </c>
      <c r="K121">
        <v>80</v>
      </c>
      <c r="L121">
        <v>79.938697814999998</v>
      </c>
      <c r="M121">
        <v>50</v>
      </c>
      <c r="N121">
        <v>39.997909546000002</v>
      </c>
    </row>
    <row r="122" spans="1:14" x14ac:dyDescent="0.25">
      <c r="A122">
        <v>24.882733999999999</v>
      </c>
      <c r="B122" s="1">
        <f>DATE(2010,5,25) + TIME(21,11,8)</f>
        <v>40323.882731481484</v>
      </c>
      <c r="C122">
        <v>1382.2177733999999</v>
      </c>
      <c r="D122">
        <v>1368.3619385</v>
      </c>
      <c r="E122">
        <v>1285.3254394999999</v>
      </c>
      <c r="F122">
        <v>1262.5384521000001</v>
      </c>
      <c r="G122">
        <v>2400</v>
      </c>
      <c r="H122">
        <v>0</v>
      </c>
      <c r="I122">
        <v>0</v>
      </c>
      <c r="J122">
        <v>2400</v>
      </c>
      <c r="K122">
        <v>80</v>
      </c>
      <c r="L122">
        <v>79.938743591000005</v>
      </c>
      <c r="M122">
        <v>50</v>
      </c>
      <c r="N122">
        <v>39.997928619</v>
      </c>
    </row>
    <row r="123" spans="1:14" x14ac:dyDescent="0.25">
      <c r="A123">
        <v>25.555952000000001</v>
      </c>
      <c r="B123" s="1">
        <f>DATE(2010,5,26) + TIME(13,20,34)</f>
        <v>40324.555949074071</v>
      </c>
      <c r="C123">
        <v>1382.1511230000001</v>
      </c>
      <c r="D123">
        <v>1368.3026123</v>
      </c>
      <c r="E123">
        <v>1285.3278809000001</v>
      </c>
      <c r="F123">
        <v>1262.5407714999999</v>
      </c>
      <c r="G123">
        <v>2400</v>
      </c>
      <c r="H123">
        <v>0</v>
      </c>
      <c r="I123">
        <v>0</v>
      </c>
      <c r="J123">
        <v>2400</v>
      </c>
      <c r="K123">
        <v>80</v>
      </c>
      <c r="L123">
        <v>79.938796996999997</v>
      </c>
      <c r="M123">
        <v>50</v>
      </c>
      <c r="N123">
        <v>39.997951508</v>
      </c>
    </row>
    <row r="124" spans="1:14" x14ac:dyDescent="0.25">
      <c r="A124">
        <v>26.248781000000001</v>
      </c>
      <c r="B124" s="1">
        <f>DATE(2010,5,27) + TIME(5,58,14)</f>
        <v>40325.248773148145</v>
      </c>
      <c r="C124">
        <v>1382.0843506000001</v>
      </c>
      <c r="D124">
        <v>1368.2431641000001</v>
      </c>
      <c r="E124">
        <v>1285.3304443</v>
      </c>
      <c r="F124">
        <v>1262.5432129000001</v>
      </c>
      <c r="G124">
        <v>2400</v>
      </c>
      <c r="H124">
        <v>0</v>
      </c>
      <c r="I124">
        <v>0</v>
      </c>
      <c r="J124">
        <v>2400</v>
      </c>
      <c r="K124">
        <v>80</v>
      </c>
      <c r="L124">
        <v>79.938842773000005</v>
      </c>
      <c r="M124">
        <v>50</v>
      </c>
      <c r="N124">
        <v>39.997970580999997</v>
      </c>
    </row>
    <row r="125" spans="1:14" x14ac:dyDescent="0.25">
      <c r="A125">
        <v>26.944016000000001</v>
      </c>
      <c r="B125" s="1">
        <f>DATE(2010,5,27) + TIME(22,39,22)</f>
        <v>40325.944004629629</v>
      </c>
      <c r="C125">
        <v>1382.0172118999999</v>
      </c>
      <c r="D125">
        <v>1368.1835937999999</v>
      </c>
      <c r="E125">
        <v>1285.3331298999999</v>
      </c>
      <c r="F125">
        <v>1262.5456543</v>
      </c>
      <c r="G125">
        <v>2400</v>
      </c>
      <c r="H125">
        <v>0</v>
      </c>
      <c r="I125">
        <v>0</v>
      </c>
      <c r="J125">
        <v>2400</v>
      </c>
      <c r="K125">
        <v>80</v>
      </c>
      <c r="L125">
        <v>79.938896178999997</v>
      </c>
      <c r="M125">
        <v>50</v>
      </c>
      <c r="N125">
        <v>39.997993469000001</v>
      </c>
    </row>
    <row r="126" spans="1:14" x14ac:dyDescent="0.25">
      <c r="A126">
        <v>27.642144999999999</v>
      </c>
      <c r="B126" s="1">
        <f>DATE(2010,5,28) + TIME(15,24,41)</f>
        <v>40326.642141203702</v>
      </c>
      <c r="C126">
        <v>1381.9516602000001</v>
      </c>
      <c r="D126">
        <v>1368.1254882999999</v>
      </c>
      <c r="E126">
        <v>1285.3358154</v>
      </c>
      <c r="F126">
        <v>1262.5482178</v>
      </c>
      <c r="G126">
        <v>2400</v>
      </c>
      <c r="H126">
        <v>0</v>
      </c>
      <c r="I126">
        <v>0</v>
      </c>
      <c r="J126">
        <v>2400</v>
      </c>
      <c r="K126">
        <v>80</v>
      </c>
      <c r="L126">
        <v>79.938941955999994</v>
      </c>
      <c r="M126">
        <v>50</v>
      </c>
      <c r="N126">
        <v>39.998012543000002</v>
      </c>
    </row>
    <row r="127" spans="1:14" x14ac:dyDescent="0.25">
      <c r="A127">
        <v>28.345963999999999</v>
      </c>
      <c r="B127" s="1">
        <f>DATE(2010,5,29) + TIME(8,18,11)</f>
        <v>40327.345960648148</v>
      </c>
      <c r="C127">
        <v>1381.8875731999999</v>
      </c>
      <c r="D127">
        <v>1368.0686035000001</v>
      </c>
      <c r="E127">
        <v>1285.338501</v>
      </c>
      <c r="F127">
        <v>1262.5506591999999</v>
      </c>
      <c r="G127">
        <v>2400</v>
      </c>
      <c r="H127">
        <v>0</v>
      </c>
      <c r="I127">
        <v>0</v>
      </c>
      <c r="J127">
        <v>2400</v>
      </c>
      <c r="K127">
        <v>80</v>
      </c>
      <c r="L127">
        <v>79.938995360999996</v>
      </c>
      <c r="M127">
        <v>50</v>
      </c>
      <c r="N127">
        <v>39.998031615999999</v>
      </c>
    </row>
    <row r="128" spans="1:14" x14ac:dyDescent="0.25">
      <c r="A128">
        <v>29.058219999999999</v>
      </c>
      <c r="B128" s="1">
        <f>DATE(2010,5,30) + TIME(1,23,50)</f>
        <v>40328.058217592596</v>
      </c>
      <c r="C128">
        <v>1381.8244629000001</v>
      </c>
      <c r="D128">
        <v>1368.0126952999999</v>
      </c>
      <c r="E128">
        <v>1285.3413086</v>
      </c>
      <c r="F128">
        <v>1262.5532227000001</v>
      </c>
      <c r="G128">
        <v>2400</v>
      </c>
      <c r="H128">
        <v>0</v>
      </c>
      <c r="I128">
        <v>0</v>
      </c>
      <c r="J128">
        <v>2400</v>
      </c>
      <c r="K128">
        <v>80</v>
      </c>
      <c r="L128">
        <v>79.939048767000003</v>
      </c>
      <c r="M128">
        <v>50</v>
      </c>
      <c r="N128">
        <v>39.998050689999999</v>
      </c>
    </row>
    <row r="129" spans="1:14" x14ac:dyDescent="0.25">
      <c r="A129">
        <v>29.781915999999999</v>
      </c>
      <c r="B129" s="1">
        <f>DATE(2010,5,30) + TIME(18,45,57)</f>
        <v>40328.781909722224</v>
      </c>
      <c r="C129">
        <v>1381.7620850000001</v>
      </c>
      <c r="D129">
        <v>1367.9576416</v>
      </c>
      <c r="E129">
        <v>1285.3439940999999</v>
      </c>
      <c r="F129">
        <v>1262.5557861</v>
      </c>
      <c r="G129">
        <v>2400</v>
      </c>
      <c r="H129">
        <v>0</v>
      </c>
      <c r="I129">
        <v>0</v>
      </c>
      <c r="J129">
        <v>2400</v>
      </c>
      <c r="K129">
        <v>80</v>
      </c>
      <c r="L129">
        <v>79.939102172999995</v>
      </c>
      <c r="M129">
        <v>50</v>
      </c>
      <c r="N129">
        <v>39.998069762999997</v>
      </c>
    </row>
    <row r="130" spans="1:14" x14ac:dyDescent="0.25">
      <c r="A130">
        <v>30.519991999999998</v>
      </c>
      <c r="B130" s="1">
        <f>DATE(2010,5,31) + TIME(12,28,47)</f>
        <v>40329.519988425927</v>
      </c>
      <c r="C130">
        <v>1381.7003173999999</v>
      </c>
      <c r="D130">
        <v>1367.9030762</v>
      </c>
      <c r="E130">
        <v>1285.3468018000001</v>
      </c>
      <c r="F130">
        <v>1262.5584716999999</v>
      </c>
      <c r="G130">
        <v>2400</v>
      </c>
      <c r="H130">
        <v>0</v>
      </c>
      <c r="I130">
        <v>0</v>
      </c>
      <c r="J130">
        <v>2400</v>
      </c>
      <c r="K130">
        <v>80</v>
      </c>
      <c r="L130">
        <v>79.939155579000001</v>
      </c>
      <c r="M130">
        <v>50</v>
      </c>
      <c r="N130">
        <v>39.998088836999997</v>
      </c>
    </row>
    <row r="131" spans="1:14" x14ac:dyDescent="0.25">
      <c r="A131">
        <v>31</v>
      </c>
      <c r="B131" s="1">
        <f>DATE(2010,6,1) + TIME(0,0,0)</f>
        <v>40330</v>
      </c>
      <c r="C131">
        <v>1381.6385498</v>
      </c>
      <c r="D131">
        <v>1367.8486327999999</v>
      </c>
      <c r="E131">
        <v>1285.3497314000001</v>
      </c>
      <c r="F131">
        <v>1262.5610352000001</v>
      </c>
      <c r="G131">
        <v>2400</v>
      </c>
      <c r="H131">
        <v>0</v>
      </c>
      <c r="I131">
        <v>0</v>
      </c>
      <c r="J131">
        <v>2400</v>
      </c>
      <c r="K131">
        <v>80</v>
      </c>
      <c r="L131">
        <v>79.939186096</v>
      </c>
      <c r="M131">
        <v>50</v>
      </c>
      <c r="N131">
        <v>39.998104095000002</v>
      </c>
    </row>
    <row r="132" spans="1:14" x14ac:dyDescent="0.25">
      <c r="A132">
        <v>31.755278000000001</v>
      </c>
      <c r="B132" s="1">
        <f>DATE(2010,6,1) + TIME(18,7,36)</f>
        <v>40330.755277777775</v>
      </c>
      <c r="C132">
        <v>1381.5994873</v>
      </c>
      <c r="D132">
        <v>1367.8142089999999</v>
      </c>
      <c r="E132">
        <v>1285.3516846</v>
      </c>
      <c r="F132">
        <v>1262.5629882999999</v>
      </c>
      <c r="G132">
        <v>2400</v>
      </c>
      <c r="H132">
        <v>0</v>
      </c>
      <c r="I132">
        <v>0</v>
      </c>
      <c r="J132">
        <v>2400</v>
      </c>
      <c r="K132">
        <v>80</v>
      </c>
      <c r="L132">
        <v>79.939247131000002</v>
      </c>
      <c r="M132">
        <v>50</v>
      </c>
      <c r="N132">
        <v>39.998123169000003</v>
      </c>
    </row>
    <row r="133" spans="1:14" x14ac:dyDescent="0.25">
      <c r="A133">
        <v>32.545793000000003</v>
      </c>
      <c r="B133" s="1">
        <f>DATE(2010,6,2) + TIME(13,5,56)</f>
        <v>40331.545787037037</v>
      </c>
      <c r="C133">
        <v>1381.5390625</v>
      </c>
      <c r="D133">
        <v>1367.7609863</v>
      </c>
      <c r="E133">
        <v>1285.3546143000001</v>
      </c>
      <c r="F133">
        <v>1262.5656738</v>
      </c>
      <c r="G133">
        <v>2400</v>
      </c>
      <c r="H133">
        <v>0</v>
      </c>
      <c r="I133">
        <v>0</v>
      </c>
      <c r="J133">
        <v>2400</v>
      </c>
      <c r="K133">
        <v>80</v>
      </c>
      <c r="L133">
        <v>79.939308166999993</v>
      </c>
      <c r="M133">
        <v>50</v>
      </c>
      <c r="N133">
        <v>39.998142242</v>
      </c>
    </row>
    <row r="134" spans="1:14" x14ac:dyDescent="0.25">
      <c r="A134">
        <v>33.358283999999998</v>
      </c>
      <c r="B134" s="1">
        <f>DATE(2010,6,3) + TIME(8,35,55)</f>
        <v>40332.358275462961</v>
      </c>
      <c r="C134">
        <v>1381.4770507999999</v>
      </c>
      <c r="D134">
        <v>1367.706543</v>
      </c>
      <c r="E134">
        <v>1285.3577881000001</v>
      </c>
      <c r="F134">
        <v>1262.5686035000001</v>
      </c>
      <c r="G134">
        <v>2400</v>
      </c>
      <c r="H134">
        <v>0</v>
      </c>
      <c r="I134">
        <v>0</v>
      </c>
      <c r="J134">
        <v>2400</v>
      </c>
      <c r="K134">
        <v>80</v>
      </c>
      <c r="L134">
        <v>79.939369201999995</v>
      </c>
      <c r="M134">
        <v>50</v>
      </c>
      <c r="N134">
        <v>39.998161316000001</v>
      </c>
    </row>
    <row r="135" spans="1:14" x14ac:dyDescent="0.25">
      <c r="A135">
        <v>34.187635999999998</v>
      </c>
      <c r="B135" s="1">
        <f>DATE(2010,6,4) + TIME(4,30,11)</f>
        <v>40333.187627314815</v>
      </c>
      <c r="C135">
        <v>1381.4149170000001</v>
      </c>
      <c r="D135">
        <v>1367.6520995999999</v>
      </c>
      <c r="E135">
        <v>1285.3609618999999</v>
      </c>
      <c r="F135">
        <v>1262.5716553</v>
      </c>
      <c r="G135">
        <v>2400</v>
      </c>
      <c r="H135">
        <v>0</v>
      </c>
      <c r="I135">
        <v>0</v>
      </c>
      <c r="J135">
        <v>2400</v>
      </c>
      <c r="K135">
        <v>80</v>
      </c>
      <c r="L135">
        <v>79.939430236999996</v>
      </c>
      <c r="M135">
        <v>50</v>
      </c>
      <c r="N135">
        <v>39.998180388999998</v>
      </c>
    </row>
    <row r="136" spans="1:14" x14ac:dyDescent="0.25">
      <c r="A136">
        <v>35.017192000000001</v>
      </c>
      <c r="B136" s="1">
        <f>DATE(2010,6,5) + TIME(0,24,45)</f>
        <v>40334.017187500001</v>
      </c>
      <c r="C136">
        <v>1381.3530272999999</v>
      </c>
      <c r="D136">
        <v>1367.5977783000001</v>
      </c>
      <c r="E136">
        <v>1285.3642577999999</v>
      </c>
      <c r="F136">
        <v>1262.574707</v>
      </c>
      <c r="G136">
        <v>2400</v>
      </c>
      <c r="H136">
        <v>0</v>
      </c>
      <c r="I136">
        <v>0</v>
      </c>
      <c r="J136">
        <v>2400</v>
      </c>
      <c r="K136">
        <v>80</v>
      </c>
      <c r="L136">
        <v>79.939491271999998</v>
      </c>
      <c r="M136">
        <v>50</v>
      </c>
      <c r="N136">
        <v>39.998199462999999</v>
      </c>
    </row>
    <row r="137" spans="1:14" x14ac:dyDescent="0.25">
      <c r="A137">
        <v>35.850333999999997</v>
      </c>
      <c r="B137" s="1">
        <f>DATE(2010,6,5) + TIME(20,24,28)</f>
        <v>40334.850324074076</v>
      </c>
      <c r="C137">
        <v>1381.2926024999999</v>
      </c>
      <c r="D137">
        <v>1367.5447998</v>
      </c>
      <c r="E137">
        <v>1285.3676757999999</v>
      </c>
      <c r="F137">
        <v>1262.5777588000001</v>
      </c>
      <c r="G137">
        <v>2400</v>
      </c>
      <c r="H137">
        <v>0</v>
      </c>
      <c r="I137">
        <v>0</v>
      </c>
      <c r="J137">
        <v>2400</v>
      </c>
      <c r="K137">
        <v>80</v>
      </c>
      <c r="L137">
        <v>79.939559936999999</v>
      </c>
      <c r="M137">
        <v>50</v>
      </c>
      <c r="N137">
        <v>39.998218536000003</v>
      </c>
    </row>
    <row r="138" spans="1:14" x14ac:dyDescent="0.25">
      <c r="A138">
        <v>36.690413999999997</v>
      </c>
      <c r="B138" s="1">
        <f>DATE(2010,6,6) + TIME(16,34,11)</f>
        <v>40335.690405092595</v>
      </c>
      <c r="C138">
        <v>1381.2332764</v>
      </c>
      <c r="D138">
        <v>1367.4929199000001</v>
      </c>
      <c r="E138">
        <v>1285.3709716999999</v>
      </c>
      <c r="F138">
        <v>1262.5809326000001</v>
      </c>
      <c r="G138">
        <v>2400</v>
      </c>
      <c r="H138">
        <v>0</v>
      </c>
      <c r="I138">
        <v>0</v>
      </c>
      <c r="J138">
        <v>2400</v>
      </c>
      <c r="K138">
        <v>80</v>
      </c>
      <c r="L138">
        <v>79.939620972</v>
      </c>
      <c r="M138">
        <v>50</v>
      </c>
      <c r="N138">
        <v>39.998237609999997</v>
      </c>
    </row>
    <row r="139" spans="1:14" x14ac:dyDescent="0.25">
      <c r="A139">
        <v>37.540781000000003</v>
      </c>
      <c r="B139" s="1">
        <f>DATE(2010,6,7) + TIME(12,58,43)</f>
        <v>40336.540775462963</v>
      </c>
      <c r="C139">
        <v>1381.1748047000001</v>
      </c>
      <c r="D139">
        <v>1367.4417725000001</v>
      </c>
      <c r="E139">
        <v>1285.3743896000001</v>
      </c>
      <c r="F139">
        <v>1262.5841064000001</v>
      </c>
      <c r="G139">
        <v>2400</v>
      </c>
      <c r="H139">
        <v>0</v>
      </c>
      <c r="I139">
        <v>0</v>
      </c>
      <c r="J139">
        <v>2400</v>
      </c>
      <c r="K139">
        <v>80</v>
      </c>
      <c r="L139">
        <v>79.939689635999997</v>
      </c>
      <c r="M139">
        <v>50</v>
      </c>
      <c r="N139">
        <v>39.998256683000001</v>
      </c>
    </row>
    <row r="140" spans="1:14" x14ac:dyDescent="0.25">
      <c r="A140">
        <v>38.405307999999998</v>
      </c>
      <c r="B140" s="1">
        <f>DATE(2010,6,8) + TIME(9,43,38)</f>
        <v>40337.405300925922</v>
      </c>
      <c r="C140">
        <v>1381.1169434000001</v>
      </c>
      <c r="D140">
        <v>1367.3912353999999</v>
      </c>
      <c r="E140">
        <v>1285.3778076000001</v>
      </c>
      <c r="F140">
        <v>1262.5872803</v>
      </c>
      <c r="G140">
        <v>2400</v>
      </c>
      <c r="H140">
        <v>0</v>
      </c>
      <c r="I140">
        <v>0</v>
      </c>
      <c r="J140">
        <v>2400</v>
      </c>
      <c r="K140">
        <v>80</v>
      </c>
      <c r="L140">
        <v>79.939758300999998</v>
      </c>
      <c r="M140">
        <v>50</v>
      </c>
      <c r="N140">
        <v>39.998271942000002</v>
      </c>
    </row>
    <row r="141" spans="1:14" x14ac:dyDescent="0.25">
      <c r="A141">
        <v>39.287148999999999</v>
      </c>
      <c r="B141" s="1">
        <f>DATE(2010,6,9) + TIME(6,53,29)</f>
        <v>40338.287141203706</v>
      </c>
      <c r="C141">
        <v>1381.0593262</v>
      </c>
      <c r="D141">
        <v>1367.3410644999999</v>
      </c>
      <c r="E141">
        <v>1285.3813477000001</v>
      </c>
      <c r="F141">
        <v>1262.5905762</v>
      </c>
      <c r="G141">
        <v>2400</v>
      </c>
      <c r="H141">
        <v>0</v>
      </c>
      <c r="I141">
        <v>0</v>
      </c>
      <c r="J141">
        <v>2400</v>
      </c>
      <c r="K141">
        <v>80</v>
      </c>
      <c r="L141">
        <v>79.939826964999995</v>
      </c>
      <c r="M141">
        <v>50</v>
      </c>
      <c r="N141">
        <v>39.998291016000003</v>
      </c>
    </row>
    <row r="142" spans="1:14" x14ac:dyDescent="0.25">
      <c r="A142">
        <v>40.189960999999997</v>
      </c>
      <c r="B142" s="1">
        <f>DATE(2010,6,10) + TIME(4,33,32)</f>
        <v>40339.189953703702</v>
      </c>
      <c r="C142">
        <v>1381.0019531</v>
      </c>
      <c r="D142">
        <v>1367.2910156</v>
      </c>
      <c r="E142">
        <v>1285.3850098</v>
      </c>
      <c r="F142">
        <v>1262.5938721</v>
      </c>
      <c r="G142">
        <v>2400</v>
      </c>
      <c r="H142">
        <v>0</v>
      </c>
      <c r="I142">
        <v>0</v>
      </c>
      <c r="J142">
        <v>2400</v>
      </c>
      <c r="K142">
        <v>80</v>
      </c>
      <c r="L142">
        <v>79.939895629999995</v>
      </c>
      <c r="M142">
        <v>50</v>
      </c>
      <c r="N142">
        <v>39.998310089</v>
      </c>
    </row>
    <row r="143" spans="1:14" x14ac:dyDescent="0.25">
      <c r="A143">
        <v>41.117578999999999</v>
      </c>
      <c r="B143" s="1">
        <f>DATE(2010,6,11) + TIME(2,49,18)</f>
        <v>40340.117569444446</v>
      </c>
      <c r="C143">
        <v>1380.9445800999999</v>
      </c>
      <c r="D143">
        <v>1367.2409668</v>
      </c>
      <c r="E143">
        <v>1285.3887939000001</v>
      </c>
      <c r="F143">
        <v>1262.5974120999999</v>
      </c>
      <c r="G143">
        <v>2400</v>
      </c>
      <c r="H143">
        <v>0</v>
      </c>
      <c r="I143">
        <v>0</v>
      </c>
      <c r="J143">
        <v>2400</v>
      </c>
      <c r="K143">
        <v>80</v>
      </c>
      <c r="L143">
        <v>79.939971924000005</v>
      </c>
      <c r="M143">
        <v>50</v>
      </c>
      <c r="N143">
        <v>39.998329163000001</v>
      </c>
    </row>
    <row r="144" spans="1:14" x14ac:dyDescent="0.25">
      <c r="A144">
        <v>42.068964999999999</v>
      </c>
      <c r="B144" s="1">
        <f>DATE(2010,6,12) + TIME(1,39,18)</f>
        <v>40341.068958333337</v>
      </c>
      <c r="C144">
        <v>1380.8868408000001</v>
      </c>
      <c r="D144">
        <v>1367.1906738</v>
      </c>
      <c r="E144">
        <v>1285.3925781</v>
      </c>
      <c r="F144">
        <v>1262.6009521000001</v>
      </c>
      <c r="G144">
        <v>2400</v>
      </c>
      <c r="H144">
        <v>0</v>
      </c>
      <c r="I144">
        <v>0</v>
      </c>
      <c r="J144">
        <v>2400</v>
      </c>
      <c r="K144">
        <v>80</v>
      </c>
      <c r="L144">
        <v>79.940040588000002</v>
      </c>
      <c r="M144">
        <v>50</v>
      </c>
      <c r="N144">
        <v>39.998348235999998</v>
      </c>
    </row>
    <row r="145" spans="1:14" x14ac:dyDescent="0.25">
      <c r="A145">
        <v>42.556595000000002</v>
      </c>
      <c r="B145" s="1">
        <f>DATE(2010,6,12) + TIME(13,21,29)</f>
        <v>40341.556585648148</v>
      </c>
      <c r="C145">
        <v>1380.8286132999999</v>
      </c>
      <c r="D145">
        <v>1367.1401367000001</v>
      </c>
      <c r="E145">
        <v>1285.3964844</v>
      </c>
      <c r="F145">
        <v>1262.6044922000001</v>
      </c>
      <c r="G145">
        <v>2400</v>
      </c>
      <c r="H145">
        <v>0</v>
      </c>
      <c r="I145">
        <v>0</v>
      </c>
      <c r="J145">
        <v>2400</v>
      </c>
      <c r="K145">
        <v>80</v>
      </c>
      <c r="L145">
        <v>79.940071106000005</v>
      </c>
      <c r="M145">
        <v>50</v>
      </c>
      <c r="N145">
        <v>39.99835968</v>
      </c>
    </row>
    <row r="146" spans="1:14" x14ac:dyDescent="0.25">
      <c r="A146">
        <v>43.044224999999997</v>
      </c>
      <c r="B146" s="1">
        <f>DATE(2010,6,13) + TIME(1,3,41)</f>
        <v>40342.044224537036</v>
      </c>
      <c r="C146">
        <v>1380.7993164</v>
      </c>
      <c r="D146">
        <v>1367.114624</v>
      </c>
      <c r="E146">
        <v>1285.3985596</v>
      </c>
      <c r="F146">
        <v>1262.6064452999999</v>
      </c>
      <c r="G146">
        <v>2400</v>
      </c>
      <c r="H146">
        <v>0</v>
      </c>
      <c r="I146">
        <v>0</v>
      </c>
      <c r="J146">
        <v>2400</v>
      </c>
      <c r="K146">
        <v>80</v>
      </c>
      <c r="L146">
        <v>79.940109253000003</v>
      </c>
      <c r="M146">
        <v>50</v>
      </c>
      <c r="N146">
        <v>39.998371124000002</v>
      </c>
    </row>
    <row r="147" spans="1:14" x14ac:dyDescent="0.25">
      <c r="A147">
        <v>43.531854000000003</v>
      </c>
      <c r="B147" s="1">
        <f>DATE(2010,6,13) + TIME(12,45,52)</f>
        <v>40342.531851851854</v>
      </c>
      <c r="C147">
        <v>1380.7705077999999</v>
      </c>
      <c r="D147">
        <v>1367.0895995999999</v>
      </c>
      <c r="E147">
        <v>1285.4005127</v>
      </c>
      <c r="F147">
        <v>1262.6082764</v>
      </c>
      <c r="G147">
        <v>2400</v>
      </c>
      <c r="H147">
        <v>0</v>
      </c>
      <c r="I147">
        <v>0</v>
      </c>
      <c r="J147">
        <v>2400</v>
      </c>
      <c r="K147">
        <v>80</v>
      </c>
      <c r="L147">
        <v>79.940147400000001</v>
      </c>
      <c r="M147">
        <v>50</v>
      </c>
      <c r="N147">
        <v>39.998382567999997</v>
      </c>
    </row>
    <row r="148" spans="1:14" x14ac:dyDescent="0.25">
      <c r="A148">
        <v>44.507112999999997</v>
      </c>
      <c r="B148" s="1">
        <f>DATE(2010,6,14) + TIME(12,10,14)</f>
        <v>40343.507106481484</v>
      </c>
      <c r="C148">
        <v>1380.7423096</v>
      </c>
      <c r="D148">
        <v>1367.0651855000001</v>
      </c>
      <c r="E148">
        <v>1285.4027100000001</v>
      </c>
      <c r="F148">
        <v>1262.6103516000001</v>
      </c>
      <c r="G148">
        <v>2400</v>
      </c>
      <c r="H148">
        <v>0</v>
      </c>
      <c r="I148">
        <v>0</v>
      </c>
      <c r="J148">
        <v>2400</v>
      </c>
      <c r="K148">
        <v>80</v>
      </c>
      <c r="L148">
        <v>79.940231323000006</v>
      </c>
      <c r="M148">
        <v>50</v>
      </c>
      <c r="N148">
        <v>39.998394011999999</v>
      </c>
    </row>
    <row r="149" spans="1:14" x14ac:dyDescent="0.25">
      <c r="A149">
        <v>45.482824999999998</v>
      </c>
      <c r="B149" s="1">
        <f>DATE(2010,6,15) + TIME(11,35,16)</f>
        <v>40344.482824074075</v>
      </c>
      <c r="C149">
        <v>1380.6862793</v>
      </c>
      <c r="D149">
        <v>1367.0164795000001</v>
      </c>
      <c r="E149">
        <v>1285.4068603999999</v>
      </c>
      <c r="F149">
        <v>1262.6141356999999</v>
      </c>
      <c r="G149">
        <v>2400</v>
      </c>
      <c r="H149">
        <v>0</v>
      </c>
      <c r="I149">
        <v>0</v>
      </c>
      <c r="J149">
        <v>2400</v>
      </c>
      <c r="K149">
        <v>80</v>
      </c>
      <c r="L149">
        <v>79.940315247000001</v>
      </c>
      <c r="M149">
        <v>50</v>
      </c>
      <c r="N149">
        <v>39.998413085999999</v>
      </c>
    </row>
    <row r="150" spans="1:14" x14ac:dyDescent="0.25">
      <c r="A150">
        <v>46.468727999999999</v>
      </c>
      <c r="B150" s="1">
        <f>DATE(2010,6,16) + TIME(11,14,58)</f>
        <v>40345.468726851854</v>
      </c>
      <c r="C150">
        <v>1380.6312256000001</v>
      </c>
      <c r="D150">
        <v>1366.9688721</v>
      </c>
      <c r="E150">
        <v>1285.4110106999999</v>
      </c>
      <c r="F150">
        <v>1262.6179199000001</v>
      </c>
      <c r="G150">
        <v>2400</v>
      </c>
      <c r="H150">
        <v>0</v>
      </c>
      <c r="I150">
        <v>0</v>
      </c>
      <c r="J150">
        <v>2400</v>
      </c>
      <c r="K150">
        <v>80</v>
      </c>
      <c r="L150">
        <v>79.940391540999997</v>
      </c>
      <c r="M150">
        <v>50</v>
      </c>
      <c r="N150">
        <v>39.998428345000001</v>
      </c>
    </row>
    <row r="151" spans="1:14" x14ac:dyDescent="0.25">
      <c r="A151">
        <v>47.468921999999999</v>
      </c>
      <c r="B151" s="1">
        <f>DATE(2010,6,17) + TIME(11,15,14)</f>
        <v>40346.468912037039</v>
      </c>
      <c r="C151">
        <v>1380.5767822</v>
      </c>
      <c r="D151">
        <v>1366.9217529</v>
      </c>
      <c r="E151">
        <v>1285.4151611</v>
      </c>
      <c r="F151">
        <v>1262.6218262</v>
      </c>
      <c r="G151">
        <v>2400</v>
      </c>
      <c r="H151">
        <v>0</v>
      </c>
      <c r="I151">
        <v>0</v>
      </c>
      <c r="J151">
        <v>2400</v>
      </c>
      <c r="K151">
        <v>80</v>
      </c>
      <c r="L151">
        <v>79.940475464000002</v>
      </c>
      <c r="M151">
        <v>50</v>
      </c>
      <c r="N151">
        <v>39.998447417999998</v>
      </c>
    </row>
    <row r="152" spans="1:14" x14ac:dyDescent="0.25">
      <c r="A152">
        <v>48.487597000000001</v>
      </c>
      <c r="B152" s="1">
        <f>DATE(2010,6,18) + TIME(11,42,8)</f>
        <v>40347.487592592595</v>
      </c>
      <c r="C152">
        <v>1380.5228271000001</v>
      </c>
      <c r="D152">
        <v>1366.8748779</v>
      </c>
      <c r="E152">
        <v>1285.4195557</v>
      </c>
      <c r="F152">
        <v>1262.6258545000001</v>
      </c>
      <c r="G152">
        <v>2400</v>
      </c>
      <c r="H152">
        <v>0</v>
      </c>
      <c r="I152">
        <v>0</v>
      </c>
      <c r="J152">
        <v>2400</v>
      </c>
      <c r="K152">
        <v>80</v>
      </c>
      <c r="L152">
        <v>79.940551757999998</v>
      </c>
      <c r="M152">
        <v>50</v>
      </c>
      <c r="N152">
        <v>39.998462676999999</v>
      </c>
    </row>
    <row r="153" spans="1:14" x14ac:dyDescent="0.25">
      <c r="A153">
        <v>49.528531999999998</v>
      </c>
      <c r="B153" s="1">
        <f>DATE(2010,6,19) + TIME(12,41,5)</f>
        <v>40348.52853009259</v>
      </c>
      <c r="C153">
        <v>1380.4688721</v>
      </c>
      <c r="D153">
        <v>1366.8282471</v>
      </c>
      <c r="E153">
        <v>1285.4239502</v>
      </c>
      <c r="F153">
        <v>1262.6298827999999</v>
      </c>
      <c r="G153">
        <v>2400</v>
      </c>
      <c r="H153">
        <v>0</v>
      </c>
      <c r="I153">
        <v>0</v>
      </c>
      <c r="J153">
        <v>2400</v>
      </c>
      <c r="K153">
        <v>80</v>
      </c>
      <c r="L153">
        <v>79.940635681000003</v>
      </c>
      <c r="M153">
        <v>50</v>
      </c>
      <c r="N153">
        <v>39.998481750000003</v>
      </c>
    </row>
    <row r="154" spans="1:14" x14ac:dyDescent="0.25">
      <c r="A154">
        <v>50.596268999999999</v>
      </c>
      <c r="B154" s="1">
        <f>DATE(2010,6,20) + TIME(14,18,37)</f>
        <v>40349.596261574072</v>
      </c>
      <c r="C154">
        <v>1380.4149170000001</v>
      </c>
      <c r="D154">
        <v>1366.7816161999999</v>
      </c>
      <c r="E154">
        <v>1285.4284668</v>
      </c>
      <c r="F154">
        <v>1262.6340332</v>
      </c>
      <c r="G154">
        <v>2400</v>
      </c>
      <c r="H154">
        <v>0</v>
      </c>
      <c r="I154">
        <v>0</v>
      </c>
      <c r="J154">
        <v>2400</v>
      </c>
      <c r="K154">
        <v>80</v>
      </c>
      <c r="L154">
        <v>79.940727233999993</v>
      </c>
      <c r="M154">
        <v>50</v>
      </c>
      <c r="N154">
        <v>39.998497008999998</v>
      </c>
    </row>
    <row r="155" spans="1:14" x14ac:dyDescent="0.25">
      <c r="A155">
        <v>51.694473000000002</v>
      </c>
      <c r="B155" s="1">
        <f>DATE(2010,6,21) + TIME(16,40,2)</f>
        <v>40350.694467592592</v>
      </c>
      <c r="C155">
        <v>1380.3607178</v>
      </c>
      <c r="D155">
        <v>1366.7348632999999</v>
      </c>
      <c r="E155">
        <v>1285.4331055</v>
      </c>
      <c r="F155">
        <v>1262.6383057</v>
      </c>
      <c r="G155">
        <v>2400</v>
      </c>
      <c r="H155">
        <v>0</v>
      </c>
      <c r="I155">
        <v>0</v>
      </c>
      <c r="J155">
        <v>2400</v>
      </c>
      <c r="K155">
        <v>80</v>
      </c>
      <c r="L155">
        <v>79.940818786999998</v>
      </c>
      <c r="M155">
        <v>50</v>
      </c>
      <c r="N155">
        <v>39.998516082999998</v>
      </c>
    </row>
    <row r="156" spans="1:14" x14ac:dyDescent="0.25">
      <c r="A156">
        <v>52.255836000000002</v>
      </c>
      <c r="B156" s="1">
        <f>DATE(2010,6,22) + TIME(6,8,24)</f>
        <v>40351.255833333336</v>
      </c>
      <c r="C156">
        <v>1380.3057861</v>
      </c>
      <c r="D156">
        <v>1366.6875</v>
      </c>
      <c r="E156">
        <v>1285.4378661999999</v>
      </c>
      <c r="F156">
        <v>1262.6427002</v>
      </c>
      <c r="G156">
        <v>2400</v>
      </c>
      <c r="H156">
        <v>0</v>
      </c>
      <c r="I156">
        <v>0</v>
      </c>
      <c r="J156">
        <v>2400</v>
      </c>
      <c r="K156">
        <v>80</v>
      </c>
      <c r="L156">
        <v>79.940849303999997</v>
      </c>
      <c r="M156">
        <v>50</v>
      </c>
      <c r="N156">
        <v>39.998527527</v>
      </c>
    </row>
    <row r="157" spans="1:14" x14ac:dyDescent="0.25">
      <c r="A157">
        <v>52.817199000000002</v>
      </c>
      <c r="B157" s="1">
        <f>DATE(2010,6,22) + TIME(19,36,46)</f>
        <v>40351.817199074074</v>
      </c>
      <c r="C157">
        <v>1380.2781981999999</v>
      </c>
      <c r="D157">
        <v>1366.6635742000001</v>
      </c>
      <c r="E157">
        <v>1285.4404297000001</v>
      </c>
      <c r="F157">
        <v>1262.6450195</v>
      </c>
      <c r="G157">
        <v>2400</v>
      </c>
      <c r="H157">
        <v>0</v>
      </c>
      <c r="I157">
        <v>0</v>
      </c>
      <c r="J157">
        <v>2400</v>
      </c>
      <c r="K157">
        <v>80</v>
      </c>
      <c r="L157">
        <v>79.940895080999994</v>
      </c>
      <c r="M157">
        <v>50</v>
      </c>
      <c r="N157">
        <v>39.998538971000002</v>
      </c>
    </row>
    <row r="158" spans="1:14" x14ac:dyDescent="0.25">
      <c r="A158">
        <v>53.378562000000002</v>
      </c>
      <c r="B158" s="1">
        <f>DATE(2010,6,23) + TIME(9,5,7)</f>
        <v>40352.378553240742</v>
      </c>
      <c r="C158">
        <v>1380.2510986</v>
      </c>
      <c r="D158">
        <v>1366.6401367000001</v>
      </c>
      <c r="E158">
        <v>1285.4428711</v>
      </c>
      <c r="F158">
        <v>1262.6473389</v>
      </c>
      <c r="G158">
        <v>2400</v>
      </c>
      <c r="H158">
        <v>0</v>
      </c>
      <c r="I158">
        <v>0</v>
      </c>
      <c r="J158">
        <v>2400</v>
      </c>
      <c r="K158">
        <v>80</v>
      </c>
      <c r="L158">
        <v>79.940940857000001</v>
      </c>
      <c r="M158">
        <v>50</v>
      </c>
      <c r="N158">
        <v>39.998546599999997</v>
      </c>
    </row>
    <row r="159" spans="1:14" x14ac:dyDescent="0.25">
      <c r="A159">
        <v>53.939926</v>
      </c>
      <c r="B159" s="1">
        <f>DATE(2010,6,23) + TIME(22,33,29)</f>
        <v>40352.939918981479</v>
      </c>
      <c r="C159">
        <v>1380.2242432</v>
      </c>
      <c r="D159">
        <v>1366.6169434000001</v>
      </c>
      <c r="E159">
        <v>1285.4454346</v>
      </c>
      <c r="F159">
        <v>1262.6496582</v>
      </c>
      <c r="G159">
        <v>2400</v>
      </c>
      <c r="H159">
        <v>0</v>
      </c>
      <c r="I159">
        <v>0</v>
      </c>
      <c r="J159">
        <v>2400</v>
      </c>
      <c r="K159">
        <v>80</v>
      </c>
      <c r="L159">
        <v>79.940979003999999</v>
      </c>
      <c r="M159">
        <v>50</v>
      </c>
      <c r="N159">
        <v>39.998558043999999</v>
      </c>
    </row>
    <row r="160" spans="1:14" x14ac:dyDescent="0.25">
      <c r="A160">
        <v>55.062652</v>
      </c>
      <c r="B160" s="1">
        <f>DATE(2010,6,25) + TIME(1,30,13)</f>
        <v>40354.062650462962</v>
      </c>
      <c r="C160">
        <v>1380.197876</v>
      </c>
      <c r="D160">
        <v>1366.5943603999999</v>
      </c>
      <c r="E160">
        <v>1285.4479980000001</v>
      </c>
      <c r="F160">
        <v>1262.6519774999999</v>
      </c>
      <c r="G160">
        <v>2400</v>
      </c>
      <c r="H160">
        <v>0</v>
      </c>
      <c r="I160">
        <v>0</v>
      </c>
      <c r="J160">
        <v>2400</v>
      </c>
      <c r="K160">
        <v>80</v>
      </c>
      <c r="L160">
        <v>79.941085814999994</v>
      </c>
      <c r="M160">
        <v>50</v>
      </c>
      <c r="N160">
        <v>39.998569488999998</v>
      </c>
    </row>
    <row r="161" spans="1:14" x14ac:dyDescent="0.25">
      <c r="A161">
        <v>56.187576999999997</v>
      </c>
      <c r="B161" s="1">
        <f>DATE(2010,6,26) + TIME(4,30,6)</f>
        <v>40355.187569444446</v>
      </c>
      <c r="C161">
        <v>1380.1455077999999</v>
      </c>
      <c r="D161">
        <v>1366.5491943</v>
      </c>
      <c r="E161">
        <v>1285.4530029</v>
      </c>
      <c r="F161">
        <v>1262.6566161999999</v>
      </c>
      <c r="G161">
        <v>2400</v>
      </c>
      <c r="H161">
        <v>0</v>
      </c>
      <c r="I161">
        <v>0</v>
      </c>
      <c r="J161">
        <v>2400</v>
      </c>
      <c r="K161">
        <v>80</v>
      </c>
      <c r="L161">
        <v>79.941177367999998</v>
      </c>
      <c r="M161">
        <v>50</v>
      </c>
      <c r="N161">
        <v>39.998584747000002</v>
      </c>
    </row>
    <row r="162" spans="1:14" x14ac:dyDescent="0.25">
      <c r="A162">
        <v>57.327398000000002</v>
      </c>
      <c r="B162" s="1">
        <f>DATE(2010,6,27) + TIME(7,51,27)</f>
        <v>40356.32739583333</v>
      </c>
      <c r="C162">
        <v>1380.0939940999999</v>
      </c>
      <c r="D162">
        <v>1366.5047606999999</v>
      </c>
      <c r="E162">
        <v>1285.4581298999999</v>
      </c>
      <c r="F162">
        <v>1262.6613769999999</v>
      </c>
      <c r="G162">
        <v>2400</v>
      </c>
      <c r="H162">
        <v>0</v>
      </c>
      <c r="I162">
        <v>0</v>
      </c>
      <c r="J162">
        <v>2400</v>
      </c>
      <c r="K162">
        <v>80</v>
      </c>
      <c r="L162">
        <v>79.941268921000002</v>
      </c>
      <c r="M162">
        <v>50</v>
      </c>
      <c r="N162">
        <v>39.998600005999997</v>
      </c>
    </row>
    <row r="163" spans="1:14" x14ac:dyDescent="0.25">
      <c r="A163">
        <v>58.48715</v>
      </c>
      <c r="B163" s="1">
        <f>DATE(2010,6,28) + TIME(11,41,29)</f>
        <v>40357.487141203703</v>
      </c>
      <c r="C163">
        <v>1380.0427245999999</v>
      </c>
      <c r="D163">
        <v>1366.4608154</v>
      </c>
      <c r="E163">
        <v>1285.4633789</v>
      </c>
      <c r="F163">
        <v>1262.6661377</v>
      </c>
      <c r="G163">
        <v>2400</v>
      </c>
      <c r="H163">
        <v>0</v>
      </c>
      <c r="I163">
        <v>0</v>
      </c>
      <c r="J163">
        <v>2400</v>
      </c>
      <c r="K163">
        <v>80</v>
      </c>
      <c r="L163">
        <v>79.941368103000002</v>
      </c>
      <c r="M163">
        <v>50</v>
      </c>
      <c r="N163">
        <v>39.998619079999997</v>
      </c>
    </row>
    <row r="164" spans="1:14" x14ac:dyDescent="0.25">
      <c r="A164">
        <v>59.670974000000001</v>
      </c>
      <c r="B164" s="1">
        <f>DATE(2010,6,29) + TIME(16,6,12)</f>
        <v>40358.670972222222</v>
      </c>
      <c r="C164">
        <v>1379.9916992000001</v>
      </c>
      <c r="D164">
        <v>1366.4168701000001</v>
      </c>
      <c r="E164">
        <v>1285.4686279</v>
      </c>
      <c r="F164">
        <v>1262.6710204999999</v>
      </c>
      <c r="G164">
        <v>2400</v>
      </c>
      <c r="H164">
        <v>0</v>
      </c>
      <c r="I164">
        <v>0</v>
      </c>
      <c r="J164">
        <v>2400</v>
      </c>
      <c r="K164">
        <v>80</v>
      </c>
      <c r="L164">
        <v>79.941459656000006</v>
      </c>
      <c r="M164">
        <v>50</v>
      </c>
      <c r="N164">
        <v>39.998634338000002</v>
      </c>
    </row>
    <row r="165" spans="1:14" x14ac:dyDescent="0.25">
      <c r="A165">
        <v>60.883965000000003</v>
      </c>
      <c r="B165" s="1">
        <f>DATE(2010,6,30) + TIME(21,12,54)</f>
        <v>40359.883958333332</v>
      </c>
      <c r="C165">
        <v>1379.9405518000001</v>
      </c>
      <c r="D165">
        <v>1366.3728027</v>
      </c>
      <c r="E165">
        <v>1285.4741211</v>
      </c>
      <c r="F165">
        <v>1262.6760254000001</v>
      </c>
      <c r="G165">
        <v>2400</v>
      </c>
      <c r="H165">
        <v>0</v>
      </c>
      <c r="I165">
        <v>0</v>
      </c>
      <c r="J165">
        <v>2400</v>
      </c>
      <c r="K165">
        <v>80</v>
      </c>
      <c r="L165">
        <v>79.941558838000006</v>
      </c>
      <c r="M165">
        <v>50</v>
      </c>
      <c r="N165">
        <v>39.998649596999996</v>
      </c>
    </row>
    <row r="166" spans="1:14" x14ac:dyDescent="0.25">
      <c r="A166">
        <v>61</v>
      </c>
      <c r="B166" s="1">
        <f>DATE(2010,7,1) + TIME(0,0,0)</f>
        <v>40360</v>
      </c>
      <c r="C166">
        <v>1379.8900146000001</v>
      </c>
      <c r="D166">
        <v>1366.3294678</v>
      </c>
      <c r="E166">
        <v>1285.4794922000001</v>
      </c>
      <c r="F166">
        <v>1262.6809082</v>
      </c>
      <c r="G166">
        <v>2400</v>
      </c>
      <c r="H166">
        <v>0</v>
      </c>
      <c r="I166">
        <v>0</v>
      </c>
      <c r="J166">
        <v>2400</v>
      </c>
      <c r="K166">
        <v>80</v>
      </c>
      <c r="L166">
        <v>79.941566467000001</v>
      </c>
      <c r="M166">
        <v>50</v>
      </c>
      <c r="N166">
        <v>39.998653412000003</v>
      </c>
    </row>
    <row r="167" spans="1:14" x14ac:dyDescent="0.25">
      <c r="A167">
        <v>62.247726</v>
      </c>
      <c r="B167" s="1">
        <f>DATE(2010,7,2) + TIME(5,56,43)</f>
        <v>40361.247719907406</v>
      </c>
      <c r="C167">
        <v>1379.8841553</v>
      </c>
      <c r="D167">
        <v>1366.3243408000001</v>
      </c>
      <c r="E167">
        <v>1285.4803466999999</v>
      </c>
      <c r="F167">
        <v>1262.6817627</v>
      </c>
      <c r="G167">
        <v>2400</v>
      </c>
      <c r="H167">
        <v>0</v>
      </c>
      <c r="I167">
        <v>0</v>
      </c>
      <c r="J167">
        <v>2400</v>
      </c>
      <c r="K167">
        <v>80</v>
      </c>
      <c r="L167">
        <v>79.941673279</v>
      </c>
      <c r="M167">
        <v>50</v>
      </c>
      <c r="N167">
        <v>39.998668670999997</v>
      </c>
    </row>
    <row r="168" spans="1:14" x14ac:dyDescent="0.25">
      <c r="A168">
        <v>62.884278000000002</v>
      </c>
      <c r="B168" s="1">
        <f>DATE(2010,7,2) + TIME(21,13,21)</f>
        <v>40361.884270833332</v>
      </c>
      <c r="C168">
        <v>1379.8323975000001</v>
      </c>
      <c r="D168">
        <v>1366.2799072</v>
      </c>
      <c r="E168">
        <v>1285.4860839999999</v>
      </c>
      <c r="F168">
        <v>1262.6870117000001</v>
      </c>
      <c r="G168">
        <v>2400</v>
      </c>
      <c r="H168">
        <v>0</v>
      </c>
      <c r="I168">
        <v>0</v>
      </c>
      <c r="J168">
        <v>2400</v>
      </c>
      <c r="K168">
        <v>80</v>
      </c>
      <c r="L168">
        <v>79.941719054999993</v>
      </c>
      <c r="M168">
        <v>50</v>
      </c>
      <c r="N168">
        <v>39.998680114999999</v>
      </c>
    </row>
    <row r="169" spans="1:14" x14ac:dyDescent="0.25">
      <c r="A169">
        <v>63.520829999999997</v>
      </c>
      <c r="B169" s="1">
        <f>DATE(2010,7,3) + TIME(12,29,59)</f>
        <v>40362.520821759259</v>
      </c>
      <c r="C169">
        <v>1379.8062743999999</v>
      </c>
      <c r="D169">
        <v>1366.2574463000001</v>
      </c>
      <c r="E169">
        <v>1285.4891356999999</v>
      </c>
      <c r="F169">
        <v>1262.6896973</v>
      </c>
      <c r="G169">
        <v>2400</v>
      </c>
      <c r="H169">
        <v>0</v>
      </c>
      <c r="I169">
        <v>0</v>
      </c>
      <c r="J169">
        <v>2400</v>
      </c>
      <c r="K169">
        <v>80</v>
      </c>
      <c r="L169">
        <v>79.941764832000004</v>
      </c>
      <c r="M169">
        <v>50</v>
      </c>
      <c r="N169">
        <v>39.998691559000001</v>
      </c>
    </row>
    <row r="170" spans="1:14" x14ac:dyDescent="0.25">
      <c r="A170">
        <v>64.157382999999996</v>
      </c>
      <c r="B170" s="1">
        <f>DATE(2010,7,4) + TIME(3,46,37)</f>
        <v>40363.157372685186</v>
      </c>
      <c r="C170">
        <v>1379.7805175999999</v>
      </c>
      <c r="D170">
        <v>1366.2353516000001</v>
      </c>
      <c r="E170">
        <v>1285.4921875</v>
      </c>
      <c r="F170">
        <v>1262.6925048999999</v>
      </c>
      <c r="G170">
        <v>2400</v>
      </c>
      <c r="H170">
        <v>0</v>
      </c>
      <c r="I170">
        <v>0</v>
      </c>
      <c r="J170">
        <v>2400</v>
      </c>
      <c r="K170">
        <v>80</v>
      </c>
      <c r="L170">
        <v>79.941818237000007</v>
      </c>
      <c r="M170">
        <v>50</v>
      </c>
      <c r="N170">
        <v>39.998703003000003</v>
      </c>
    </row>
    <row r="171" spans="1:14" x14ac:dyDescent="0.25">
      <c r="A171">
        <v>64.793935000000005</v>
      </c>
      <c r="B171" s="1">
        <f>DATE(2010,7,4) + TIME(19,3,15)</f>
        <v>40363.793923611112</v>
      </c>
      <c r="C171">
        <v>1379.7550048999999</v>
      </c>
      <c r="D171">
        <v>1366.2133789</v>
      </c>
      <c r="E171">
        <v>1285.4952393000001</v>
      </c>
      <c r="F171">
        <v>1262.6953125</v>
      </c>
      <c r="G171">
        <v>2400</v>
      </c>
      <c r="H171">
        <v>0</v>
      </c>
      <c r="I171">
        <v>0</v>
      </c>
      <c r="J171">
        <v>2400</v>
      </c>
      <c r="K171">
        <v>80</v>
      </c>
      <c r="L171">
        <v>79.941864014000004</v>
      </c>
      <c r="M171">
        <v>50</v>
      </c>
      <c r="N171">
        <v>39.998710631999998</v>
      </c>
    </row>
    <row r="172" spans="1:14" x14ac:dyDescent="0.25">
      <c r="A172">
        <v>66.067038999999994</v>
      </c>
      <c r="B172" s="1">
        <f>DATE(2010,7,6) + TIME(1,36,32)</f>
        <v>40365.067037037035</v>
      </c>
      <c r="C172">
        <v>1379.7301024999999</v>
      </c>
      <c r="D172">
        <v>1366.1920166</v>
      </c>
      <c r="E172">
        <v>1285.4984131000001</v>
      </c>
      <c r="F172">
        <v>1262.6982422000001</v>
      </c>
      <c r="G172">
        <v>2400</v>
      </c>
      <c r="H172">
        <v>0</v>
      </c>
      <c r="I172">
        <v>0</v>
      </c>
      <c r="J172">
        <v>2400</v>
      </c>
      <c r="K172">
        <v>80</v>
      </c>
      <c r="L172">
        <v>79.941978454999997</v>
      </c>
      <c r="M172">
        <v>50</v>
      </c>
      <c r="N172">
        <v>39.998722076</v>
      </c>
    </row>
    <row r="173" spans="1:14" x14ac:dyDescent="0.25">
      <c r="A173">
        <v>67.342021000000003</v>
      </c>
      <c r="B173" s="1">
        <f>DATE(2010,7,7) + TIME(8,12,30)</f>
        <v>40366.342013888891</v>
      </c>
      <c r="C173">
        <v>1379.6804199000001</v>
      </c>
      <c r="D173">
        <v>1366.1494141000001</v>
      </c>
      <c r="E173">
        <v>1285.5045166</v>
      </c>
      <c r="F173">
        <v>1262.7037353999999</v>
      </c>
      <c r="G173">
        <v>2400</v>
      </c>
      <c r="H173">
        <v>0</v>
      </c>
      <c r="I173">
        <v>0</v>
      </c>
      <c r="J173">
        <v>2400</v>
      </c>
      <c r="K173">
        <v>80</v>
      </c>
      <c r="L173">
        <v>79.942085266000007</v>
      </c>
      <c r="M173">
        <v>50</v>
      </c>
      <c r="N173">
        <v>39.998737335000001</v>
      </c>
    </row>
    <row r="174" spans="1:14" x14ac:dyDescent="0.25">
      <c r="A174">
        <v>68.635200999999995</v>
      </c>
      <c r="B174" s="1">
        <f>DATE(2010,7,8) + TIME(15,14,41)</f>
        <v>40367.635196759256</v>
      </c>
      <c r="C174">
        <v>1379.6314697</v>
      </c>
      <c r="D174">
        <v>1366.1074219</v>
      </c>
      <c r="E174">
        <v>1285.5107422000001</v>
      </c>
      <c r="F174">
        <v>1262.7094727000001</v>
      </c>
      <c r="G174">
        <v>2400</v>
      </c>
      <c r="H174">
        <v>0</v>
      </c>
      <c r="I174">
        <v>0</v>
      </c>
      <c r="J174">
        <v>2400</v>
      </c>
      <c r="K174">
        <v>80</v>
      </c>
      <c r="L174">
        <v>79.942192078000005</v>
      </c>
      <c r="M174">
        <v>50</v>
      </c>
      <c r="N174">
        <v>39.998752594000003</v>
      </c>
    </row>
    <row r="175" spans="1:14" x14ac:dyDescent="0.25">
      <c r="A175">
        <v>69.951893999999996</v>
      </c>
      <c r="B175" s="1">
        <f>DATE(2010,7,9) + TIME(22,50,43)</f>
        <v>40368.951886574076</v>
      </c>
      <c r="C175">
        <v>1379.5827637</v>
      </c>
      <c r="D175">
        <v>1366.0656738</v>
      </c>
      <c r="E175">
        <v>1285.5170897999999</v>
      </c>
      <c r="F175">
        <v>1262.7152100000001</v>
      </c>
      <c r="G175">
        <v>2400</v>
      </c>
      <c r="H175">
        <v>0</v>
      </c>
      <c r="I175">
        <v>0</v>
      </c>
      <c r="J175">
        <v>2400</v>
      </c>
      <c r="K175">
        <v>80</v>
      </c>
      <c r="L175">
        <v>79.942306518999999</v>
      </c>
      <c r="M175">
        <v>50</v>
      </c>
      <c r="N175">
        <v>39.998767852999997</v>
      </c>
    </row>
    <row r="176" spans="1:14" x14ac:dyDescent="0.25">
      <c r="A176">
        <v>71.297239000000005</v>
      </c>
      <c r="B176" s="1">
        <f>DATE(2010,7,11) + TIME(7,8,1)</f>
        <v>40370.297233796293</v>
      </c>
      <c r="C176">
        <v>1379.5340576000001</v>
      </c>
      <c r="D176">
        <v>1366.0239257999999</v>
      </c>
      <c r="E176">
        <v>1285.5235596</v>
      </c>
      <c r="F176">
        <v>1262.7211914</v>
      </c>
      <c r="G176">
        <v>2400</v>
      </c>
      <c r="H176">
        <v>0</v>
      </c>
      <c r="I176">
        <v>0</v>
      </c>
      <c r="J176">
        <v>2400</v>
      </c>
      <c r="K176">
        <v>80</v>
      </c>
      <c r="L176">
        <v>79.942413329999994</v>
      </c>
      <c r="M176">
        <v>50</v>
      </c>
      <c r="N176">
        <v>39.998783111999998</v>
      </c>
    </row>
    <row r="177" spans="1:14" x14ac:dyDescent="0.25">
      <c r="A177">
        <v>72.677227000000002</v>
      </c>
      <c r="B177" s="1">
        <f>DATE(2010,7,12) + TIME(16,15,12)</f>
        <v>40371.677222222221</v>
      </c>
      <c r="C177">
        <v>1379.4852295000001</v>
      </c>
      <c r="D177">
        <v>1365.9820557</v>
      </c>
      <c r="E177">
        <v>1285.5302733999999</v>
      </c>
      <c r="F177">
        <v>1262.7272949000001</v>
      </c>
      <c r="G177">
        <v>2400</v>
      </c>
      <c r="H177">
        <v>0</v>
      </c>
      <c r="I177">
        <v>0</v>
      </c>
      <c r="J177">
        <v>2400</v>
      </c>
      <c r="K177">
        <v>80</v>
      </c>
      <c r="L177">
        <v>79.942527771000002</v>
      </c>
      <c r="M177">
        <v>50</v>
      </c>
      <c r="N177">
        <v>39.998798370000003</v>
      </c>
    </row>
    <row r="178" spans="1:14" x14ac:dyDescent="0.25">
      <c r="A178">
        <v>74.092127000000005</v>
      </c>
      <c r="B178" s="1">
        <f>DATE(2010,7,14) + TIME(2,12,39)</f>
        <v>40373.092118055552</v>
      </c>
      <c r="C178">
        <v>1379.4360352000001</v>
      </c>
      <c r="D178">
        <v>1365.9399414</v>
      </c>
      <c r="E178">
        <v>1285.5372314000001</v>
      </c>
      <c r="F178">
        <v>1262.7335204999999</v>
      </c>
      <c r="G178">
        <v>2400</v>
      </c>
      <c r="H178">
        <v>0</v>
      </c>
      <c r="I178">
        <v>0</v>
      </c>
      <c r="J178">
        <v>2400</v>
      </c>
      <c r="K178">
        <v>80</v>
      </c>
      <c r="L178">
        <v>79.942642211999996</v>
      </c>
      <c r="M178">
        <v>50</v>
      </c>
      <c r="N178">
        <v>39.998813628999997</v>
      </c>
    </row>
    <row r="179" spans="1:14" x14ac:dyDescent="0.25">
      <c r="A179">
        <v>75.519996000000006</v>
      </c>
      <c r="B179" s="1">
        <f>DATE(2010,7,15) + TIME(12,28,47)</f>
        <v>40374.519988425927</v>
      </c>
      <c r="C179">
        <v>1379.3864745999999</v>
      </c>
      <c r="D179">
        <v>1365.8974608999999</v>
      </c>
      <c r="E179">
        <v>1285.5444336</v>
      </c>
      <c r="F179">
        <v>1262.7401123</v>
      </c>
      <c r="G179">
        <v>2400</v>
      </c>
      <c r="H179">
        <v>0</v>
      </c>
      <c r="I179">
        <v>0</v>
      </c>
      <c r="J179">
        <v>2400</v>
      </c>
      <c r="K179">
        <v>80</v>
      </c>
      <c r="L179">
        <v>79.942756653000004</v>
      </c>
      <c r="M179">
        <v>50</v>
      </c>
      <c r="N179">
        <v>39.998832702999998</v>
      </c>
    </row>
    <row r="180" spans="1:14" x14ac:dyDescent="0.25">
      <c r="A180">
        <v>76.949692999999996</v>
      </c>
      <c r="B180" s="1">
        <f>DATE(2010,7,16) + TIME(22,47,33)</f>
        <v>40375.949687499997</v>
      </c>
      <c r="C180">
        <v>1379.3374022999999</v>
      </c>
      <c r="D180">
        <v>1365.8554687999999</v>
      </c>
      <c r="E180">
        <v>1285.5517577999999</v>
      </c>
      <c r="F180">
        <v>1262.7467041</v>
      </c>
      <c r="G180">
        <v>2400</v>
      </c>
      <c r="H180">
        <v>0</v>
      </c>
      <c r="I180">
        <v>0</v>
      </c>
      <c r="J180">
        <v>2400</v>
      </c>
      <c r="K180">
        <v>80</v>
      </c>
      <c r="L180">
        <v>79.942871093999997</v>
      </c>
      <c r="M180">
        <v>50</v>
      </c>
      <c r="N180">
        <v>39.998847961000003</v>
      </c>
    </row>
    <row r="181" spans="1:14" x14ac:dyDescent="0.25">
      <c r="A181">
        <v>78.387542999999994</v>
      </c>
      <c r="B181" s="1">
        <f>DATE(2010,7,18) + TIME(9,18,3)</f>
        <v>40377.38753472222</v>
      </c>
      <c r="C181">
        <v>1379.2893065999999</v>
      </c>
      <c r="D181">
        <v>1365.8142089999999</v>
      </c>
      <c r="E181">
        <v>1285.5592041</v>
      </c>
      <c r="F181">
        <v>1262.753418</v>
      </c>
      <c r="G181">
        <v>2400</v>
      </c>
      <c r="H181">
        <v>0</v>
      </c>
      <c r="I181">
        <v>0</v>
      </c>
      <c r="J181">
        <v>2400</v>
      </c>
      <c r="K181">
        <v>80</v>
      </c>
      <c r="L181">
        <v>79.942993164000001</v>
      </c>
      <c r="M181">
        <v>50</v>
      </c>
      <c r="N181">
        <v>39.998863219999997</v>
      </c>
    </row>
    <row r="182" spans="1:14" x14ac:dyDescent="0.25">
      <c r="A182">
        <v>79.839679000000004</v>
      </c>
      <c r="B182" s="1">
        <f>DATE(2010,7,19) + TIME(20,9,8)</f>
        <v>40378.839675925927</v>
      </c>
      <c r="C182">
        <v>1379.2416992000001</v>
      </c>
      <c r="D182">
        <v>1365.7734375</v>
      </c>
      <c r="E182">
        <v>1285.5666504000001</v>
      </c>
      <c r="F182">
        <v>1262.7602539</v>
      </c>
      <c r="G182">
        <v>2400</v>
      </c>
      <c r="H182">
        <v>0</v>
      </c>
      <c r="I182">
        <v>0</v>
      </c>
      <c r="J182">
        <v>2400</v>
      </c>
      <c r="K182">
        <v>80</v>
      </c>
      <c r="L182">
        <v>79.943107604999994</v>
      </c>
      <c r="M182">
        <v>50</v>
      </c>
      <c r="N182">
        <v>39.998878478999998</v>
      </c>
    </row>
    <row r="183" spans="1:14" x14ac:dyDescent="0.25">
      <c r="A183">
        <v>81.314053999999999</v>
      </c>
      <c r="B183" s="1">
        <f>DATE(2010,7,21) + TIME(7,32,14)</f>
        <v>40380.314050925925</v>
      </c>
      <c r="C183">
        <v>1379.1944579999999</v>
      </c>
      <c r="D183">
        <v>1365.7330322</v>
      </c>
      <c r="E183">
        <v>1285.5743408000001</v>
      </c>
      <c r="F183">
        <v>1262.7672118999999</v>
      </c>
      <c r="G183">
        <v>2400</v>
      </c>
      <c r="H183">
        <v>0</v>
      </c>
      <c r="I183">
        <v>0</v>
      </c>
      <c r="J183">
        <v>2400</v>
      </c>
      <c r="K183">
        <v>80</v>
      </c>
      <c r="L183">
        <v>79.943229674999998</v>
      </c>
      <c r="M183">
        <v>50</v>
      </c>
      <c r="N183">
        <v>39.998893738</v>
      </c>
    </row>
    <row r="184" spans="1:14" x14ac:dyDescent="0.25">
      <c r="A184">
        <v>82.816317999999995</v>
      </c>
      <c r="B184" s="1">
        <f>DATE(2010,7,22) + TIME(19,35,29)</f>
        <v>40381.816307870373</v>
      </c>
      <c r="C184">
        <v>1379.1473389</v>
      </c>
      <c r="D184">
        <v>1365.692749</v>
      </c>
      <c r="E184">
        <v>1285.5822754000001</v>
      </c>
      <c r="F184">
        <v>1262.7742920000001</v>
      </c>
      <c r="G184">
        <v>2400</v>
      </c>
      <c r="H184">
        <v>0</v>
      </c>
      <c r="I184">
        <v>0</v>
      </c>
      <c r="J184">
        <v>2400</v>
      </c>
      <c r="K184">
        <v>80</v>
      </c>
      <c r="L184">
        <v>79.943344116000006</v>
      </c>
      <c r="M184">
        <v>50</v>
      </c>
      <c r="N184">
        <v>39.998912810999997</v>
      </c>
    </row>
    <row r="185" spans="1:14" x14ac:dyDescent="0.25">
      <c r="A185">
        <v>84.351370000000003</v>
      </c>
      <c r="B185" s="1">
        <f>DATE(2010,7,24) + TIME(8,25,58)</f>
        <v>40383.351365740738</v>
      </c>
      <c r="C185">
        <v>1379.1000977000001</v>
      </c>
      <c r="D185">
        <v>1365.6523437999999</v>
      </c>
      <c r="E185">
        <v>1285.590332</v>
      </c>
      <c r="F185">
        <v>1262.7816161999999</v>
      </c>
      <c r="G185">
        <v>2400</v>
      </c>
      <c r="H185">
        <v>0</v>
      </c>
      <c r="I185">
        <v>0</v>
      </c>
      <c r="J185">
        <v>2400</v>
      </c>
      <c r="K185">
        <v>80</v>
      </c>
      <c r="L185">
        <v>79.943473815999994</v>
      </c>
      <c r="M185">
        <v>50</v>
      </c>
      <c r="N185">
        <v>39.998928069999998</v>
      </c>
    </row>
    <row r="186" spans="1:14" x14ac:dyDescent="0.25">
      <c r="A186">
        <v>85.913487000000003</v>
      </c>
      <c r="B186" s="1">
        <f>DATE(2010,7,25) + TIME(21,55,25)</f>
        <v>40384.913483796299</v>
      </c>
      <c r="C186">
        <v>1379.0528564000001</v>
      </c>
      <c r="D186">
        <v>1365.6118164</v>
      </c>
      <c r="E186">
        <v>1285.5987548999999</v>
      </c>
      <c r="F186">
        <v>1262.7891846</v>
      </c>
      <c r="G186">
        <v>2400</v>
      </c>
      <c r="H186">
        <v>0</v>
      </c>
      <c r="I186">
        <v>0</v>
      </c>
      <c r="J186">
        <v>2400</v>
      </c>
      <c r="K186">
        <v>80</v>
      </c>
      <c r="L186">
        <v>79.943595885999997</v>
      </c>
      <c r="M186">
        <v>50</v>
      </c>
      <c r="N186">
        <v>39.998943328999999</v>
      </c>
    </row>
    <row r="187" spans="1:14" x14ac:dyDescent="0.25">
      <c r="A187">
        <v>87.490204000000006</v>
      </c>
      <c r="B187" s="1">
        <f>DATE(2010,7,27) + TIME(11,45,53)</f>
        <v>40386.49019675926</v>
      </c>
      <c r="C187">
        <v>1379.0054932</v>
      </c>
      <c r="D187">
        <v>1365.5712891000001</v>
      </c>
      <c r="E187">
        <v>1285.6072998</v>
      </c>
      <c r="F187">
        <v>1262.7969971</v>
      </c>
      <c r="G187">
        <v>2400</v>
      </c>
      <c r="H187">
        <v>0</v>
      </c>
      <c r="I187">
        <v>0</v>
      </c>
      <c r="J187">
        <v>2400</v>
      </c>
      <c r="K187">
        <v>80</v>
      </c>
      <c r="L187">
        <v>79.943725585999999</v>
      </c>
      <c r="M187">
        <v>50</v>
      </c>
      <c r="N187">
        <v>39.998958588000001</v>
      </c>
    </row>
    <row r="188" spans="1:14" x14ac:dyDescent="0.25">
      <c r="A188">
        <v>89.069374999999994</v>
      </c>
      <c r="B188" s="1">
        <f>DATE(2010,7,29) + TIME(1,39,53)</f>
        <v>40388.069363425922</v>
      </c>
      <c r="C188">
        <v>1378.9584961</v>
      </c>
      <c r="D188">
        <v>1365.5311279</v>
      </c>
      <c r="E188">
        <v>1285.6160889</v>
      </c>
      <c r="F188">
        <v>1262.8049315999999</v>
      </c>
      <c r="G188">
        <v>2400</v>
      </c>
      <c r="H188">
        <v>0</v>
      </c>
      <c r="I188">
        <v>0</v>
      </c>
      <c r="J188">
        <v>2400</v>
      </c>
      <c r="K188">
        <v>80</v>
      </c>
      <c r="L188">
        <v>79.943847656000003</v>
      </c>
      <c r="M188">
        <v>50</v>
      </c>
      <c r="N188">
        <v>39.998973845999998</v>
      </c>
    </row>
    <row r="189" spans="1:14" x14ac:dyDescent="0.25">
      <c r="A189">
        <v>90.657712000000004</v>
      </c>
      <c r="B189" s="1">
        <f>DATE(2010,7,30) + TIME(15,47,6)</f>
        <v>40389.657708333332</v>
      </c>
      <c r="C189">
        <v>1378.9123535000001</v>
      </c>
      <c r="D189">
        <v>1365.4915771000001</v>
      </c>
      <c r="E189">
        <v>1285.625</v>
      </c>
      <c r="F189">
        <v>1262.8128661999999</v>
      </c>
      <c r="G189">
        <v>2400</v>
      </c>
      <c r="H189">
        <v>0</v>
      </c>
      <c r="I189">
        <v>0</v>
      </c>
      <c r="J189">
        <v>2400</v>
      </c>
      <c r="K189">
        <v>80</v>
      </c>
      <c r="L189">
        <v>79.943977356000005</v>
      </c>
      <c r="M189">
        <v>50</v>
      </c>
      <c r="N189">
        <v>39.998992919999999</v>
      </c>
    </row>
    <row r="190" spans="1:14" x14ac:dyDescent="0.25">
      <c r="A190">
        <v>92</v>
      </c>
      <c r="B190" s="1">
        <f>DATE(2010,8,1) + TIME(0,0,0)</f>
        <v>40391</v>
      </c>
      <c r="C190">
        <v>1378.8665771000001</v>
      </c>
      <c r="D190">
        <v>1365.4523925999999</v>
      </c>
      <c r="E190">
        <v>1285.6340332</v>
      </c>
      <c r="F190">
        <v>1262.8210449000001</v>
      </c>
      <c r="G190">
        <v>2400</v>
      </c>
      <c r="H190">
        <v>0</v>
      </c>
      <c r="I190">
        <v>0</v>
      </c>
      <c r="J190">
        <v>2400</v>
      </c>
      <c r="K190">
        <v>80</v>
      </c>
      <c r="L190">
        <v>79.944084167</v>
      </c>
      <c r="M190">
        <v>50</v>
      </c>
      <c r="N190">
        <v>39.999008179</v>
      </c>
    </row>
    <row r="191" spans="1:14" x14ac:dyDescent="0.25">
      <c r="A191">
        <v>93.604012999999995</v>
      </c>
      <c r="B191" s="1">
        <f>DATE(2010,8,2) + TIME(14,29,46)</f>
        <v>40392.604004629633</v>
      </c>
      <c r="C191">
        <v>1378.8286132999999</v>
      </c>
      <c r="D191">
        <v>1365.4199219</v>
      </c>
      <c r="E191">
        <v>1285.6418457</v>
      </c>
      <c r="F191">
        <v>1262.8280029</v>
      </c>
      <c r="G191">
        <v>2400</v>
      </c>
      <c r="H191">
        <v>0</v>
      </c>
      <c r="I191">
        <v>0</v>
      </c>
      <c r="J191">
        <v>2400</v>
      </c>
      <c r="K191">
        <v>80</v>
      </c>
      <c r="L191">
        <v>79.944213867000002</v>
      </c>
      <c r="M191">
        <v>50</v>
      </c>
      <c r="N191">
        <v>39.999023438000002</v>
      </c>
    </row>
    <row r="192" spans="1:14" x14ac:dyDescent="0.25">
      <c r="A192">
        <v>95.257699000000002</v>
      </c>
      <c r="B192" s="1">
        <f>DATE(2010,8,4) + TIME(6,11,5)</f>
        <v>40394.257696759261</v>
      </c>
      <c r="C192">
        <v>1378.7839355000001</v>
      </c>
      <c r="D192">
        <v>1365.3815918</v>
      </c>
      <c r="E192">
        <v>1285.6512451000001</v>
      </c>
      <c r="F192">
        <v>1262.8364257999999</v>
      </c>
      <c r="G192">
        <v>2400</v>
      </c>
      <c r="H192">
        <v>0</v>
      </c>
      <c r="I192">
        <v>0</v>
      </c>
      <c r="J192">
        <v>2400</v>
      </c>
      <c r="K192">
        <v>80</v>
      </c>
      <c r="L192">
        <v>79.944343567000004</v>
      </c>
      <c r="M192">
        <v>50</v>
      </c>
      <c r="N192">
        <v>39.999038696</v>
      </c>
    </row>
    <row r="193" spans="1:14" x14ac:dyDescent="0.25">
      <c r="A193">
        <v>96.944299999999998</v>
      </c>
      <c r="B193" s="1">
        <f>DATE(2010,8,5) + TIME(22,39,47)</f>
        <v>40395.944293981483</v>
      </c>
      <c r="C193">
        <v>1378.7385254000001</v>
      </c>
      <c r="D193">
        <v>1365.3427733999999</v>
      </c>
      <c r="E193">
        <v>1285.6610106999999</v>
      </c>
      <c r="F193">
        <v>1262.8452147999999</v>
      </c>
      <c r="G193">
        <v>2400</v>
      </c>
      <c r="H193">
        <v>0</v>
      </c>
      <c r="I193">
        <v>0</v>
      </c>
      <c r="J193">
        <v>2400</v>
      </c>
      <c r="K193">
        <v>80</v>
      </c>
      <c r="L193">
        <v>79.944473267000006</v>
      </c>
      <c r="M193">
        <v>50</v>
      </c>
      <c r="N193">
        <v>39.999053955000001</v>
      </c>
    </row>
    <row r="194" spans="1:14" x14ac:dyDescent="0.25">
      <c r="A194">
        <v>98.660674999999998</v>
      </c>
      <c r="B194" s="1">
        <f>DATE(2010,8,7) + TIME(15,51,22)</f>
        <v>40397.660671296297</v>
      </c>
      <c r="C194">
        <v>1378.6929932</v>
      </c>
      <c r="D194">
        <v>1365.3038329999999</v>
      </c>
      <c r="E194">
        <v>1285.6710204999999</v>
      </c>
      <c r="F194">
        <v>1262.8542480000001</v>
      </c>
      <c r="G194">
        <v>2400</v>
      </c>
      <c r="H194">
        <v>0</v>
      </c>
      <c r="I194">
        <v>0</v>
      </c>
      <c r="J194">
        <v>2400</v>
      </c>
      <c r="K194">
        <v>80</v>
      </c>
      <c r="L194">
        <v>79.944610596000004</v>
      </c>
      <c r="M194">
        <v>50</v>
      </c>
      <c r="N194">
        <v>39.999073029000002</v>
      </c>
    </row>
    <row r="195" spans="1:14" x14ac:dyDescent="0.25">
      <c r="A195">
        <v>100.386081</v>
      </c>
      <c r="B195" s="1">
        <f>DATE(2010,8,9) + TIME(9,15,57)</f>
        <v>40399.386076388888</v>
      </c>
      <c r="C195">
        <v>1378.6474608999999</v>
      </c>
      <c r="D195">
        <v>1365.2647704999999</v>
      </c>
      <c r="E195">
        <v>1285.6815185999999</v>
      </c>
      <c r="F195">
        <v>1262.8635254000001</v>
      </c>
      <c r="G195">
        <v>2400</v>
      </c>
      <c r="H195">
        <v>0</v>
      </c>
      <c r="I195">
        <v>0</v>
      </c>
      <c r="J195">
        <v>2400</v>
      </c>
      <c r="K195">
        <v>80</v>
      </c>
      <c r="L195">
        <v>79.944747925000001</v>
      </c>
      <c r="M195">
        <v>50</v>
      </c>
      <c r="N195">
        <v>39.999092101999999</v>
      </c>
    </row>
    <row r="196" spans="1:14" x14ac:dyDescent="0.25">
      <c r="A196">
        <v>102.116551</v>
      </c>
      <c r="B196" s="1">
        <f>DATE(2010,8,11) + TIME(2,47,49)</f>
        <v>40401.116539351853</v>
      </c>
      <c r="C196">
        <v>1378.6025391000001</v>
      </c>
      <c r="D196">
        <v>1365.2261963000001</v>
      </c>
      <c r="E196">
        <v>1285.6921387</v>
      </c>
      <c r="F196">
        <v>1262.8730469</v>
      </c>
      <c r="G196">
        <v>2400</v>
      </c>
      <c r="H196">
        <v>0</v>
      </c>
      <c r="I196">
        <v>0</v>
      </c>
      <c r="J196">
        <v>2400</v>
      </c>
      <c r="K196">
        <v>80</v>
      </c>
      <c r="L196">
        <v>79.944885253999999</v>
      </c>
      <c r="M196">
        <v>50</v>
      </c>
      <c r="N196">
        <v>39.999111176</v>
      </c>
    </row>
    <row r="197" spans="1:14" x14ac:dyDescent="0.25">
      <c r="A197">
        <v>103.859444</v>
      </c>
      <c r="B197" s="1">
        <f>DATE(2010,8,12) + TIME(20,37,35)</f>
        <v>40402.859432870369</v>
      </c>
      <c r="C197">
        <v>1378.5581055</v>
      </c>
      <c r="D197">
        <v>1365.1881103999999</v>
      </c>
      <c r="E197">
        <v>1285.7028809000001</v>
      </c>
      <c r="F197">
        <v>1262.8826904</v>
      </c>
      <c r="G197">
        <v>2400</v>
      </c>
      <c r="H197">
        <v>0</v>
      </c>
      <c r="I197">
        <v>0</v>
      </c>
      <c r="J197">
        <v>2400</v>
      </c>
      <c r="K197">
        <v>80</v>
      </c>
      <c r="L197">
        <v>79.945022582999997</v>
      </c>
      <c r="M197">
        <v>50</v>
      </c>
      <c r="N197">
        <v>39.999130248999997</v>
      </c>
    </row>
    <row r="198" spans="1:14" x14ac:dyDescent="0.25">
      <c r="A198">
        <v>105.621183</v>
      </c>
      <c r="B198" s="1">
        <f>DATE(2010,8,14) + TIME(14,54,30)</f>
        <v>40404.621180555558</v>
      </c>
      <c r="C198">
        <v>1378.5140381000001</v>
      </c>
      <c r="D198">
        <v>1365.1503906</v>
      </c>
      <c r="E198">
        <v>1285.7138672000001</v>
      </c>
      <c r="F198">
        <v>1262.8924560999999</v>
      </c>
      <c r="G198">
        <v>2400</v>
      </c>
      <c r="H198">
        <v>0</v>
      </c>
      <c r="I198">
        <v>0</v>
      </c>
      <c r="J198">
        <v>2400</v>
      </c>
      <c r="K198">
        <v>80</v>
      </c>
      <c r="L198">
        <v>79.945159911999994</v>
      </c>
      <c r="M198">
        <v>50</v>
      </c>
      <c r="N198">
        <v>39.999153137</v>
      </c>
    </row>
    <row r="199" spans="1:14" x14ac:dyDescent="0.25">
      <c r="A199">
        <v>107.408817</v>
      </c>
      <c r="B199" s="1">
        <f>DATE(2010,8,16) + TIME(9,48,41)</f>
        <v>40406.408807870372</v>
      </c>
      <c r="C199">
        <v>1378.4702147999999</v>
      </c>
      <c r="D199">
        <v>1365.1129149999999</v>
      </c>
      <c r="E199">
        <v>1285.7252197</v>
      </c>
      <c r="F199">
        <v>1262.9025879000001</v>
      </c>
      <c r="G199">
        <v>2400</v>
      </c>
      <c r="H199">
        <v>0</v>
      </c>
      <c r="I199">
        <v>0</v>
      </c>
      <c r="J199">
        <v>2400</v>
      </c>
      <c r="K199">
        <v>80</v>
      </c>
      <c r="L199">
        <v>79.945297241000006</v>
      </c>
      <c r="M199">
        <v>50</v>
      </c>
      <c r="N199">
        <v>39.999179839999996</v>
      </c>
    </row>
    <row r="200" spans="1:14" x14ac:dyDescent="0.25">
      <c r="A200">
        <v>109.228915</v>
      </c>
      <c r="B200" s="1">
        <f>DATE(2010,8,18) + TIME(5,29,38)</f>
        <v>40408.228912037041</v>
      </c>
      <c r="C200">
        <v>1378.4265137</v>
      </c>
      <c r="D200">
        <v>1365.0754394999999</v>
      </c>
      <c r="E200">
        <v>1285.7368164</v>
      </c>
      <c r="F200">
        <v>1262.9129639</v>
      </c>
      <c r="G200">
        <v>2400</v>
      </c>
      <c r="H200">
        <v>0</v>
      </c>
      <c r="I200">
        <v>0</v>
      </c>
      <c r="J200">
        <v>2400</v>
      </c>
      <c r="K200">
        <v>80</v>
      </c>
      <c r="L200">
        <v>79.945434570000003</v>
      </c>
      <c r="M200">
        <v>50</v>
      </c>
      <c r="N200">
        <v>39.999210357999999</v>
      </c>
    </row>
    <row r="201" spans="1:14" x14ac:dyDescent="0.25">
      <c r="A201">
        <v>111.081593</v>
      </c>
      <c r="B201" s="1">
        <f>DATE(2010,8,20) + TIME(1,57,29)</f>
        <v>40410.081585648149</v>
      </c>
      <c r="C201">
        <v>1378.3826904</v>
      </c>
      <c r="D201">
        <v>1365.0378418</v>
      </c>
      <c r="E201">
        <v>1285.7489014</v>
      </c>
      <c r="F201">
        <v>1262.9235839999999</v>
      </c>
      <c r="G201">
        <v>2400</v>
      </c>
      <c r="H201">
        <v>0</v>
      </c>
      <c r="I201">
        <v>0</v>
      </c>
      <c r="J201">
        <v>2400</v>
      </c>
      <c r="K201">
        <v>80</v>
      </c>
      <c r="L201">
        <v>79.945579529</v>
      </c>
      <c r="M201">
        <v>50</v>
      </c>
      <c r="N201">
        <v>39.999244689999998</v>
      </c>
    </row>
    <row r="202" spans="1:14" x14ac:dyDescent="0.25">
      <c r="A202">
        <v>112.959666</v>
      </c>
      <c r="B202" s="1">
        <f>DATE(2010,8,21) + TIME(23,1,55)</f>
        <v>40411.959664351853</v>
      </c>
      <c r="C202">
        <v>1378.3388672000001</v>
      </c>
      <c r="D202">
        <v>1365.0001221</v>
      </c>
      <c r="E202">
        <v>1285.7613524999999</v>
      </c>
      <c r="F202">
        <v>1262.9346923999999</v>
      </c>
      <c r="G202">
        <v>2400</v>
      </c>
      <c r="H202">
        <v>0</v>
      </c>
      <c r="I202">
        <v>0</v>
      </c>
      <c r="J202">
        <v>2400</v>
      </c>
      <c r="K202">
        <v>80</v>
      </c>
      <c r="L202">
        <v>79.945724487000007</v>
      </c>
      <c r="M202">
        <v>50</v>
      </c>
      <c r="N202">
        <v>39.999282837000003</v>
      </c>
    </row>
    <row r="203" spans="1:14" x14ac:dyDescent="0.25">
      <c r="A203">
        <v>114.83980699999999</v>
      </c>
      <c r="B203" s="1">
        <f>DATE(2010,8,23) + TIME(20,9,19)</f>
        <v>40413.839803240742</v>
      </c>
      <c r="C203">
        <v>1378.2950439000001</v>
      </c>
      <c r="D203">
        <v>1364.9625243999999</v>
      </c>
      <c r="E203">
        <v>1285.7741699000001</v>
      </c>
      <c r="F203">
        <v>1262.9460449000001</v>
      </c>
      <c r="G203">
        <v>2400</v>
      </c>
      <c r="H203">
        <v>0</v>
      </c>
      <c r="I203">
        <v>0</v>
      </c>
      <c r="J203">
        <v>2400</v>
      </c>
      <c r="K203">
        <v>80</v>
      </c>
      <c r="L203">
        <v>79.945869446000003</v>
      </c>
      <c r="M203">
        <v>50</v>
      </c>
      <c r="N203">
        <v>39.999332428000002</v>
      </c>
    </row>
    <row r="204" spans="1:14" x14ac:dyDescent="0.25">
      <c r="A204">
        <v>116.73010499999999</v>
      </c>
      <c r="B204" s="1">
        <f>DATE(2010,8,25) + TIME(17,31,21)</f>
        <v>40415.730104166665</v>
      </c>
      <c r="C204">
        <v>1378.2518310999999</v>
      </c>
      <c r="D204">
        <v>1364.9254149999999</v>
      </c>
      <c r="E204">
        <v>1285.7873535000001</v>
      </c>
      <c r="F204">
        <v>1262.9576416</v>
      </c>
      <c r="G204">
        <v>2400</v>
      </c>
      <c r="H204">
        <v>0</v>
      </c>
      <c r="I204">
        <v>0</v>
      </c>
      <c r="J204">
        <v>2400</v>
      </c>
      <c r="K204">
        <v>80</v>
      </c>
      <c r="L204">
        <v>79.946006775000001</v>
      </c>
      <c r="M204">
        <v>50</v>
      </c>
      <c r="N204">
        <v>39.999393462999997</v>
      </c>
    </row>
    <row r="205" spans="1:14" x14ac:dyDescent="0.25">
      <c r="A205">
        <v>118.63860200000001</v>
      </c>
      <c r="B205" s="1">
        <f>DATE(2010,8,27) + TIME(15,19,35)</f>
        <v>40417.638599537036</v>
      </c>
      <c r="C205">
        <v>1378.2091064000001</v>
      </c>
      <c r="D205">
        <v>1364.8886719</v>
      </c>
      <c r="E205">
        <v>1285.8006591999999</v>
      </c>
      <c r="F205">
        <v>1262.9694824000001</v>
      </c>
      <c r="G205">
        <v>2400</v>
      </c>
      <c r="H205">
        <v>0</v>
      </c>
      <c r="I205">
        <v>0</v>
      </c>
      <c r="J205">
        <v>2400</v>
      </c>
      <c r="K205">
        <v>80</v>
      </c>
      <c r="L205">
        <v>79.946151732999994</v>
      </c>
      <c r="M205">
        <v>50</v>
      </c>
      <c r="N205">
        <v>39.999465942</v>
      </c>
    </row>
    <row r="206" spans="1:14" x14ac:dyDescent="0.25">
      <c r="A206">
        <v>120.570249</v>
      </c>
      <c r="B206" s="1">
        <f>DATE(2010,8,29) + TIME(13,41,9)</f>
        <v>40419.570243055554</v>
      </c>
      <c r="C206">
        <v>1378.166626</v>
      </c>
      <c r="D206">
        <v>1364.8521728999999</v>
      </c>
      <c r="E206">
        <v>1285.8144531</v>
      </c>
      <c r="F206">
        <v>1262.9815673999999</v>
      </c>
      <c r="G206">
        <v>2400</v>
      </c>
      <c r="H206">
        <v>0</v>
      </c>
      <c r="I206">
        <v>0</v>
      </c>
      <c r="J206">
        <v>2400</v>
      </c>
      <c r="K206">
        <v>80</v>
      </c>
      <c r="L206">
        <v>79.946304321</v>
      </c>
      <c r="M206">
        <v>50</v>
      </c>
      <c r="N206">
        <v>39.999553679999998</v>
      </c>
    </row>
    <row r="207" spans="1:14" x14ac:dyDescent="0.25">
      <c r="A207">
        <v>122.53145000000001</v>
      </c>
      <c r="B207" s="1">
        <f>DATE(2010,8,31) + TIME(12,45,17)</f>
        <v>40421.531446759262</v>
      </c>
      <c r="C207">
        <v>1378.1241454999999</v>
      </c>
      <c r="D207">
        <v>1364.8156738</v>
      </c>
      <c r="E207">
        <v>1285.8286132999999</v>
      </c>
      <c r="F207">
        <v>1262.9940185999999</v>
      </c>
      <c r="G207">
        <v>2400</v>
      </c>
      <c r="H207">
        <v>0</v>
      </c>
      <c r="I207">
        <v>0</v>
      </c>
      <c r="J207">
        <v>2400</v>
      </c>
      <c r="K207">
        <v>80</v>
      </c>
      <c r="L207">
        <v>79.946449279999996</v>
      </c>
      <c r="M207">
        <v>50</v>
      </c>
      <c r="N207">
        <v>39.999668120999999</v>
      </c>
    </row>
    <row r="208" spans="1:14" x14ac:dyDescent="0.25">
      <c r="A208">
        <v>123</v>
      </c>
      <c r="B208" s="1">
        <f>DATE(2010,9,1) + TIME(0,0,0)</f>
        <v>40422</v>
      </c>
      <c r="C208">
        <v>1378.0819091999999</v>
      </c>
      <c r="D208">
        <v>1364.7792969</v>
      </c>
      <c r="E208">
        <v>1285.8430175999999</v>
      </c>
      <c r="F208">
        <v>1263.0067139</v>
      </c>
      <c r="G208">
        <v>2400</v>
      </c>
      <c r="H208">
        <v>0</v>
      </c>
      <c r="I208">
        <v>0</v>
      </c>
      <c r="J208">
        <v>2400</v>
      </c>
      <c r="K208">
        <v>80</v>
      </c>
      <c r="L208">
        <v>79.946472168</v>
      </c>
      <c r="M208">
        <v>50</v>
      </c>
      <c r="N208">
        <v>39.999744415000002</v>
      </c>
    </row>
    <row r="209" spans="1:14" x14ac:dyDescent="0.25">
      <c r="A209">
        <v>124.991725</v>
      </c>
      <c r="B209" s="1">
        <f>DATE(2010,9,2) + TIME(23,48,5)</f>
        <v>40423.991724537038</v>
      </c>
      <c r="C209">
        <v>1378.0716553</v>
      </c>
      <c r="D209">
        <v>1364.7703856999999</v>
      </c>
      <c r="E209">
        <v>1285.8469238</v>
      </c>
      <c r="F209">
        <v>1263.0101318</v>
      </c>
      <c r="G209">
        <v>2400</v>
      </c>
      <c r="H209">
        <v>0</v>
      </c>
      <c r="I209">
        <v>0</v>
      </c>
      <c r="J209">
        <v>2400</v>
      </c>
      <c r="K209">
        <v>80</v>
      </c>
      <c r="L209">
        <v>79.946632385000001</v>
      </c>
      <c r="M209">
        <v>50</v>
      </c>
      <c r="N209">
        <v>39.999870299999998</v>
      </c>
    </row>
    <row r="210" spans="1:14" x14ac:dyDescent="0.25">
      <c r="A210">
        <v>127.01299</v>
      </c>
      <c r="B210" s="1">
        <f>DATE(2010,9,5) + TIME(0,18,42)</f>
        <v>40426.012986111113</v>
      </c>
      <c r="C210">
        <v>1378.0294189000001</v>
      </c>
      <c r="D210">
        <v>1364.7341309000001</v>
      </c>
      <c r="E210">
        <v>1285.8621826000001</v>
      </c>
      <c r="F210">
        <v>1263.0235596</v>
      </c>
      <c r="G210">
        <v>2400</v>
      </c>
      <c r="H210">
        <v>0</v>
      </c>
      <c r="I210">
        <v>0</v>
      </c>
      <c r="J210">
        <v>2400</v>
      </c>
      <c r="K210">
        <v>80</v>
      </c>
      <c r="L210">
        <v>79.946784973000007</v>
      </c>
      <c r="M210">
        <v>50</v>
      </c>
      <c r="N210">
        <v>40.000057220000002</v>
      </c>
    </row>
    <row r="211" spans="1:14" x14ac:dyDescent="0.25">
      <c r="A211">
        <v>129.050173</v>
      </c>
      <c r="B211" s="1">
        <f>DATE(2010,9,7) + TIME(1,12,14)</f>
        <v>40428.050162037034</v>
      </c>
      <c r="C211">
        <v>1377.9871826000001</v>
      </c>
      <c r="D211">
        <v>1364.6977539</v>
      </c>
      <c r="E211">
        <v>1285.8780518000001</v>
      </c>
      <c r="F211">
        <v>1263.0374756000001</v>
      </c>
      <c r="G211">
        <v>2400</v>
      </c>
      <c r="H211">
        <v>0</v>
      </c>
      <c r="I211">
        <v>0</v>
      </c>
      <c r="J211">
        <v>2400</v>
      </c>
      <c r="K211">
        <v>80</v>
      </c>
      <c r="L211">
        <v>79.946937560999999</v>
      </c>
      <c r="M211">
        <v>50</v>
      </c>
      <c r="N211">
        <v>40.000301360999998</v>
      </c>
    </row>
    <row r="212" spans="1:14" x14ac:dyDescent="0.25">
      <c r="A212">
        <v>131.098502</v>
      </c>
      <c r="B212" s="1">
        <f>DATE(2010,9,9) + TIME(2,21,50)</f>
        <v>40430.098495370374</v>
      </c>
      <c r="C212">
        <v>1377.9451904</v>
      </c>
      <c r="D212">
        <v>1364.661499</v>
      </c>
      <c r="E212">
        <v>1285.8942870999999</v>
      </c>
      <c r="F212">
        <v>1263.0517577999999</v>
      </c>
      <c r="G212">
        <v>2400</v>
      </c>
      <c r="H212">
        <v>0</v>
      </c>
      <c r="I212">
        <v>0</v>
      </c>
      <c r="J212">
        <v>2400</v>
      </c>
      <c r="K212">
        <v>80</v>
      </c>
      <c r="L212">
        <v>79.947082519999995</v>
      </c>
      <c r="M212">
        <v>50</v>
      </c>
      <c r="N212">
        <v>40.000614165999998</v>
      </c>
    </row>
    <row r="213" spans="1:14" x14ac:dyDescent="0.25">
      <c r="A213">
        <v>133.163636</v>
      </c>
      <c r="B213" s="1">
        <f>DATE(2010,9,11) + TIME(3,55,38)</f>
        <v>40432.163634259261</v>
      </c>
      <c r="C213">
        <v>1377.9035644999999</v>
      </c>
      <c r="D213">
        <v>1364.6256103999999</v>
      </c>
      <c r="E213">
        <v>1285.9111327999999</v>
      </c>
      <c r="F213">
        <v>1263.0665283000001</v>
      </c>
      <c r="G213">
        <v>2400</v>
      </c>
      <c r="H213">
        <v>0</v>
      </c>
      <c r="I213">
        <v>0</v>
      </c>
      <c r="J213">
        <v>2400</v>
      </c>
      <c r="K213">
        <v>80</v>
      </c>
      <c r="L213">
        <v>79.947235106999997</v>
      </c>
      <c r="M213">
        <v>50</v>
      </c>
      <c r="N213">
        <v>40.001010895</v>
      </c>
    </row>
    <row r="214" spans="1:14" x14ac:dyDescent="0.25">
      <c r="A214">
        <v>135.25367399999999</v>
      </c>
      <c r="B214" s="1">
        <f>DATE(2010,9,13) + TIME(6,5,17)</f>
        <v>40434.253668981481</v>
      </c>
      <c r="C214">
        <v>1377.8621826000001</v>
      </c>
      <c r="D214">
        <v>1364.5898437999999</v>
      </c>
      <c r="E214">
        <v>1285.9283447</v>
      </c>
      <c r="F214">
        <v>1263.0816649999999</v>
      </c>
      <c r="G214">
        <v>2400</v>
      </c>
      <c r="H214">
        <v>0</v>
      </c>
      <c r="I214">
        <v>0</v>
      </c>
      <c r="J214">
        <v>2400</v>
      </c>
      <c r="K214">
        <v>80</v>
      </c>
      <c r="L214">
        <v>79.947387695000003</v>
      </c>
      <c r="M214">
        <v>50</v>
      </c>
      <c r="N214">
        <v>40.001514434999997</v>
      </c>
    </row>
    <row r="215" spans="1:14" x14ac:dyDescent="0.25">
      <c r="A215">
        <v>137.36655500000001</v>
      </c>
      <c r="B215" s="1">
        <f>DATE(2010,9,15) + TIME(8,47,50)</f>
        <v>40436.366550925923</v>
      </c>
      <c r="C215">
        <v>1377.8209228999999</v>
      </c>
      <c r="D215">
        <v>1364.5541992000001</v>
      </c>
      <c r="E215">
        <v>1285.9462891000001</v>
      </c>
      <c r="F215">
        <v>1263.0974120999999</v>
      </c>
      <c r="G215">
        <v>2400</v>
      </c>
      <c r="H215">
        <v>0</v>
      </c>
      <c r="I215">
        <v>0</v>
      </c>
      <c r="J215">
        <v>2400</v>
      </c>
      <c r="K215">
        <v>80</v>
      </c>
      <c r="L215">
        <v>79.947540282999995</v>
      </c>
      <c r="M215">
        <v>50</v>
      </c>
      <c r="N215">
        <v>40.002147675000003</v>
      </c>
    </row>
    <row r="216" spans="1:14" x14ac:dyDescent="0.25">
      <c r="A216">
        <v>139.49875800000001</v>
      </c>
      <c r="B216" s="1">
        <f>DATE(2010,9,17) + TIME(11,58,12)</f>
        <v>40438.498749999999</v>
      </c>
      <c r="C216">
        <v>1377.7797852000001</v>
      </c>
      <c r="D216">
        <v>1364.5186768000001</v>
      </c>
      <c r="E216">
        <v>1285.9649658000001</v>
      </c>
      <c r="F216">
        <v>1263.1136475000001</v>
      </c>
      <c r="G216">
        <v>2400</v>
      </c>
      <c r="H216">
        <v>0</v>
      </c>
      <c r="I216">
        <v>0</v>
      </c>
      <c r="J216">
        <v>2400</v>
      </c>
      <c r="K216">
        <v>80</v>
      </c>
      <c r="L216">
        <v>79.947700499999996</v>
      </c>
      <c r="M216">
        <v>50</v>
      </c>
      <c r="N216">
        <v>40.002948760999999</v>
      </c>
    </row>
    <row r="217" spans="1:14" x14ac:dyDescent="0.25">
      <c r="A217">
        <v>141.65236899999999</v>
      </c>
      <c r="B217" s="1">
        <f>DATE(2010,9,19) + TIME(15,39,24)</f>
        <v>40440.652361111112</v>
      </c>
      <c r="C217">
        <v>1377.7387695</v>
      </c>
      <c r="D217">
        <v>1364.4832764</v>
      </c>
      <c r="E217">
        <v>1285.9842529</v>
      </c>
      <c r="F217">
        <v>1263.1306152</v>
      </c>
      <c r="G217">
        <v>2400</v>
      </c>
      <c r="H217">
        <v>0</v>
      </c>
      <c r="I217">
        <v>0</v>
      </c>
      <c r="J217">
        <v>2400</v>
      </c>
      <c r="K217">
        <v>80</v>
      </c>
      <c r="L217">
        <v>79.947853088000002</v>
      </c>
      <c r="M217">
        <v>50</v>
      </c>
      <c r="N217">
        <v>40.003955841</v>
      </c>
    </row>
    <row r="218" spans="1:14" x14ac:dyDescent="0.25">
      <c r="A218">
        <v>143.816655</v>
      </c>
      <c r="B218" s="1">
        <f>DATE(2010,9,21) + TIME(19,35,59)</f>
        <v>40442.816655092596</v>
      </c>
      <c r="C218">
        <v>1377.6979980000001</v>
      </c>
      <c r="D218">
        <v>1364.447876</v>
      </c>
      <c r="E218">
        <v>1286.0042725000001</v>
      </c>
      <c r="F218">
        <v>1263.1481934000001</v>
      </c>
      <c r="G218">
        <v>2400</v>
      </c>
      <c r="H218">
        <v>0</v>
      </c>
      <c r="I218">
        <v>0</v>
      </c>
      <c r="J218">
        <v>2400</v>
      </c>
      <c r="K218">
        <v>80</v>
      </c>
      <c r="L218">
        <v>79.948005675999994</v>
      </c>
      <c r="M218">
        <v>50</v>
      </c>
      <c r="N218">
        <v>40.005210876</v>
      </c>
    </row>
    <row r="219" spans="1:14" x14ac:dyDescent="0.25">
      <c r="A219">
        <v>146.00231099999999</v>
      </c>
      <c r="B219" s="1">
        <f>DATE(2010,9,24) + TIME(0,3,19)</f>
        <v>40445.002303240741</v>
      </c>
      <c r="C219">
        <v>1377.6574707</v>
      </c>
      <c r="D219">
        <v>1364.4128418</v>
      </c>
      <c r="E219">
        <v>1286.0250243999999</v>
      </c>
      <c r="F219">
        <v>1263.1663818</v>
      </c>
      <c r="G219">
        <v>2400</v>
      </c>
      <c r="H219">
        <v>0</v>
      </c>
      <c r="I219">
        <v>0</v>
      </c>
      <c r="J219">
        <v>2400</v>
      </c>
      <c r="K219">
        <v>80</v>
      </c>
      <c r="L219">
        <v>79.948158264</v>
      </c>
      <c r="M219">
        <v>50</v>
      </c>
      <c r="N219">
        <v>40.006778717000003</v>
      </c>
    </row>
    <row r="220" spans="1:14" x14ac:dyDescent="0.25">
      <c r="A220">
        <v>148.19591800000001</v>
      </c>
      <c r="B220" s="1">
        <f>DATE(2010,9,26) + TIME(4,42,7)</f>
        <v>40447.195914351854</v>
      </c>
      <c r="C220">
        <v>1377.6170654</v>
      </c>
      <c r="D220">
        <v>1364.3778076000001</v>
      </c>
      <c r="E220">
        <v>1286.0465088000001</v>
      </c>
      <c r="F220">
        <v>1263.1853027</v>
      </c>
      <c r="G220">
        <v>2400</v>
      </c>
      <c r="H220">
        <v>0</v>
      </c>
      <c r="I220">
        <v>0</v>
      </c>
      <c r="J220">
        <v>2400</v>
      </c>
      <c r="K220">
        <v>80</v>
      </c>
      <c r="L220">
        <v>79.948318481000001</v>
      </c>
      <c r="M220">
        <v>50</v>
      </c>
      <c r="N220">
        <v>40.008720398000001</v>
      </c>
    </row>
    <row r="221" spans="1:14" x14ac:dyDescent="0.25">
      <c r="A221">
        <v>150.400485</v>
      </c>
      <c r="B221" s="1">
        <f>DATE(2010,9,28) + TIME(9,36,41)</f>
        <v>40449.40047453704</v>
      </c>
      <c r="C221">
        <v>1377.5771483999999</v>
      </c>
      <c r="D221">
        <v>1364.3431396000001</v>
      </c>
      <c r="E221">
        <v>1286.0688477000001</v>
      </c>
      <c r="F221">
        <v>1263.2049560999999</v>
      </c>
      <c r="G221">
        <v>2400</v>
      </c>
      <c r="H221">
        <v>0</v>
      </c>
      <c r="I221">
        <v>0</v>
      </c>
      <c r="J221">
        <v>2400</v>
      </c>
      <c r="K221">
        <v>80</v>
      </c>
      <c r="L221">
        <v>79.948471068999993</v>
      </c>
      <c r="M221">
        <v>50</v>
      </c>
      <c r="N221">
        <v>40.011116028000004</v>
      </c>
    </row>
    <row r="222" spans="1:14" x14ac:dyDescent="0.25">
      <c r="A222">
        <v>152.627433</v>
      </c>
      <c r="B222" s="1">
        <f>DATE(2010,9,30) + TIME(15,3,30)</f>
        <v>40451.627430555556</v>
      </c>
      <c r="C222">
        <v>1377.5374756000001</v>
      </c>
      <c r="D222">
        <v>1364.3087158000001</v>
      </c>
      <c r="E222">
        <v>1286.0919189000001</v>
      </c>
      <c r="F222">
        <v>1263.2254639</v>
      </c>
      <c r="G222">
        <v>2400</v>
      </c>
      <c r="H222">
        <v>0</v>
      </c>
      <c r="I222">
        <v>0</v>
      </c>
      <c r="J222">
        <v>2400</v>
      </c>
      <c r="K222">
        <v>80</v>
      </c>
      <c r="L222">
        <v>79.948623656999999</v>
      </c>
      <c r="M222">
        <v>50</v>
      </c>
      <c r="N222">
        <v>40.014060974000003</v>
      </c>
    </row>
    <row r="223" spans="1:14" x14ac:dyDescent="0.25">
      <c r="A223">
        <v>153</v>
      </c>
      <c r="B223" s="1">
        <f>DATE(2010,10,1) + TIME(0,0,0)</f>
        <v>40452</v>
      </c>
      <c r="C223">
        <v>1377.4981689000001</v>
      </c>
      <c r="D223">
        <v>1364.2746582</v>
      </c>
      <c r="E223">
        <v>1286.1160889</v>
      </c>
      <c r="F223">
        <v>1263.2463379000001</v>
      </c>
      <c r="G223">
        <v>2400</v>
      </c>
      <c r="H223">
        <v>0</v>
      </c>
      <c r="I223">
        <v>0</v>
      </c>
      <c r="J223">
        <v>2400</v>
      </c>
      <c r="K223">
        <v>80</v>
      </c>
      <c r="L223">
        <v>79.948646545000003</v>
      </c>
      <c r="M223">
        <v>50</v>
      </c>
      <c r="N223">
        <v>40.015586853000002</v>
      </c>
    </row>
    <row r="224" spans="1:14" x14ac:dyDescent="0.25">
      <c r="A224">
        <v>155.24587299999999</v>
      </c>
      <c r="B224" s="1">
        <f>DATE(2010,10,3) + TIME(5,54,3)</f>
        <v>40454.245868055557</v>
      </c>
      <c r="C224">
        <v>1377.4912108999999</v>
      </c>
      <c r="D224">
        <v>1364.2684326000001</v>
      </c>
      <c r="E224">
        <v>1286.1203613</v>
      </c>
      <c r="F224">
        <v>1263.2509766000001</v>
      </c>
      <c r="G224">
        <v>2400</v>
      </c>
      <c r="H224">
        <v>0</v>
      </c>
      <c r="I224">
        <v>0</v>
      </c>
      <c r="J224">
        <v>2400</v>
      </c>
      <c r="K224">
        <v>80</v>
      </c>
      <c r="L224">
        <v>79.948806762999993</v>
      </c>
      <c r="M224">
        <v>50</v>
      </c>
      <c r="N224">
        <v>40.018665314000003</v>
      </c>
    </row>
    <row r="225" spans="1:14" x14ac:dyDescent="0.25">
      <c r="A225">
        <v>157.50630899999999</v>
      </c>
      <c r="B225" s="1">
        <f>DATE(2010,10,5) + TIME(12,9,5)</f>
        <v>40456.506307870368</v>
      </c>
      <c r="C225">
        <v>1377.4519043</v>
      </c>
      <c r="D225">
        <v>1364.234375</v>
      </c>
      <c r="E225">
        <v>1286.1457519999999</v>
      </c>
      <c r="F225">
        <v>1263.2735596</v>
      </c>
      <c r="G225">
        <v>2400</v>
      </c>
      <c r="H225">
        <v>0</v>
      </c>
      <c r="I225">
        <v>0</v>
      </c>
      <c r="J225">
        <v>2400</v>
      </c>
      <c r="K225">
        <v>80</v>
      </c>
      <c r="L225">
        <v>79.948966979999994</v>
      </c>
      <c r="M225">
        <v>50</v>
      </c>
      <c r="N225">
        <v>40.023056029999999</v>
      </c>
    </row>
    <row r="226" spans="1:14" x14ac:dyDescent="0.25">
      <c r="A226">
        <v>159.77599499999999</v>
      </c>
      <c r="B226" s="1">
        <f>DATE(2010,10,7) + TIME(18,37,25)</f>
        <v>40458.775983796295</v>
      </c>
      <c r="C226">
        <v>1377.4127197</v>
      </c>
      <c r="D226">
        <v>1364.2003173999999</v>
      </c>
      <c r="E226">
        <v>1286.1722411999999</v>
      </c>
      <c r="F226">
        <v>1263.2974853999999</v>
      </c>
      <c r="G226">
        <v>2400</v>
      </c>
      <c r="H226">
        <v>0</v>
      </c>
      <c r="I226">
        <v>0</v>
      </c>
      <c r="J226">
        <v>2400</v>
      </c>
      <c r="K226">
        <v>80</v>
      </c>
      <c r="L226">
        <v>79.949119568</v>
      </c>
      <c r="M226">
        <v>50</v>
      </c>
      <c r="N226">
        <v>40.028560638000002</v>
      </c>
    </row>
    <row r="227" spans="1:14" x14ac:dyDescent="0.25">
      <c r="A227">
        <v>162.050082</v>
      </c>
      <c r="B227" s="1">
        <f>DATE(2010,10,10) + TIME(1,12,7)</f>
        <v>40461.050081018519</v>
      </c>
      <c r="C227">
        <v>1377.3739014</v>
      </c>
      <c r="D227">
        <v>1364.1663818</v>
      </c>
      <c r="E227">
        <v>1286.1998291</v>
      </c>
      <c r="F227">
        <v>1263.3226318</v>
      </c>
      <c r="G227">
        <v>2400</v>
      </c>
      <c r="H227">
        <v>0</v>
      </c>
      <c r="I227">
        <v>0</v>
      </c>
      <c r="J227">
        <v>2400</v>
      </c>
      <c r="K227">
        <v>80</v>
      </c>
      <c r="L227">
        <v>79.949279785000002</v>
      </c>
      <c r="M227">
        <v>50</v>
      </c>
      <c r="N227">
        <v>40.035251617</v>
      </c>
    </row>
    <row r="228" spans="1:14" x14ac:dyDescent="0.25">
      <c r="A228">
        <v>164.34097700000001</v>
      </c>
      <c r="B228" s="1">
        <f>DATE(2010,10,12) + TIME(8,11,0)</f>
        <v>40463.34097222222</v>
      </c>
      <c r="C228">
        <v>1377.3353271000001</v>
      </c>
      <c r="D228">
        <v>1364.1328125</v>
      </c>
      <c r="E228">
        <v>1286.2286377</v>
      </c>
      <c r="F228">
        <v>1263.3491211</v>
      </c>
      <c r="G228">
        <v>2400</v>
      </c>
      <c r="H228">
        <v>0</v>
      </c>
      <c r="I228">
        <v>0</v>
      </c>
      <c r="J228">
        <v>2400</v>
      </c>
      <c r="K228">
        <v>80</v>
      </c>
      <c r="L228">
        <v>79.949432372999993</v>
      </c>
      <c r="M228">
        <v>50</v>
      </c>
      <c r="N228">
        <v>40.043300629000001</v>
      </c>
    </row>
    <row r="229" spans="1:14" x14ac:dyDescent="0.25">
      <c r="A229">
        <v>166.65901700000001</v>
      </c>
      <c r="B229" s="1">
        <f>DATE(2010,10,14) + TIME(15,48,59)</f>
        <v>40465.659016203703</v>
      </c>
      <c r="C229">
        <v>1377.2969971</v>
      </c>
      <c r="D229">
        <v>1364.0993652</v>
      </c>
      <c r="E229">
        <v>1286.2589111</v>
      </c>
      <c r="F229">
        <v>1263.3770752</v>
      </c>
      <c r="G229">
        <v>2400</v>
      </c>
      <c r="H229">
        <v>0</v>
      </c>
      <c r="I229">
        <v>0</v>
      </c>
      <c r="J229">
        <v>2400</v>
      </c>
      <c r="K229">
        <v>80</v>
      </c>
      <c r="L229">
        <v>79.949584960999999</v>
      </c>
      <c r="M229">
        <v>50</v>
      </c>
      <c r="N229">
        <v>40.052974700999997</v>
      </c>
    </row>
    <row r="230" spans="1:14" x14ac:dyDescent="0.25">
      <c r="A230">
        <v>167.82944800000001</v>
      </c>
      <c r="B230" s="1">
        <f>DATE(2010,10,15) + TIME(19,54,24)</f>
        <v>40466.829444444447</v>
      </c>
      <c r="C230">
        <v>1377.2585449000001</v>
      </c>
      <c r="D230">
        <v>1364.0656738</v>
      </c>
      <c r="E230">
        <v>1286.2910156</v>
      </c>
      <c r="F230">
        <v>1263.4064940999999</v>
      </c>
      <c r="G230">
        <v>2400</v>
      </c>
      <c r="H230">
        <v>0</v>
      </c>
      <c r="I230">
        <v>0</v>
      </c>
      <c r="J230">
        <v>2400</v>
      </c>
      <c r="K230">
        <v>80</v>
      </c>
      <c r="L230">
        <v>79.949661254999995</v>
      </c>
      <c r="M230">
        <v>50</v>
      </c>
      <c r="N230">
        <v>40.062152863000001</v>
      </c>
    </row>
    <row r="231" spans="1:14" x14ac:dyDescent="0.25">
      <c r="A231">
        <v>168.99824000000001</v>
      </c>
      <c r="B231" s="1">
        <f>DATE(2010,10,16) + TIME(23,57,27)</f>
        <v>40467.998229166667</v>
      </c>
      <c r="C231">
        <v>1377.2392577999999</v>
      </c>
      <c r="D231">
        <v>1364.0487060999999</v>
      </c>
      <c r="E231">
        <v>1286.3078613</v>
      </c>
      <c r="F231">
        <v>1263.4228516000001</v>
      </c>
      <c r="G231">
        <v>2400</v>
      </c>
      <c r="H231">
        <v>0</v>
      </c>
      <c r="I231">
        <v>0</v>
      </c>
      <c r="J231">
        <v>2400</v>
      </c>
      <c r="K231">
        <v>80</v>
      </c>
      <c r="L231">
        <v>79.949737549000005</v>
      </c>
      <c r="M231">
        <v>50</v>
      </c>
      <c r="N231">
        <v>40.070247649999999</v>
      </c>
    </row>
    <row r="232" spans="1:14" x14ac:dyDescent="0.25">
      <c r="A232">
        <v>170.16703200000001</v>
      </c>
      <c r="B232" s="1">
        <f>DATE(2010,10,18) + TIME(4,0,31)</f>
        <v>40469.167025462964</v>
      </c>
      <c r="C232">
        <v>1377.2200928</v>
      </c>
      <c r="D232">
        <v>1364.0319824000001</v>
      </c>
      <c r="E232">
        <v>1286.3249512</v>
      </c>
      <c r="F232">
        <v>1263.4395752</v>
      </c>
      <c r="G232">
        <v>2400</v>
      </c>
      <c r="H232">
        <v>0</v>
      </c>
      <c r="I232">
        <v>0</v>
      </c>
      <c r="J232">
        <v>2400</v>
      </c>
      <c r="K232">
        <v>80</v>
      </c>
      <c r="L232">
        <v>79.949813843000001</v>
      </c>
      <c r="M232">
        <v>50</v>
      </c>
      <c r="N232">
        <v>40.078269958</v>
      </c>
    </row>
    <row r="233" spans="1:14" x14ac:dyDescent="0.25">
      <c r="A233">
        <v>171.335823</v>
      </c>
      <c r="B233" s="1">
        <f>DATE(2010,10,19) + TIME(8,3,35)</f>
        <v>40470.335821759261</v>
      </c>
      <c r="C233">
        <v>1377.2010498</v>
      </c>
      <c r="D233">
        <v>1364.0152588000001</v>
      </c>
      <c r="E233">
        <v>1286.3425293</v>
      </c>
      <c r="F233">
        <v>1263.456543</v>
      </c>
      <c r="G233">
        <v>2400</v>
      </c>
      <c r="H233">
        <v>0</v>
      </c>
      <c r="I233">
        <v>0</v>
      </c>
      <c r="J233">
        <v>2400</v>
      </c>
      <c r="K233">
        <v>80</v>
      </c>
      <c r="L233">
        <v>79.949890136999997</v>
      </c>
      <c r="M233">
        <v>50</v>
      </c>
      <c r="N233">
        <v>40.086662292</v>
      </c>
    </row>
    <row r="234" spans="1:14" x14ac:dyDescent="0.25">
      <c r="A234">
        <v>172.504615</v>
      </c>
      <c r="B234" s="1">
        <f>DATE(2010,10,20) + TIME(12,6,38)</f>
        <v>40471.504606481481</v>
      </c>
      <c r="C234">
        <v>1377.182251</v>
      </c>
      <c r="D234">
        <v>1363.9987793</v>
      </c>
      <c r="E234">
        <v>1286.3604736</v>
      </c>
      <c r="F234">
        <v>1263.4741211</v>
      </c>
      <c r="G234">
        <v>2400</v>
      </c>
      <c r="H234">
        <v>0</v>
      </c>
      <c r="I234">
        <v>0</v>
      </c>
      <c r="J234">
        <v>2400</v>
      </c>
      <c r="K234">
        <v>80</v>
      </c>
      <c r="L234">
        <v>79.949966431000007</v>
      </c>
      <c r="M234">
        <v>50</v>
      </c>
      <c r="N234">
        <v>40.095642089999998</v>
      </c>
    </row>
    <row r="235" spans="1:14" x14ac:dyDescent="0.25">
      <c r="A235">
        <v>173.673407</v>
      </c>
      <c r="B235" s="1">
        <f>DATE(2010,10,21) + TIME(16,9,42)</f>
        <v>40472.673402777778</v>
      </c>
      <c r="C235">
        <v>1377.1633300999999</v>
      </c>
      <c r="D235">
        <v>1363.9821777</v>
      </c>
      <c r="E235">
        <v>1286.3789062000001</v>
      </c>
      <c r="F235">
        <v>1263.4921875</v>
      </c>
      <c r="G235">
        <v>2400</v>
      </c>
      <c r="H235">
        <v>0</v>
      </c>
      <c r="I235">
        <v>0</v>
      </c>
      <c r="J235">
        <v>2400</v>
      </c>
      <c r="K235">
        <v>80</v>
      </c>
      <c r="L235">
        <v>79.950050353999998</v>
      </c>
      <c r="M235">
        <v>50</v>
      </c>
      <c r="N235">
        <v>40.105319977000001</v>
      </c>
    </row>
    <row r="236" spans="1:14" x14ac:dyDescent="0.25">
      <c r="A236">
        <v>174.84219899999999</v>
      </c>
      <c r="B236" s="1">
        <f>DATE(2010,10,22) + TIME(20,12,46)</f>
        <v>40473.842199074075</v>
      </c>
      <c r="C236">
        <v>1377.1446533000001</v>
      </c>
      <c r="D236">
        <v>1363.9658202999999</v>
      </c>
      <c r="E236">
        <v>1286.3977050999999</v>
      </c>
      <c r="F236">
        <v>1263.5108643000001</v>
      </c>
      <c r="G236">
        <v>2400</v>
      </c>
      <c r="H236">
        <v>0</v>
      </c>
      <c r="I236">
        <v>0</v>
      </c>
      <c r="J236">
        <v>2400</v>
      </c>
      <c r="K236">
        <v>80</v>
      </c>
      <c r="L236">
        <v>79.950126647999994</v>
      </c>
      <c r="M236">
        <v>50</v>
      </c>
      <c r="N236">
        <v>40.115776062000002</v>
      </c>
    </row>
    <row r="237" spans="1:14" x14ac:dyDescent="0.25">
      <c r="A237">
        <v>176.01099099999999</v>
      </c>
      <c r="B237" s="1">
        <f>DATE(2010,10,24) + TIME(0,15,49)</f>
        <v>40475.010983796295</v>
      </c>
      <c r="C237">
        <v>1377.1259766000001</v>
      </c>
      <c r="D237">
        <v>1363.9493408000001</v>
      </c>
      <c r="E237">
        <v>1286.4169922000001</v>
      </c>
      <c r="F237">
        <v>1263.5301514</v>
      </c>
      <c r="G237">
        <v>2400</v>
      </c>
      <c r="H237">
        <v>0</v>
      </c>
      <c r="I237">
        <v>0</v>
      </c>
      <c r="J237">
        <v>2400</v>
      </c>
      <c r="K237">
        <v>80</v>
      </c>
      <c r="L237">
        <v>79.950202942000004</v>
      </c>
      <c r="M237">
        <v>50</v>
      </c>
      <c r="N237">
        <v>40.127075195000003</v>
      </c>
    </row>
    <row r="238" spans="1:14" x14ac:dyDescent="0.25">
      <c r="A238">
        <v>177.17978299999999</v>
      </c>
      <c r="B238" s="1">
        <f>DATE(2010,10,25) + TIME(4,18,53)</f>
        <v>40476.179780092592</v>
      </c>
      <c r="C238">
        <v>1377.1075439000001</v>
      </c>
      <c r="D238">
        <v>1363.9331055</v>
      </c>
      <c r="E238">
        <v>1286.4367675999999</v>
      </c>
      <c r="F238">
        <v>1263.5500488</v>
      </c>
      <c r="G238">
        <v>2400</v>
      </c>
      <c r="H238">
        <v>0</v>
      </c>
      <c r="I238">
        <v>0</v>
      </c>
      <c r="J238">
        <v>2400</v>
      </c>
      <c r="K238">
        <v>80</v>
      </c>
      <c r="L238">
        <v>79.950279236</v>
      </c>
      <c r="M238">
        <v>50</v>
      </c>
      <c r="N238">
        <v>40.139270781999997</v>
      </c>
    </row>
    <row r="239" spans="1:14" x14ac:dyDescent="0.25">
      <c r="A239">
        <v>178.34857500000001</v>
      </c>
      <c r="B239" s="1">
        <f>DATE(2010,10,26) + TIME(8,21,56)</f>
        <v>40477.348564814813</v>
      </c>
      <c r="C239">
        <v>1377.0889893000001</v>
      </c>
      <c r="D239">
        <v>1363.9168701000001</v>
      </c>
      <c r="E239">
        <v>1286.4569091999999</v>
      </c>
      <c r="F239">
        <v>1263.5705565999999</v>
      </c>
      <c r="G239">
        <v>2400</v>
      </c>
      <c r="H239">
        <v>0</v>
      </c>
      <c r="I239">
        <v>0</v>
      </c>
      <c r="J239">
        <v>2400</v>
      </c>
      <c r="K239">
        <v>80</v>
      </c>
      <c r="L239">
        <v>79.950355529999996</v>
      </c>
      <c r="M239">
        <v>50</v>
      </c>
      <c r="N239">
        <v>40.152416229000004</v>
      </c>
    </row>
    <row r="240" spans="1:14" x14ac:dyDescent="0.25">
      <c r="A240">
        <v>179.51736700000001</v>
      </c>
      <c r="B240" s="1">
        <f>DATE(2010,10,27) + TIME(12,25,0)</f>
        <v>40478.517361111109</v>
      </c>
      <c r="C240">
        <v>1377.0706786999999</v>
      </c>
      <c r="D240">
        <v>1363.9006348</v>
      </c>
      <c r="E240">
        <v>1286.4776611</v>
      </c>
      <c r="F240">
        <v>1263.5917969</v>
      </c>
      <c r="G240">
        <v>2400</v>
      </c>
      <c r="H240">
        <v>0</v>
      </c>
      <c r="I240">
        <v>0</v>
      </c>
      <c r="J240">
        <v>2400</v>
      </c>
      <c r="K240">
        <v>80</v>
      </c>
      <c r="L240">
        <v>79.950431824000006</v>
      </c>
      <c r="M240">
        <v>50</v>
      </c>
      <c r="N240">
        <v>40.166576384999999</v>
      </c>
    </row>
    <row r="241" spans="1:14" x14ac:dyDescent="0.25">
      <c r="A241">
        <v>180.686159</v>
      </c>
      <c r="B241" s="1">
        <f>DATE(2010,10,28) + TIME(16,28,4)</f>
        <v>40479.686157407406</v>
      </c>
      <c r="C241">
        <v>1377.0523682</v>
      </c>
      <c r="D241">
        <v>1363.8845214999999</v>
      </c>
      <c r="E241">
        <v>1286.4987793</v>
      </c>
      <c r="F241">
        <v>1263.6137695</v>
      </c>
      <c r="G241">
        <v>2400</v>
      </c>
      <c r="H241">
        <v>0</v>
      </c>
      <c r="I241">
        <v>0</v>
      </c>
      <c r="J241">
        <v>2400</v>
      </c>
      <c r="K241">
        <v>80</v>
      </c>
      <c r="L241">
        <v>79.950508118000002</v>
      </c>
      <c r="M241">
        <v>50</v>
      </c>
      <c r="N241">
        <v>40.181797027999998</v>
      </c>
    </row>
    <row r="242" spans="1:14" x14ac:dyDescent="0.25">
      <c r="A242">
        <v>183.023742</v>
      </c>
      <c r="B242" s="1">
        <f>DATE(2010,10,31) + TIME(0,34,11)</f>
        <v>40482.023738425924</v>
      </c>
      <c r="C242">
        <v>1377.0343018000001</v>
      </c>
      <c r="D242">
        <v>1363.8686522999999</v>
      </c>
      <c r="E242">
        <v>1286.5198975000001</v>
      </c>
      <c r="F242">
        <v>1263.6374512</v>
      </c>
      <c r="G242">
        <v>2400</v>
      </c>
      <c r="H242">
        <v>0</v>
      </c>
      <c r="I242">
        <v>0</v>
      </c>
      <c r="J242">
        <v>2400</v>
      </c>
      <c r="K242">
        <v>80</v>
      </c>
      <c r="L242">
        <v>79.950668335000003</v>
      </c>
      <c r="M242">
        <v>50</v>
      </c>
      <c r="N242">
        <v>40.202476501</v>
      </c>
    </row>
    <row r="243" spans="1:14" x14ac:dyDescent="0.25">
      <c r="A243">
        <v>184</v>
      </c>
      <c r="B243" s="1">
        <f>DATE(2010,11,1) + TIME(0,0,0)</f>
        <v>40483</v>
      </c>
      <c r="C243">
        <v>1376.9981689000001</v>
      </c>
      <c r="D243">
        <v>1363.8367920000001</v>
      </c>
      <c r="E243">
        <v>1286.5653076000001</v>
      </c>
      <c r="F243">
        <v>1263.6813964999999</v>
      </c>
      <c r="G243">
        <v>2400</v>
      </c>
      <c r="H243">
        <v>0</v>
      </c>
      <c r="I243">
        <v>0</v>
      </c>
      <c r="J243">
        <v>2400</v>
      </c>
      <c r="K243">
        <v>80</v>
      </c>
      <c r="L243">
        <v>79.950721740999995</v>
      </c>
      <c r="M243">
        <v>50</v>
      </c>
      <c r="N243">
        <v>40.226184844999999</v>
      </c>
    </row>
    <row r="244" spans="1:14" x14ac:dyDescent="0.25">
      <c r="A244">
        <v>184.000001</v>
      </c>
      <c r="B244" s="1">
        <f>DATE(2010,11,1) + TIME(0,0,0)</f>
        <v>40483</v>
      </c>
      <c r="C244">
        <v>1362.9649658000001</v>
      </c>
      <c r="D244">
        <v>1350.8122559000001</v>
      </c>
      <c r="E244">
        <v>1310.0191649999999</v>
      </c>
      <c r="F244">
        <v>1287.4432373</v>
      </c>
      <c r="G244">
        <v>0</v>
      </c>
      <c r="H244">
        <v>2400</v>
      </c>
      <c r="I244">
        <v>2400</v>
      </c>
      <c r="J244">
        <v>0</v>
      </c>
      <c r="K244">
        <v>80</v>
      </c>
      <c r="L244">
        <v>79.950599670000003</v>
      </c>
      <c r="M244">
        <v>50</v>
      </c>
      <c r="N244">
        <v>40.226303100999999</v>
      </c>
    </row>
    <row r="245" spans="1:14" x14ac:dyDescent="0.25">
      <c r="A245">
        <v>184.00000399999999</v>
      </c>
      <c r="B245" s="1">
        <f>DATE(2010,11,1) + TIME(0,0,0)</f>
        <v>40483</v>
      </c>
      <c r="C245">
        <v>1360.7625731999999</v>
      </c>
      <c r="D245">
        <v>1348.6091309000001</v>
      </c>
      <c r="E245">
        <v>1312.3964844</v>
      </c>
      <c r="F245">
        <v>1289.8250731999999</v>
      </c>
      <c r="G245">
        <v>0</v>
      </c>
      <c r="H245">
        <v>2400</v>
      </c>
      <c r="I245">
        <v>2400</v>
      </c>
      <c r="J245">
        <v>0</v>
      </c>
      <c r="K245">
        <v>80</v>
      </c>
      <c r="L245">
        <v>79.950286864999995</v>
      </c>
      <c r="M245">
        <v>50</v>
      </c>
      <c r="N245">
        <v>40.226623535000002</v>
      </c>
    </row>
    <row r="246" spans="1:14" x14ac:dyDescent="0.25">
      <c r="A246">
        <v>184.000013</v>
      </c>
      <c r="B246" s="1">
        <f>DATE(2010,11,1) + TIME(0,0,1)</f>
        <v>40483.000011574077</v>
      </c>
      <c r="C246">
        <v>1356.3164062000001</v>
      </c>
      <c r="D246">
        <v>1344.1623535000001</v>
      </c>
      <c r="E246">
        <v>1317.9278564000001</v>
      </c>
      <c r="F246">
        <v>1295.3632812000001</v>
      </c>
      <c r="G246">
        <v>0</v>
      </c>
      <c r="H246">
        <v>2400</v>
      </c>
      <c r="I246">
        <v>2400</v>
      </c>
      <c r="J246">
        <v>0</v>
      </c>
      <c r="K246">
        <v>80</v>
      </c>
      <c r="L246">
        <v>79.949653624999996</v>
      </c>
      <c r="M246">
        <v>50</v>
      </c>
      <c r="N246">
        <v>40.227390288999999</v>
      </c>
    </row>
    <row r="247" spans="1:14" x14ac:dyDescent="0.25">
      <c r="A247">
        <v>184.00004000000001</v>
      </c>
      <c r="B247" s="1">
        <f>DATE(2010,11,1) + TIME(0,0,3)</f>
        <v>40483.000034722223</v>
      </c>
      <c r="C247">
        <v>1349.8226318</v>
      </c>
      <c r="D247">
        <v>1337.6693115</v>
      </c>
      <c r="E247">
        <v>1327.6772461</v>
      </c>
      <c r="F247">
        <v>1305.1165771000001</v>
      </c>
      <c r="G247">
        <v>0</v>
      </c>
      <c r="H247">
        <v>2400</v>
      </c>
      <c r="I247">
        <v>2400</v>
      </c>
      <c r="J247">
        <v>0</v>
      </c>
      <c r="K247">
        <v>80</v>
      </c>
      <c r="L247">
        <v>79.948730468999997</v>
      </c>
      <c r="M247">
        <v>50</v>
      </c>
      <c r="N247">
        <v>40.228874206999997</v>
      </c>
    </row>
    <row r="248" spans="1:14" x14ac:dyDescent="0.25">
      <c r="A248">
        <v>184.00012100000001</v>
      </c>
      <c r="B248" s="1">
        <f>DATE(2010,11,1) + TIME(0,0,10)</f>
        <v>40483.000115740739</v>
      </c>
      <c r="C248">
        <v>1342.5917969</v>
      </c>
      <c r="D248">
        <v>1330.4456786999999</v>
      </c>
      <c r="E248">
        <v>1340.1171875</v>
      </c>
      <c r="F248">
        <v>1317.5551757999999</v>
      </c>
      <c r="G248">
        <v>0</v>
      </c>
      <c r="H248">
        <v>2400</v>
      </c>
      <c r="I248">
        <v>2400</v>
      </c>
      <c r="J248">
        <v>0</v>
      </c>
      <c r="K248">
        <v>80</v>
      </c>
      <c r="L248">
        <v>79.947685242000006</v>
      </c>
      <c r="M248">
        <v>50</v>
      </c>
      <c r="N248">
        <v>40.231296538999999</v>
      </c>
    </row>
    <row r="249" spans="1:14" x14ac:dyDescent="0.25">
      <c r="A249">
        <v>184.00036399999999</v>
      </c>
      <c r="B249" s="1">
        <f>DATE(2010,11,1) + TIME(0,0,31)</f>
        <v>40483.000358796293</v>
      </c>
      <c r="C249">
        <v>1335.3234863</v>
      </c>
      <c r="D249">
        <v>1323.1877440999999</v>
      </c>
      <c r="E249">
        <v>1353.1124268000001</v>
      </c>
      <c r="F249">
        <v>1330.5461425999999</v>
      </c>
      <c r="G249">
        <v>0</v>
      </c>
      <c r="H249">
        <v>2400</v>
      </c>
      <c r="I249">
        <v>2400</v>
      </c>
      <c r="J249">
        <v>0</v>
      </c>
      <c r="K249">
        <v>80</v>
      </c>
      <c r="L249">
        <v>79.946601868000002</v>
      </c>
      <c r="M249">
        <v>50</v>
      </c>
      <c r="N249">
        <v>40.235645294000001</v>
      </c>
    </row>
    <row r="250" spans="1:14" x14ac:dyDescent="0.25">
      <c r="A250">
        <v>184.001093</v>
      </c>
      <c r="B250" s="1">
        <f>DATE(2010,11,1) + TIME(0,1,34)</f>
        <v>40483.001087962963</v>
      </c>
      <c r="C250">
        <v>1328.0297852000001</v>
      </c>
      <c r="D250">
        <v>1315.8966064000001</v>
      </c>
      <c r="E250">
        <v>1366.0438231999999</v>
      </c>
      <c r="F250">
        <v>1343.4696045000001</v>
      </c>
      <c r="G250">
        <v>0</v>
      </c>
      <c r="H250">
        <v>2400</v>
      </c>
      <c r="I250">
        <v>2400</v>
      </c>
      <c r="J250">
        <v>0</v>
      </c>
      <c r="K250">
        <v>80</v>
      </c>
      <c r="L250">
        <v>79.945396423000005</v>
      </c>
      <c r="M250">
        <v>50</v>
      </c>
      <c r="N250">
        <v>40.245559692</v>
      </c>
    </row>
    <row r="251" spans="1:14" x14ac:dyDescent="0.25">
      <c r="A251">
        <v>184.00327999999999</v>
      </c>
      <c r="B251" s="1">
        <f>DATE(2010,11,1) + TIME(0,4,43)</f>
        <v>40483.003275462965</v>
      </c>
      <c r="C251">
        <v>1320.5515137</v>
      </c>
      <c r="D251">
        <v>1308.3875731999999</v>
      </c>
      <c r="E251">
        <v>1378.6132812000001</v>
      </c>
      <c r="F251">
        <v>1356.0241699000001</v>
      </c>
      <c r="G251">
        <v>0</v>
      </c>
      <c r="H251">
        <v>2400</v>
      </c>
      <c r="I251">
        <v>2400</v>
      </c>
      <c r="J251">
        <v>0</v>
      </c>
      <c r="K251">
        <v>80</v>
      </c>
      <c r="L251">
        <v>79.943832396999994</v>
      </c>
      <c r="M251">
        <v>50</v>
      </c>
      <c r="N251">
        <v>40.272117614999999</v>
      </c>
    </row>
    <row r="252" spans="1:14" x14ac:dyDescent="0.25">
      <c r="A252">
        <v>184.00984099999999</v>
      </c>
      <c r="B252" s="1">
        <f>DATE(2010,11,1) + TIME(0,14,10)</f>
        <v>40483.009837962964</v>
      </c>
      <c r="C252">
        <v>1313.3112793</v>
      </c>
      <c r="D252">
        <v>1301.1049805</v>
      </c>
      <c r="E252">
        <v>1389.3880615</v>
      </c>
      <c r="F252">
        <v>1366.7938231999999</v>
      </c>
      <c r="G252">
        <v>0</v>
      </c>
      <c r="H252">
        <v>2400</v>
      </c>
      <c r="I252">
        <v>2400</v>
      </c>
      <c r="J252">
        <v>0</v>
      </c>
      <c r="K252">
        <v>80</v>
      </c>
      <c r="L252">
        <v>79.941291809000006</v>
      </c>
      <c r="M252">
        <v>50</v>
      </c>
      <c r="N252">
        <v>40.348094940000003</v>
      </c>
    </row>
    <row r="253" spans="1:14" x14ac:dyDescent="0.25">
      <c r="A253">
        <v>184.02952400000001</v>
      </c>
      <c r="B253" s="1">
        <f>DATE(2010,11,1) + TIME(0,42,30)</f>
        <v>40483.029513888891</v>
      </c>
      <c r="C253">
        <v>1308.0880127</v>
      </c>
      <c r="D253">
        <v>1295.8615723</v>
      </c>
      <c r="E253">
        <v>1395.8859863</v>
      </c>
      <c r="F253">
        <v>1373.3560791</v>
      </c>
      <c r="G253">
        <v>0</v>
      </c>
      <c r="H253">
        <v>2400</v>
      </c>
      <c r="I253">
        <v>2400</v>
      </c>
      <c r="J253">
        <v>0</v>
      </c>
      <c r="K253">
        <v>80</v>
      </c>
      <c r="L253">
        <v>79.936073303000001</v>
      </c>
      <c r="M253">
        <v>50</v>
      </c>
      <c r="N253">
        <v>40.568096161</v>
      </c>
    </row>
    <row r="254" spans="1:14" x14ac:dyDescent="0.25">
      <c r="A254">
        <v>184.088573</v>
      </c>
      <c r="B254" s="1">
        <f>DATE(2010,11,1) + TIME(2,7,32)</f>
        <v>40483.088564814818</v>
      </c>
      <c r="C254">
        <v>1305.9631348</v>
      </c>
      <c r="D254">
        <v>1293.7307129000001</v>
      </c>
      <c r="E254">
        <v>1397.6003418</v>
      </c>
      <c r="F254">
        <v>1375.3078613</v>
      </c>
      <c r="G254">
        <v>0</v>
      </c>
      <c r="H254">
        <v>2400</v>
      </c>
      <c r="I254">
        <v>2400</v>
      </c>
      <c r="J254">
        <v>0</v>
      </c>
      <c r="K254">
        <v>80</v>
      </c>
      <c r="L254">
        <v>79.923004149999997</v>
      </c>
      <c r="M254">
        <v>50</v>
      </c>
      <c r="N254">
        <v>41.183544159</v>
      </c>
    </row>
    <row r="255" spans="1:14" x14ac:dyDescent="0.25">
      <c r="A255">
        <v>184.182605</v>
      </c>
      <c r="B255" s="1">
        <f>DATE(2010,11,1) + TIME(4,22,57)</f>
        <v>40483.182604166665</v>
      </c>
      <c r="C255">
        <v>1305.5888672000001</v>
      </c>
      <c r="D255">
        <v>1293.3544922000001</v>
      </c>
      <c r="E255">
        <v>1397.3259277</v>
      </c>
      <c r="F255">
        <v>1375.3651123</v>
      </c>
      <c r="G255">
        <v>0</v>
      </c>
      <c r="H255">
        <v>2400</v>
      </c>
      <c r="I255">
        <v>2400</v>
      </c>
      <c r="J255">
        <v>0</v>
      </c>
      <c r="K255">
        <v>80</v>
      </c>
      <c r="L255">
        <v>79.903717040999993</v>
      </c>
      <c r="M255">
        <v>50</v>
      </c>
      <c r="N255">
        <v>42.066349029999998</v>
      </c>
    </row>
    <row r="256" spans="1:14" x14ac:dyDescent="0.25">
      <c r="A256">
        <v>184.287147</v>
      </c>
      <c r="B256" s="1">
        <f>DATE(2010,11,1) + TIME(6,53,29)</f>
        <v>40483.287141203706</v>
      </c>
      <c r="C256">
        <v>1305.5380858999999</v>
      </c>
      <c r="D256">
        <v>1293.3026123</v>
      </c>
      <c r="E256">
        <v>1396.8746338000001</v>
      </c>
      <c r="F256">
        <v>1375.2241211</v>
      </c>
      <c r="G256">
        <v>0</v>
      </c>
      <c r="H256">
        <v>2400</v>
      </c>
      <c r="I256">
        <v>2400</v>
      </c>
      <c r="J256">
        <v>0</v>
      </c>
      <c r="K256">
        <v>80</v>
      </c>
      <c r="L256">
        <v>79.883064270000006</v>
      </c>
      <c r="M256">
        <v>50</v>
      </c>
      <c r="N256">
        <v>42.941242217999999</v>
      </c>
    </row>
    <row r="257" spans="1:14" x14ac:dyDescent="0.25">
      <c r="A257">
        <v>184.40466599999999</v>
      </c>
      <c r="B257" s="1">
        <f>DATE(2010,11,1) + TIME(9,42,43)</f>
        <v>40483.404664351852</v>
      </c>
      <c r="C257">
        <v>1305.5290527</v>
      </c>
      <c r="D257">
        <v>1293.2924805</v>
      </c>
      <c r="E257">
        <v>1396.4301757999999</v>
      </c>
      <c r="F257">
        <v>1375.0772704999999</v>
      </c>
      <c r="G257">
        <v>0</v>
      </c>
      <c r="H257">
        <v>2400</v>
      </c>
      <c r="I257">
        <v>2400</v>
      </c>
      <c r="J257">
        <v>0</v>
      </c>
      <c r="K257">
        <v>80</v>
      </c>
      <c r="L257">
        <v>79.860725403000004</v>
      </c>
      <c r="M257">
        <v>50</v>
      </c>
      <c r="N257">
        <v>43.805805206000002</v>
      </c>
    </row>
    <row r="258" spans="1:14" x14ac:dyDescent="0.25">
      <c r="A258">
        <v>184.538543</v>
      </c>
      <c r="B258" s="1">
        <f>DATE(2010,11,1) + TIME(12,55,30)</f>
        <v>40483.538541666669</v>
      </c>
      <c r="C258">
        <v>1305.5256348</v>
      </c>
      <c r="D258">
        <v>1293.2878418</v>
      </c>
      <c r="E258">
        <v>1396.0028076000001</v>
      </c>
      <c r="F258">
        <v>1374.9343262</v>
      </c>
      <c r="G258">
        <v>0</v>
      </c>
      <c r="H258">
        <v>2400</v>
      </c>
      <c r="I258">
        <v>2400</v>
      </c>
      <c r="J258">
        <v>0</v>
      </c>
      <c r="K258">
        <v>80</v>
      </c>
      <c r="L258">
        <v>79.836280822999996</v>
      </c>
      <c r="M258">
        <v>50</v>
      </c>
      <c r="N258">
        <v>44.656768798999998</v>
      </c>
    </row>
    <row r="259" spans="1:14" x14ac:dyDescent="0.25">
      <c r="A259">
        <v>184.69363000000001</v>
      </c>
      <c r="B259" s="1">
        <f>DATE(2010,11,1) + TIME(16,38,49)</f>
        <v>40483.693622685183</v>
      </c>
      <c r="C259">
        <v>1305.5224608999999</v>
      </c>
      <c r="D259">
        <v>1293.2834473</v>
      </c>
      <c r="E259">
        <v>1395.5915527</v>
      </c>
      <c r="F259">
        <v>1374.7937012</v>
      </c>
      <c r="G259">
        <v>0</v>
      </c>
      <c r="H259">
        <v>2400</v>
      </c>
      <c r="I259">
        <v>2400</v>
      </c>
      <c r="J259">
        <v>0</v>
      </c>
      <c r="K259">
        <v>80</v>
      </c>
      <c r="L259">
        <v>79.809188843000001</v>
      </c>
      <c r="M259">
        <v>50</v>
      </c>
      <c r="N259">
        <v>45.489940642999997</v>
      </c>
    </row>
    <row r="260" spans="1:14" x14ac:dyDescent="0.25">
      <c r="A260">
        <v>184.87718599999999</v>
      </c>
      <c r="B260" s="1">
        <f>DATE(2010,11,1) + TIME(21,3,8)</f>
        <v>40483.877175925925</v>
      </c>
      <c r="C260">
        <v>1305.5189209</v>
      </c>
      <c r="D260">
        <v>1293.2785644999999</v>
      </c>
      <c r="E260">
        <v>1395.1958007999999</v>
      </c>
      <c r="F260">
        <v>1374.6539307</v>
      </c>
      <c r="G260">
        <v>0</v>
      </c>
      <c r="H260">
        <v>2400</v>
      </c>
      <c r="I260">
        <v>2400</v>
      </c>
      <c r="J260">
        <v>0</v>
      </c>
      <c r="K260">
        <v>80</v>
      </c>
      <c r="L260">
        <v>79.778640746999997</v>
      </c>
      <c r="M260">
        <v>50</v>
      </c>
      <c r="N260">
        <v>46.299713134999998</v>
      </c>
    </row>
    <row r="261" spans="1:14" x14ac:dyDescent="0.25">
      <c r="A261">
        <v>185.100617</v>
      </c>
      <c r="B261" s="1">
        <f>DATE(2010,11,2) + TIME(2,24,53)</f>
        <v>40484.100613425922</v>
      </c>
      <c r="C261">
        <v>1305.5146483999999</v>
      </c>
      <c r="D261">
        <v>1293.2727050999999</v>
      </c>
      <c r="E261">
        <v>1394.8156738</v>
      </c>
      <c r="F261">
        <v>1374.5135498</v>
      </c>
      <c r="G261">
        <v>0</v>
      </c>
      <c r="H261">
        <v>2400</v>
      </c>
      <c r="I261">
        <v>2400</v>
      </c>
      <c r="J261">
        <v>0</v>
      </c>
      <c r="K261">
        <v>80</v>
      </c>
      <c r="L261">
        <v>79.743453978999995</v>
      </c>
      <c r="M261">
        <v>50</v>
      </c>
      <c r="N261">
        <v>47.078178405999999</v>
      </c>
    </row>
    <row r="262" spans="1:14" x14ac:dyDescent="0.25">
      <c r="A262">
        <v>185.38311100000001</v>
      </c>
      <c r="B262" s="1">
        <f>DATE(2010,11,2) + TIME(9,11,40)</f>
        <v>40484.383101851854</v>
      </c>
      <c r="C262">
        <v>1305.5093993999999</v>
      </c>
      <c r="D262">
        <v>1293.2657471</v>
      </c>
      <c r="E262">
        <v>1394.4515381000001</v>
      </c>
      <c r="F262">
        <v>1374.3703613</v>
      </c>
      <c r="G262">
        <v>0</v>
      </c>
      <c r="H262">
        <v>2400</v>
      </c>
      <c r="I262">
        <v>2400</v>
      </c>
      <c r="J262">
        <v>0</v>
      </c>
      <c r="K262">
        <v>80</v>
      </c>
      <c r="L262">
        <v>79.701744079999997</v>
      </c>
      <c r="M262">
        <v>50</v>
      </c>
      <c r="N262">
        <v>47.813838959000002</v>
      </c>
    </row>
    <row r="263" spans="1:14" x14ac:dyDescent="0.25">
      <c r="A263">
        <v>185.75995599999999</v>
      </c>
      <c r="B263" s="1">
        <f>DATE(2010,11,2) + TIME(18,14,20)</f>
        <v>40484.759953703702</v>
      </c>
      <c r="C263">
        <v>1305.5026855000001</v>
      </c>
      <c r="D263">
        <v>1293.2568358999999</v>
      </c>
      <c r="E263">
        <v>1394.1042480000001</v>
      </c>
      <c r="F263">
        <v>1374.2213135</v>
      </c>
      <c r="G263">
        <v>0</v>
      </c>
      <c r="H263">
        <v>2400</v>
      </c>
      <c r="I263">
        <v>2400</v>
      </c>
      <c r="J263">
        <v>0</v>
      </c>
      <c r="K263">
        <v>80</v>
      </c>
      <c r="L263">
        <v>79.650375366000006</v>
      </c>
      <c r="M263">
        <v>50</v>
      </c>
      <c r="N263">
        <v>48.489570618000002</v>
      </c>
    </row>
    <row r="264" spans="1:14" x14ac:dyDescent="0.25">
      <c r="A264">
        <v>186.15722</v>
      </c>
      <c r="B264" s="1">
        <f>DATE(2010,11,3) + TIME(3,46,23)</f>
        <v>40485.157210648147</v>
      </c>
      <c r="C264">
        <v>1305.4930420000001</v>
      </c>
      <c r="D264">
        <v>1293.2454834</v>
      </c>
      <c r="E264">
        <v>1393.8297118999999</v>
      </c>
      <c r="F264">
        <v>1374.0808105000001</v>
      </c>
      <c r="G264">
        <v>0</v>
      </c>
      <c r="H264">
        <v>2400</v>
      </c>
      <c r="I264">
        <v>2400</v>
      </c>
      <c r="J264">
        <v>0</v>
      </c>
      <c r="K264">
        <v>80</v>
      </c>
      <c r="L264">
        <v>79.595916747999993</v>
      </c>
      <c r="M264">
        <v>50</v>
      </c>
      <c r="N264">
        <v>48.971637725999997</v>
      </c>
    </row>
    <row r="265" spans="1:14" x14ac:dyDescent="0.25">
      <c r="A265">
        <v>186.58878999999999</v>
      </c>
      <c r="B265" s="1">
        <f>DATE(2010,11,3) + TIME(14,7,51)</f>
        <v>40485.588784722226</v>
      </c>
      <c r="C265">
        <v>1305.4827881000001</v>
      </c>
      <c r="D265">
        <v>1293.2333983999999</v>
      </c>
      <c r="E265">
        <v>1393.6054687999999</v>
      </c>
      <c r="F265">
        <v>1373.9521483999999</v>
      </c>
      <c r="G265">
        <v>0</v>
      </c>
      <c r="H265">
        <v>2400</v>
      </c>
      <c r="I265">
        <v>2400</v>
      </c>
      <c r="J265">
        <v>0</v>
      </c>
      <c r="K265">
        <v>80</v>
      </c>
      <c r="L265">
        <v>79.537422179999993</v>
      </c>
      <c r="M265">
        <v>50</v>
      </c>
      <c r="N265">
        <v>49.316188812</v>
      </c>
    </row>
    <row r="266" spans="1:14" x14ac:dyDescent="0.25">
      <c r="A266">
        <v>187.07204899999999</v>
      </c>
      <c r="B266" s="1">
        <f>DATE(2010,11,4) + TIME(1,43,45)</f>
        <v>40486.072048611109</v>
      </c>
      <c r="C266">
        <v>1305.4718018000001</v>
      </c>
      <c r="D266">
        <v>1293.2202147999999</v>
      </c>
      <c r="E266">
        <v>1393.4158935999999</v>
      </c>
      <c r="F266">
        <v>1373.8304443</v>
      </c>
      <c r="G266">
        <v>0</v>
      </c>
      <c r="H266">
        <v>2400</v>
      </c>
      <c r="I266">
        <v>2400</v>
      </c>
      <c r="J266">
        <v>0</v>
      </c>
      <c r="K266">
        <v>80</v>
      </c>
      <c r="L266">
        <v>79.473503113000007</v>
      </c>
      <c r="M266">
        <v>50</v>
      </c>
      <c r="N266">
        <v>49.560012817</v>
      </c>
    </row>
    <row r="267" spans="1:14" x14ac:dyDescent="0.25">
      <c r="A267">
        <v>187.630753</v>
      </c>
      <c r="B267" s="1">
        <f>DATE(2010,11,4) + TIME(15,8,17)</f>
        <v>40486.630752314813</v>
      </c>
      <c r="C267">
        <v>1305.4593506000001</v>
      </c>
      <c r="D267">
        <v>1293.2055664</v>
      </c>
      <c r="E267">
        <v>1393.2495117000001</v>
      </c>
      <c r="F267">
        <v>1373.7117920000001</v>
      </c>
      <c r="G267">
        <v>0</v>
      </c>
      <c r="H267">
        <v>2400</v>
      </c>
      <c r="I267">
        <v>2400</v>
      </c>
      <c r="J267">
        <v>0</v>
      </c>
      <c r="K267">
        <v>80</v>
      </c>
      <c r="L267">
        <v>79.402198791999993</v>
      </c>
      <c r="M267">
        <v>50</v>
      </c>
      <c r="N267">
        <v>49.728572845000002</v>
      </c>
    </row>
    <row r="268" spans="1:14" x14ac:dyDescent="0.25">
      <c r="A268">
        <v>188.30101199999999</v>
      </c>
      <c r="B268" s="1">
        <f>DATE(2010,11,5) + TIME(7,13,27)</f>
        <v>40487.301006944443</v>
      </c>
      <c r="C268">
        <v>1305.4450684000001</v>
      </c>
      <c r="D268">
        <v>1293.1884766000001</v>
      </c>
      <c r="E268">
        <v>1393.0970459</v>
      </c>
      <c r="F268">
        <v>1373.5921631000001</v>
      </c>
      <c r="G268">
        <v>0</v>
      </c>
      <c r="H268">
        <v>2400</v>
      </c>
      <c r="I268">
        <v>2400</v>
      </c>
      <c r="J268">
        <v>0</v>
      </c>
      <c r="K268">
        <v>80</v>
      </c>
      <c r="L268">
        <v>79.320594787999994</v>
      </c>
      <c r="M268">
        <v>50</v>
      </c>
      <c r="N268">
        <v>49.840679168999998</v>
      </c>
    </row>
    <row r="269" spans="1:14" x14ac:dyDescent="0.25">
      <c r="A269">
        <v>189.11532600000001</v>
      </c>
      <c r="B269" s="1">
        <f>DATE(2010,11,6) + TIME(2,46,4)</f>
        <v>40488.115324074075</v>
      </c>
      <c r="C269">
        <v>1305.4278564000001</v>
      </c>
      <c r="D269">
        <v>1293.1680908000001</v>
      </c>
      <c r="E269">
        <v>1392.9509277</v>
      </c>
      <c r="F269">
        <v>1373.4680175999999</v>
      </c>
      <c r="G269">
        <v>0</v>
      </c>
      <c r="H269">
        <v>2400</v>
      </c>
      <c r="I269">
        <v>2400</v>
      </c>
      <c r="J269">
        <v>0</v>
      </c>
      <c r="K269">
        <v>80</v>
      </c>
      <c r="L269">
        <v>79.225791931000003</v>
      </c>
      <c r="M269">
        <v>50</v>
      </c>
      <c r="N269">
        <v>49.909816741999997</v>
      </c>
    </row>
    <row r="270" spans="1:14" x14ac:dyDescent="0.25">
      <c r="A270">
        <v>189.93729500000001</v>
      </c>
      <c r="B270" s="1">
        <f>DATE(2010,11,6) + TIME(22,29,42)</f>
        <v>40488.937291666669</v>
      </c>
      <c r="C270">
        <v>1305.4061279</v>
      </c>
      <c r="D270">
        <v>1293.1436768000001</v>
      </c>
      <c r="E270">
        <v>1392.8082274999999</v>
      </c>
      <c r="F270">
        <v>1373.3387451000001</v>
      </c>
      <c r="G270">
        <v>0</v>
      </c>
      <c r="H270">
        <v>2400</v>
      </c>
      <c r="I270">
        <v>2400</v>
      </c>
      <c r="J270">
        <v>0</v>
      </c>
      <c r="K270">
        <v>80</v>
      </c>
      <c r="L270">
        <v>79.124282836999996</v>
      </c>
      <c r="M270">
        <v>50</v>
      </c>
      <c r="N270">
        <v>49.945213318</v>
      </c>
    </row>
    <row r="271" spans="1:14" x14ac:dyDescent="0.25">
      <c r="A271">
        <v>190.811036</v>
      </c>
      <c r="B271" s="1">
        <f>DATE(2010,11,7) + TIME(19,27,53)</f>
        <v>40489.811030092591</v>
      </c>
      <c r="C271">
        <v>1305.3845214999999</v>
      </c>
      <c r="D271">
        <v>1293.1187743999999</v>
      </c>
      <c r="E271">
        <v>1392.6870117000001</v>
      </c>
      <c r="F271">
        <v>1373.2268065999999</v>
      </c>
      <c r="G271">
        <v>0</v>
      </c>
      <c r="H271">
        <v>2400</v>
      </c>
      <c r="I271">
        <v>2400</v>
      </c>
      <c r="J271">
        <v>0</v>
      </c>
      <c r="K271">
        <v>80</v>
      </c>
      <c r="L271">
        <v>79.017280579000001</v>
      </c>
      <c r="M271">
        <v>50</v>
      </c>
      <c r="N271">
        <v>49.963836669999999</v>
      </c>
    </row>
    <row r="272" spans="1:14" x14ac:dyDescent="0.25">
      <c r="A272">
        <v>191.78569200000001</v>
      </c>
      <c r="B272" s="1">
        <f>DATE(2010,11,8) + TIME(18,51,23)</f>
        <v>40490.785682870373</v>
      </c>
      <c r="C272">
        <v>1305.3615723</v>
      </c>
      <c r="D272">
        <v>1293.0920410000001</v>
      </c>
      <c r="E272">
        <v>1392.5765381000001</v>
      </c>
      <c r="F272">
        <v>1373.1234131000001</v>
      </c>
      <c r="G272">
        <v>0</v>
      </c>
      <c r="H272">
        <v>2400</v>
      </c>
      <c r="I272">
        <v>2400</v>
      </c>
      <c r="J272">
        <v>0</v>
      </c>
      <c r="K272">
        <v>80</v>
      </c>
      <c r="L272">
        <v>78.902626037999994</v>
      </c>
      <c r="M272">
        <v>50</v>
      </c>
      <c r="N272">
        <v>49.973648071</v>
      </c>
    </row>
    <row r="273" spans="1:14" x14ac:dyDescent="0.25">
      <c r="A273">
        <v>192.91717199999999</v>
      </c>
      <c r="B273" s="1">
        <f>DATE(2010,11,9) + TIME(22,0,43)</f>
        <v>40491.917164351849</v>
      </c>
      <c r="C273">
        <v>1305.3358154</v>
      </c>
      <c r="D273">
        <v>1293.0621338000001</v>
      </c>
      <c r="E273">
        <v>1392.4699707</v>
      </c>
      <c r="F273">
        <v>1373.0230713000001</v>
      </c>
      <c r="G273">
        <v>0</v>
      </c>
      <c r="H273">
        <v>2400</v>
      </c>
      <c r="I273">
        <v>2400</v>
      </c>
      <c r="J273">
        <v>0</v>
      </c>
      <c r="K273">
        <v>80</v>
      </c>
      <c r="L273">
        <v>78.776535034000005</v>
      </c>
      <c r="M273">
        <v>50</v>
      </c>
      <c r="N273">
        <v>49.978683472</v>
      </c>
    </row>
    <row r="274" spans="1:14" x14ac:dyDescent="0.25">
      <c r="A274">
        <v>194.205659</v>
      </c>
      <c r="B274" s="1">
        <f>DATE(2010,11,11) + TIME(4,56,8)</f>
        <v>40493.205648148149</v>
      </c>
      <c r="C274">
        <v>1305.3057861</v>
      </c>
      <c r="D274">
        <v>1293.0275879000001</v>
      </c>
      <c r="E274">
        <v>1392.3625488</v>
      </c>
      <c r="F274">
        <v>1372.9215088000001</v>
      </c>
      <c r="G274">
        <v>0</v>
      </c>
      <c r="H274">
        <v>2400</v>
      </c>
      <c r="I274">
        <v>2400</v>
      </c>
      <c r="J274">
        <v>0</v>
      </c>
      <c r="K274">
        <v>80</v>
      </c>
      <c r="L274">
        <v>78.636734008999994</v>
      </c>
      <c r="M274">
        <v>50</v>
      </c>
      <c r="N274">
        <v>49.98109436</v>
      </c>
    </row>
    <row r="275" spans="1:14" x14ac:dyDescent="0.25">
      <c r="A275">
        <v>195.51518999999999</v>
      </c>
      <c r="B275" s="1">
        <f>DATE(2010,11,12) + TIME(12,21,52)</f>
        <v>40494.515185185184</v>
      </c>
      <c r="C275">
        <v>1305.270874</v>
      </c>
      <c r="D275">
        <v>1292.9882812000001</v>
      </c>
      <c r="E275">
        <v>1392.2567139</v>
      </c>
      <c r="F275">
        <v>1372.8216553</v>
      </c>
      <c r="G275">
        <v>0</v>
      </c>
      <c r="H275">
        <v>2400</v>
      </c>
      <c r="I275">
        <v>2400</v>
      </c>
      <c r="J275">
        <v>0</v>
      </c>
      <c r="K275">
        <v>80</v>
      </c>
      <c r="L275">
        <v>78.488204956000004</v>
      </c>
      <c r="M275">
        <v>50</v>
      </c>
      <c r="N275">
        <v>49.982139586999999</v>
      </c>
    </row>
    <row r="276" spans="1:14" x14ac:dyDescent="0.25">
      <c r="A276">
        <v>196.92264399999999</v>
      </c>
      <c r="B276" s="1">
        <f>DATE(2010,11,13) + TIME(22,8,36)</f>
        <v>40495.922638888886</v>
      </c>
      <c r="C276">
        <v>1305.2354736</v>
      </c>
      <c r="D276">
        <v>1292.9476318</v>
      </c>
      <c r="E276">
        <v>1392.1635742000001</v>
      </c>
      <c r="F276">
        <v>1372.7338867000001</v>
      </c>
      <c r="G276">
        <v>0</v>
      </c>
      <c r="H276">
        <v>2400</v>
      </c>
      <c r="I276">
        <v>2400</v>
      </c>
      <c r="J276">
        <v>0</v>
      </c>
      <c r="K276">
        <v>80</v>
      </c>
      <c r="L276">
        <v>78.333641052000004</v>
      </c>
      <c r="M276">
        <v>50</v>
      </c>
      <c r="N276">
        <v>49.982624053999999</v>
      </c>
    </row>
    <row r="277" spans="1:14" x14ac:dyDescent="0.25">
      <c r="A277">
        <v>198.513735</v>
      </c>
      <c r="B277" s="1">
        <f>DATE(2010,11,15) + TIME(12,19,46)</f>
        <v>40497.513726851852</v>
      </c>
      <c r="C277">
        <v>1305.1972656</v>
      </c>
      <c r="D277">
        <v>1292.9036865</v>
      </c>
      <c r="E277">
        <v>1392.0755615</v>
      </c>
      <c r="F277">
        <v>1372.6512451000001</v>
      </c>
      <c r="G277">
        <v>0</v>
      </c>
      <c r="H277">
        <v>2400</v>
      </c>
      <c r="I277">
        <v>2400</v>
      </c>
      <c r="J277">
        <v>0</v>
      </c>
      <c r="K277">
        <v>80</v>
      </c>
      <c r="L277">
        <v>78.169158936000002</v>
      </c>
      <c r="M277">
        <v>50</v>
      </c>
      <c r="N277">
        <v>49.982868195000002</v>
      </c>
    </row>
    <row r="278" spans="1:14" x14ac:dyDescent="0.25">
      <c r="A278">
        <v>200.26889499999999</v>
      </c>
      <c r="B278" s="1">
        <f>DATE(2010,11,17) + TIME(6,27,12)</f>
        <v>40499.268888888888</v>
      </c>
      <c r="C278">
        <v>1305.1534423999999</v>
      </c>
      <c r="D278">
        <v>1292.8537598</v>
      </c>
      <c r="E278">
        <v>1391.987793</v>
      </c>
      <c r="F278">
        <v>1372.5690918</v>
      </c>
      <c r="G278">
        <v>0</v>
      </c>
      <c r="H278">
        <v>2400</v>
      </c>
      <c r="I278">
        <v>2400</v>
      </c>
      <c r="J278">
        <v>0</v>
      </c>
      <c r="K278">
        <v>80</v>
      </c>
      <c r="L278">
        <v>77.991836547999995</v>
      </c>
      <c r="M278">
        <v>50</v>
      </c>
      <c r="N278">
        <v>49.983001709</v>
      </c>
    </row>
    <row r="279" spans="1:14" x14ac:dyDescent="0.25">
      <c r="A279">
        <v>202.061924</v>
      </c>
      <c r="B279" s="1">
        <f>DATE(2010,11,19) + TIME(1,29,10)</f>
        <v>40501.061921296299</v>
      </c>
      <c r="C279">
        <v>1305.1043701000001</v>
      </c>
      <c r="D279">
        <v>1292.7982178</v>
      </c>
      <c r="E279">
        <v>1391.9024658000001</v>
      </c>
      <c r="F279">
        <v>1372.4895019999999</v>
      </c>
      <c r="G279">
        <v>0</v>
      </c>
      <c r="H279">
        <v>2400</v>
      </c>
      <c r="I279">
        <v>2400</v>
      </c>
      <c r="J279">
        <v>0</v>
      </c>
      <c r="K279">
        <v>80</v>
      </c>
      <c r="L279">
        <v>77.805892943999993</v>
      </c>
      <c r="M279">
        <v>50</v>
      </c>
      <c r="N279">
        <v>49.983089446999998</v>
      </c>
    </row>
    <row r="280" spans="1:14" x14ac:dyDescent="0.25">
      <c r="A280">
        <v>203.99644599999999</v>
      </c>
      <c r="B280" s="1">
        <f>DATE(2010,11,20) + TIME(23,54,52)</f>
        <v>40502.996435185189</v>
      </c>
      <c r="C280">
        <v>1305.0538329999999</v>
      </c>
      <c r="D280">
        <v>1292.7403564000001</v>
      </c>
      <c r="E280">
        <v>1391.8256836</v>
      </c>
      <c r="F280">
        <v>1372.4180908000001</v>
      </c>
      <c r="G280">
        <v>0</v>
      </c>
      <c r="H280">
        <v>2400</v>
      </c>
      <c r="I280">
        <v>2400</v>
      </c>
      <c r="J280">
        <v>0</v>
      </c>
      <c r="K280">
        <v>80</v>
      </c>
      <c r="L280">
        <v>77.614692688000005</v>
      </c>
      <c r="M280">
        <v>50</v>
      </c>
      <c r="N280">
        <v>49.983158111999998</v>
      </c>
    </row>
    <row r="281" spans="1:14" x14ac:dyDescent="0.25">
      <c r="A281">
        <v>206.17409000000001</v>
      </c>
      <c r="B281" s="1">
        <f>DATE(2010,11,23) + TIME(4,10,41)</f>
        <v>40505.174085648148</v>
      </c>
      <c r="C281">
        <v>1304.9985352000001</v>
      </c>
      <c r="D281">
        <v>1292.677124</v>
      </c>
      <c r="E281">
        <v>1391.7519531</v>
      </c>
      <c r="F281">
        <v>1372.3497314000001</v>
      </c>
      <c r="G281">
        <v>0</v>
      </c>
      <c r="H281">
        <v>2400</v>
      </c>
      <c r="I281">
        <v>2400</v>
      </c>
      <c r="J281">
        <v>0</v>
      </c>
      <c r="K281">
        <v>80</v>
      </c>
      <c r="L281">
        <v>77.413085937999995</v>
      </c>
      <c r="M281">
        <v>50</v>
      </c>
      <c r="N281">
        <v>49.983234406000001</v>
      </c>
    </row>
    <row r="282" spans="1:14" x14ac:dyDescent="0.25">
      <c r="A282">
        <v>208.458155</v>
      </c>
      <c r="B282" s="1">
        <f>DATE(2010,11,25) + TIME(10,59,44)</f>
        <v>40507.458148148151</v>
      </c>
      <c r="C282">
        <v>1304.9349365</v>
      </c>
      <c r="D282">
        <v>1292.6048584</v>
      </c>
      <c r="E282">
        <v>1391.6781006000001</v>
      </c>
      <c r="F282">
        <v>1372.2813721</v>
      </c>
      <c r="G282">
        <v>0</v>
      </c>
      <c r="H282">
        <v>2400</v>
      </c>
      <c r="I282">
        <v>2400</v>
      </c>
      <c r="J282">
        <v>0</v>
      </c>
      <c r="K282">
        <v>80</v>
      </c>
      <c r="L282">
        <v>77.199516295999999</v>
      </c>
      <c r="M282">
        <v>50</v>
      </c>
      <c r="N282">
        <v>49.983306884999998</v>
      </c>
    </row>
    <row r="283" spans="1:14" x14ac:dyDescent="0.25">
      <c r="A283">
        <v>210.801165</v>
      </c>
      <c r="B283" s="1">
        <f>DATE(2010,11,27) + TIME(19,13,40)</f>
        <v>40509.801157407404</v>
      </c>
      <c r="C283">
        <v>1304.8668213000001</v>
      </c>
      <c r="D283">
        <v>1292.5270995999999</v>
      </c>
      <c r="E283">
        <v>1391.6091309000001</v>
      </c>
      <c r="F283">
        <v>1372.2178954999999</v>
      </c>
      <c r="G283">
        <v>0</v>
      </c>
      <c r="H283">
        <v>2400</v>
      </c>
      <c r="I283">
        <v>2400</v>
      </c>
      <c r="J283">
        <v>0</v>
      </c>
      <c r="K283">
        <v>80</v>
      </c>
      <c r="L283">
        <v>76.981361389</v>
      </c>
      <c r="M283">
        <v>50</v>
      </c>
      <c r="N283">
        <v>49.983379364000001</v>
      </c>
    </row>
    <row r="284" spans="1:14" x14ac:dyDescent="0.25">
      <c r="A284">
        <v>213.18209200000001</v>
      </c>
      <c r="B284" s="1">
        <f>DATE(2010,11,30) + TIME(4,22,12)</f>
        <v>40512.182083333333</v>
      </c>
      <c r="C284">
        <v>1304.7951660000001</v>
      </c>
      <c r="D284">
        <v>1292.4450684000001</v>
      </c>
      <c r="E284">
        <v>1391.5461425999999</v>
      </c>
      <c r="F284">
        <v>1372.1600341999999</v>
      </c>
      <c r="G284">
        <v>0</v>
      </c>
      <c r="H284">
        <v>2400</v>
      </c>
      <c r="I284">
        <v>2400</v>
      </c>
      <c r="J284">
        <v>0</v>
      </c>
      <c r="K284">
        <v>80</v>
      </c>
      <c r="L284">
        <v>76.763549804999997</v>
      </c>
      <c r="M284">
        <v>50</v>
      </c>
      <c r="N284">
        <v>49.983451842999997</v>
      </c>
    </row>
    <row r="285" spans="1:14" x14ac:dyDescent="0.25">
      <c r="A285">
        <v>214</v>
      </c>
      <c r="B285" s="1">
        <f>DATE(2010,12,1) + TIME(0,0,0)</f>
        <v>40513</v>
      </c>
      <c r="C285">
        <v>1304.7170410000001</v>
      </c>
      <c r="D285">
        <v>1292.3626709</v>
      </c>
      <c r="E285">
        <v>1391.4882812000001</v>
      </c>
      <c r="F285">
        <v>1372.1069336</v>
      </c>
      <c r="G285">
        <v>0</v>
      </c>
      <c r="H285">
        <v>2400</v>
      </c>
      <c r="I285">
        <v>2400</v>
      </c>
      <c r="J285">
        <v>0</v>
      </c>
      <c r="K285">
        <v>80</v>
      </c>
      <c r="L285">
        <v>76.621734618999994</v>
      </c>
      <c r="M285">
        <v>50</v>
      </c>
      <c r="N285">
        <v>49.983474731000001</v>
      </c>
    </row>
    <row r="286" spans="1:14" x14ac:dyDescent="0.25">
      <c r="A286">
        <v>216.41752</v>
      </c>
      <c r="B286" s="1">
        <f>DATE(2010,12,3) + TIME(10,1,13)</f>
        <v>40515.417511574073</v>
      </c>
      <c r="C286">
        <v>1304.6937256000001</v>
      </c>
      <c r="D286">
        <v>1292.3254394999999</v>
      </c>
      <c r="E286">
        <v>1391.4705810999999</v>
      </c>
      <c r="F286">
        <v>1372.0908202999999</v>
      </c>
      <c r="G286">
        <v>0</v>
      </c>
      <c r="H286">
        <v>2400</v>
      </c>
      <c r="I286">
        <v>2400</v>
      </c>
      <c r="J286">
        <v>0</v>
      </c>
      <c r="K286">
        <v>80</v>
      </c>
      <c r="L286">
        <v>76.458335876000007</v>
      </c>
      <c r="M286">
        <v>50</v>
      </c>
      <c r="N286">
        <v>49.983551024999997</v>
      </c>
    </row>
    <row r="287" spans="1:14" x14ac:dyDescent="0.25">
      <c r="A287">
        <v>218.89309399999999</v>
      </c>
      <c r="B287" s="1">
        <f>DATE(2010,12,5) + TIME(21,26,3)</f>
        <v>40517.893090277779</v>
      </c>
      <c r="C287">
        <v>1304.6149902</v>
      </c>
      <c r="D287">
        <v>1292.2359618999999</v>
      </c>
      <c r="E287">
        <v>1391.4194336</v>
      </c>
      <c r="F287">
        <v>1372.0440673999999</v>
      </c>
      <c r="G287">
        <v>0</v>
      </c>
      <c r="H287">
        <v>2400</v>
      </c>
      <c r="I287">
        <v>2400</v>
      </c>
      <c r="J287">
        <v>0</v>
      </c>
      <c r="K287">
        <v>80</v>
      </c>
      <c r="L287">
        <v>76.261192321999999</v>
      </c>
      <c r="M287">
        <v>50</v>
      </c>
      <c r="N287">
        <v>49.983627319</v>
      </c>
    </row>
    <row r="288" spans="1:14" x14ac:dyDescent="0.25">
      <c r="A288">
        <v>221.41568799999999</v>
      </c>
      <c r="B288" s="1">
        <f>DATE(2010,12,8) + TIME(9,58,35)</f>
        <v>40520.415682870371</v>
      </c>
      <c r="C288">
        <v>1304.5314940999999</v>
      </c>
      <c r="D288">
        <v>1292.1390381000001</v>
      </c>
      <c r="E288">
        <v>1391.371582</v>
      </c>
      <c r="F288">
        <v>1372.0006103999999</v>
      </c>
      <c r="G288">
        <v>0</v>
      </c>
      <c r="H288">
        <v>2400</v>
      </c>
      <c r="I288">
        <v>2400</v>
      </c>
      <c r="J288">
        <v>0</v>
      </c>
      <c r="K288">
        <v>80</v>
      </c>
      <c r="L288">
        <v>76.056388854999994</v>
      </c>
      <c r="M288">
        <v>50</v>
      </c>
      <c r="N288">
        <v>49.983703613000003</v>
      </c>
    </row>
    <row r="289" spans="1:14" x14ac:dyDescent="0.25">
      <c r="A289">
        <v>223.95880399999999</v>
      </c>
      <c r="B289" s="1">
        <f>DATE(2010,12,10) + TIME(23,0,40)</f>
        <v>40522.958796296298</v>
      </c>
      <c r="C289">
        <v>1304.4432373</v>
      </c>
      <c r="D289">
        <v>1292.0355225000001</v>
      </c>
      <c r="E289">
        <v>1391.3271483999999</v>
      </c>
      <c r="F289">
        <v>1371.9600829999999</v>
      </c>
      <c r="G289">
        <v>0</v>
      </c>
      <c r="H289">
        <v>2400</v>
      </c>
      <c r="I289">
        <v>2400</v>
      </c>
      <c r="J289">
        <v>0</v>
      </c>
      <c r="K289">
        <v>80</v>
      </c>
      <c r="L289">
        <v>75.851837157999995</v>
      </c>
      <c r="M289">
        <v>50</v>
      </c>
      <c r="N289">
        <v>49.983779906999999</v>
      </c>
    </row>
    <row r="290" spans="1:14" x14ac:dyDescent="0.25">
      <c r="A290">
        <v>226.53437700000001</v>
      </c>
      <c r="B290" s="1">
        <f>DATE(2010,12,13) + TIME(12,49,30)</f>
        <v>40525.534375000003</v>
      </c>
      <c r="C290">
        <v>1304.3508300999999</v>
      </c>
      <c r="D290">
        <v>1291.9261475000001</v>
      </c>
      <c r="E290">
        <v>1391.2860106999999</v>
      </c>
      <c r="F290">
        <v>1371.9228516000001</v>
      </c>
      <c r="G290">
        <v>0</v>
      </c>
      <c r="H290">
        <v>2400</v>
      </c>
      <c r="I290">
        <v>2400</v>
      </c>
      <c r="J290">
        <v>0</v>
      </c>
      <c r="K290">
        <v>80</v>
      </c>
      <c r="L290">
        <v>75.650253296000002</v>
      </c>
      <c r="M290">
        <v>50</v>
      </c>
      <c r="N290">
        <v>49.983856201000002</v>
      </c>
    </row>
    <row r="291" spans="1:14" x14ac:dyDescent="0.25">
      <c r="A291">
        <v>229.15341900000001</v>
      </c>
      <c r="B291" s="1">
        <f>DATE(2010,12,16) + TIME(3,40,55)</f>
        <v>40528.153414351851</v>
      </c>
      <c r="C291">
        <v>1304.253418</v>
      </c>
      <c r="D291">
        <v>1291.8100586</v>
      </c>
      <c r="E291">
        <v>1391.2475586</v>
      </c>
      <c r="F291">
        <v>1371.8880615</v>
      </c>
      <c r="G291">
        <v>0</v>
      </c>
      <c r="H291">
        <v>2400</v>
      </c>
      <c r="I291">
        <v>2400</v>
      </c>
      <c r="J291">
        <v>0</v>
      </c>
      <c r="K291">
        <v>80</v>
      </c>
      <c r="L291">
        <v>75.451477050999998</v>
      </c>
      <c r="M291">
        <v>50</v>
      </c>
      <c r="N291">
        <v>49.983932494999998</v>
      </c>
    </row>
    <row r="292" spans="1:14" x14ac:dyDescent="0.25">
      <c r="A292">
        <v>231.825526</v>
      </c>
      <c r="B292" s="1">
        <f>DATE(2010,12,18) + TIME(19,48,45)</f>
        <v>40530.825520833336</v>
      </c>
      <c r="C292">
        <v>1304.1502685999999</v>
      </c>
      <c r="D292">
        <v>1291.6859131000001</v>
      </c>
      <c r="E292">
        <v>1391.2114257999999</v>
      </c>
      <c r="F292">
        <v>1371.8553466999999</v>
      </c>
      <c r="G292">
        <v>0</v>
      </c>
      <c r="H292">
        <v>2400</v>
      </c>
      <c r="I292">
        <v>2400</v>
      </c>
      <c r="J292">
        <v>0</v>
      </c>
      <c r="K292">
        <v>80</v>
      </c>
      <c r="L292">
        <v>75.254745482999994</v>
      </c>
      <c r="M292">
        <v>50</v>
      </c>
      <c r="N292">
        <v>49.984008789000001</v>
      </c>
    </row>
    <row r="293" spans="1:14" x14ac:dyDescent="0.25">
      <c r="A293">
        <v>234.52421100000001</v>
      </c>
      <c r="B293" s="1">
        <f>DATE(2010,12,21) + TIME(12,34,51)</f>
        <v>40533.524201388886</v>
      </c>
      <c r="C293">
        <v>1304.0404053</v>
      </c>
      <c r="D293">
        <v>1291.5526123</v>
      </c>
      <c r="E293">
        <v>1391.1772461</v>
      </c>
      <c r="F293">
        <v>1371.8245850000001</v>
      </c>
      <c r="G293">
        <v>0</v>
      </c>
      <c r="H293">
        <v>2400</v>
      </c>
      <c r="I293">
        <v>2400</v>
      </c>
      <c r="J293">
        <v>0</v>
      </c>
      <c r="K293">
        <v>80</v>
      </c>
      <c r="L293">
        <v>75.059822083</v>
      </c>
      <c r="M293">
        <v>50</v>
      </c>
      <c r="N293">
        <v>49.984088898000003</v>
      </c>
    </row>
    <row r="294" spans="1:14" x14ac:dyDescent="0.25">
      <c r="A294">
        <v>237.26146</v>
      </c>
      <c r="B294" s="1">
        <f>DATE(2010,12,24) + TIME(6,16,30)</f>
        <v>40536.261458333334</v>
      </c>
      <c r="C294">
        <v>1303.9244385</v>
      </c>
      <c r="D294">
        <v>1291.4105225000001</v>
      </c>
      <c r="E294">
        <v>1391.1452637</v>
      </c>
      <c r="F294">
        <v>1371.7957764</v>
      </c>
      <c r="G294">
        <v>0</v>
      </c>
      <c r="H294">
        <v>2400</v>
      </c>
      <c r="I294">
        <v>2400</v>
      </c>
      <c r="J294">
        <v>0</v>
      </c>
      <c r="K294">
        <v>80</v>
      </c>
      <c r="L294">
        <v>74.8671875</v>
      </c>
      <c r="M294">
        <v>50</v>
      </c>
      <c r="N294">
        <v>49.984165191999999</v>
      </c>
    </row>
    <row r="295" spans="1:14" x14ac:dyDescent="0.25">
      <c r="A295">
        <v>240.041978</v>
      </c>
      <c r="B295" s="1">
        <f>DATE(2010,12,27) + TIME(1,0,26)</f>
        <v>40539.041967592595</v>
      </c>
      <c r="C295">
        <v>1303.8013916</v>
      </c>
      <c r="D295">
        <v>1291.2585449000001</v>
      </c>
      <c r="E295">
        <v>1391.1149902</v>
      </c>
      <c r="F295">
        <v>1371.7685547000001</v>
      </c>
      <c r="G295">
        <v>0</v>
      </c>
      <c r="H295">
        <v>2400</v>
      </c>
      <c r="I295">
        <v>2400</v>
      </c>
      <c r="J295">
        <v>0</v>
      </c>
      <c r="K295">
        <v>80</v>
      </c>
      <c r="L295">
        <v>74.676170349000003</v>
      </c>
      <c r="M295">
        <v>50</v>
      </c>
      <c r="N295">
        <v>49.984245299999998</v>
      </c>
    </row>
    <row r="296" spans="1:14" x14ac:dyDescent="0.25">
      <c r="A296">
        <v>242.86935199999999</v>
      </c>
      <c r="B296" s="1">
        <f>DATE(2010,12,29) + TIME(20,51,52)</f>
        <v>40541.869351851848</v>
      </c>
      <c r="C296">
        <v>1303.6706543</v>
      </c>
      <c r="D296">
        <v>1291.0954589999999</v>
      </c>
      <c r="E296">
        <v>1391.0863036999999</v>
      </c>
      <c r="F296">
        <v>1371.7427978999999</v>
      </c>
      <c r="G296">
        <v>0</v>
      </c>
      <c r="H296">
        <v>2400</v>
      </c>
      <c r="I296">
        <v>2400</v>
      </c>
      <c r="J296">
        <v>0</v>
      </c>
      <c r="K296">
        <v>80</v>
      </c>
      <c r="L296">
        <v>74.486061096</v>
      </c>
      <c r="M296">
        <v>50</v>
      </c>
      <c r="N296">
        <v>49.984325409</v>
      </c>
    </row>
    <row r="297" spans="1:14" x14ac:dyDescent="0.25">
      <c r="A297">
        <v>245</v>
      </c>
      <c r="B297" s="1">
        <f>DATE(2011,1,1) + TIME(0,0,0)</f>
        <v>40544</v>
      </c>
      <c r="C297">
        <v>1303.5318603999999</v>
      </c>
      <c r="D297">
        <v>1290.9228516000001</v>
      </c>
      <c r="E297">
        <v>1391.0589600000001</v>
      </c>
      <c r="F297">
        <v>1371.7182617000001</v>
      </c>
      <c r="G297">
        <v>0</v>
      </c>
      <c r="H297">
        <v>2400</v>
      </c>
      <c r="I297">
        <v>2400</v>
      </c>
      <c r="J297">
        <v>0</v>
      </c>
      <c r="K297">
        <v>80</v>
      </c>
      <c r="L297">
        <v>74.310638428000004</v>
      </c>
      <c r="M297">
        <v>50</v>
      </c>
      <c r="N297">
        <v>49.984386444000002</v>
      </c>
    </row>
    <row r="298" spans="1:14" x14ac:dyDescent="0.25">
      <c r="A298">
        <v>247.85311799999999</v>
      </c>
      <c r="B298" s="1">
        <f>DATE(2011,1,3) + TIME(20,28,29)</f>
        <v>40546.853113425925</v>
      </c>
      <c r="C298">
        <v>1303.4195557</v>
      </c>
      <c r="D298">
        <v>1290.7762451000001</v>
      </c>
      <c r="E298">
        <v>1391.0397949000001</v>
      </c>
      <c r="F298">
        <v>1371.7011719</v>
      </c>
      <c r="G298">
        <v>0</v>
      </c>
      <c r="H298">
        <v>2400</v>
      </c>
      <c r="I298">
        <v>2400</v>
      </c>
      <c r="J298">
        <v>0</v>
      </c>
      <c r="K298">
        <v>80</v>
      </c>
      <c r="L298">
        <v>74.147789001000007</v>
      </c>
      <c r="M298">
        <v>50</v>
      </c>
      <c r="N298">
        <v>49.984466552999997</v>
      </c>
    </row>
    <row r="299" spans="1:14" x14ac:dyDescent="0.25">
      <c r="A299">
        <v>250.77524399999999</v>
      </c>
      <c r="B299" s="1">
        <f>DATE(2011,1,6) + TIME(18,36,21)</f>
        <v>40549.775243055556</v>
      </c>
      <c r="C299">
        <v>1303.2692870999999</v>
      </c>
      <c r="D299">
        <v>1290.5855713000001</v>
      </c>
      <c r="E299">
        <v>1391.0152588000001</v>
      </c>
      <c r="F299">
        <v>1371.6793213000001</v>
      </c>
      <c r="G299">
        <v>0</v>
      </c>
      <c r="H299">
        <v>2400</v>
      </c>
      <c r="I299">
        <v>2400</v>
      </c>
      <c r="J299">
        <v>0</v>
      </c>
      <c r="K299">
        <v>80</v>
      </c>
      <c r="L299">
        <v>73.966102599999999</v>
      </c>
      <c r="M299">
        <v>50</v>
      </c>
      <c r="N299">
        <v>49.984546661000003</v>
      </c>
    </row>
    <row r="300" spans="1:14" x14ac:dyDescent="0.25">
      <c r="A300">
        <v>253.74380400000001</v>
      </c>
      <c r="B300" s="1">
        <f>DATE(2011,1,9) + TIME(17,51,4)</f>
        <v>40552.743796296294</v>
      </c>
      <c r="C300">
        <v>1303.1071777</v>
      </c>
      <c r="D300">
        <v>1290.3770752</v>
      </c>
      <c r="E300">
        <v>1390.9916992000001</v>
      </c>
      <c r="F300">
        <v>1371.6582031</v>
      </c>
      <c r="G300">
        <v>0</v>
      </c>
      <c r="H300">
        <v>2400</v>
      </c>
      <c r="I300">
        <v>2400</v>
      </c>
      <c r="J300">
        <v>0</v>
      </c>
      <c r="K300">
        <v>80</v>
      </c>
      <c r="L300">
        <v>73.778106688999998</v>
      </c>
      <c r="M300">
        <v>50</v>
      </c>
      <c r="N300">
        <v>49.984626769999998</v>
      </c>
    </row>
    <row r="301" spans="1:14" x14ac:dyDescent="0.25">
      <c r="A301">
        <v>256.74862400000001</v>
      </c>
      <c r="B301" s="1">
        <f>DATE(2011,1,12) + TIME(17,58,1)</f>
        <v>40555.748622685183</v>
      </c>
      <c r="C301">
        <v>1302.9348144999999</v>
      </c>
      <c r="D301">
        <v>1290.1531981999999</v>
      </c>
      <c r="E301">
        <v>1390.9691161999999</v>
      </c>
      <c r="F301">
        <v>1371.6381836</v>
      </c>
      <c r="G301">
        <v>0</v>
      </c>
      <c r="H301">
        <v>2400</v>
      </c>
      <c r="I301">
        <v>2400</v>
      </c>
      <c r="J301">
        <v>0</v>
      </c>
      <c r="K301">
        <v>80</v>
      </c>
      <c r="L301">
        <v>73.587272643999995</v>
      </c>
      <c r="M301">
        <v>50</v>
      </c>
      <c r="N301">
        <v>49.984706879000001</v>
      </c>
    </row>
    <row r="302" spans="1:14" x14ac:dyDescent="0.25">
      <c r="A302">
        <v>259.79733599999997</v>
      </c>
      <c r="B302" s="1">
        <f>DATE(2011,1,15) + TIME(19,8,9)</f>
        <v>40558.797326388885</v>
      </c>
      <c r="C302">
        <v>1302.7526855000001</v>
      </c>
      <c r="D302">
        <v>1289.9146728999999</v>
      </c>
      <c r="E302">
        <v>1390.9476318</v>
      </c>
      <c r="F302">
        <v>1371.6191406</v>
      </c>
      <c r="G302">
        <v>0</v>
      </c>
      <c r="H302">
        <v>2400</v>
      </c>
      <c r="I302">
        <v>2400</v>
      </c>
      <c r="J302">
        <v>0</v>
      </c>
      <c r="K302">
        <v>80</v>
      </c>
      <c r="L302">
        <v>73.394088745000005</v>
      </c>
      <c r="M302">
        <v>50</v>
      </c>
      <c r="N302">
        <v>49.984786987</v>
      </c>
    </row>
    <row r="303" spans="1:14" x14ac:dyDescent="0.25">
      <c r="A303">
        <v>262.885604</v>
      </c>
      <c r="B303" s="1">
        <f>DATE(2011,1,18) + TIME(21,15,16)</f>
        <v>40561.885601851849</v>
      </c>
      <c r="C303">
        <v>1302.5601807</v>
      </c>
      <c r="D303">
        <v>1289.6606445</v>
      </c>
      <c r="E303">
        <v>1390.927124</v>
      </c>
      <c r="F303">
        <v>1371.6009521000001</v>
      </c>
      <c r="G303">
        <v>0</v>
      </c>
      <c r="H303">
        <v>2400</v>
      </c>
      <c r="I303">
        <v>2400</v>
      </c>
      <c r="J303">
        <v>0</v>
      </c>
      <c r="K303">
        <v>80</v>
      </c>
      <c r="L303">
        <v>73.197860718000001</v>
      </c>
      <c r="M303">
        <v>50</v>
      </c>
      <c r="N303">
        <v>49.984870911000002</v>
      </c>
    </row>
    <row r="304" spans="1:14" x14ac:dyDescent="0.25">
      <c r="A304">
        <v>266.01249899999999</v>
      </c>
      <c r="B304" s="1">
        <f>DATE(2011,1,22) + TIME(0,17,59)</f>
        <v>40565.012488425928</v>
      </c>
      <c r="C304">
        <v>1302.3572998</v>
      </c>
      <c r="D304">
        <v>1289.3909911999999</v>
      </c>
      <c r="E304">
        <v>1390.9075928</v>
      </c>
      <c r="F304">
        <v>1371.5836182</v>
      </c>
      <c r="G304">
        <v>0</v>
      </c>
      <c r="H304">
        <v>2400</v>
      </c>
      <c r="I304">
        <v>2400</v>
      </c>
      <c r="J304">
        <v>0</v>
      </c>
      <c r="K304">
        <v>80</v>
      </c>
      <c r="L304">
        <v>72.997940063000001</v>
      </c>
      <c r="M304">
        <v>50</v>
      </c>
      <c r="N304">
        <v>49.984951019</v>
      </c>
    </row>
    <row r="305" spans="1:14" x14ac:dyDescent="0.25">
      <c r="A305">
        <v>269.17842200000001</v>
      </c>
      <c r="B305" s="1">
        <f>DATE(2011,1,25) + TIME(4,16,55)</f>
        <v>40568.178414351853</v>
      </c>
      <c r="C305">
        <v>1302.144043</v>
      </c>
      <c r="D305">
        <v>1289.1053466999999</v>
      </c>
      <c r="E305">
        <v>1390.8887939000001</v>
      </c>
      <c r="F305">
        <v>1371.5670166</v>
      </c>
      <c r="G305">
        <v>0</v>
      </c>
      <c r="H305">
        <v>2400</v>
      </c>
      <c r="I305">
        <v>2400</v>
      </c>
      <c r="J305">
        <v>0</v>
      </c>
      <c r="K305">
        <v>80</v>
      </c>
      <c r="L305">
        <v>72.793479919000006</v>
      </c>
      <c r="M305">
        <v>50</v>
      </c>
      <c r="N305">
        <v>49.985031128000003</v>
      </c>
    </row>
    <row r="306" spans="1:14" x14ac:dyDescent="0.25">
      <c r="A306">
        <v>272.384365</v>
      </c>
      <c r="B306" s="1">
        <f>DATE(2011,1,28) + TIME(9,13,29)</f>
        <v>40571.384363425925</v>
      </c>
      <c r="C306">
        <v>1301.9201660000001</v>
      </c>
      <c r="D306">
        <v>1288.8035889</v>
      </c>
      <c r="E306">
        <v>1390.8708495999999</v>
      </c>
      <c r="F306">
        <v>1371.5511475000001</v>
      </c>
      <c r="G306">
        <v>0</v>
      </c>
      <c r="H306">
        <v>2400</v>
      </c>
      <c r="I306">
        <v>2400</v>
      </c>
      <c r="J306">
        <v>0</v>
      </c>
      <c r="K306">
        <v>80</v>
      </c>
      <c r="L306">
        <v>72.583518982000001</v>
      </c>
      <c r="M306">
        <v>50</v>
      </c>
      <c r="N306">
        <v>49.985115051000001</v>
      </c>
    </row>
    <row r="307" spans="1:14" x14ac:dyDescent="0.25">
      <c r="A307">
        <v>275.61810100000002</v>
      </c>
      <c r="B307" s="1">
        <f>DATE(2011,1,31) + TIME(14,50,3)</f>
        <v>40574.618090277778</v>
      </c>
      <c r="C307">
        <v>1301.6855469</v>
      </c>
      <c r="D307">
        <v>1288.4853516000001</v>
      </c>
      <c r="E307">
        <v>1390.8536377</v>
      </c>
      <c r="F307">
        <v>1371.5360106999999</v>
      </c>
      <c r="G307">
        <v>0</v>
      </c>
      <c r="H307">
        <v>2400</v>
      </c>
      <c r="I307">
        <v>2400</v>
      </c>
      <c r="J307">
        <v>0</v>
      </c>
      <c r="K307">
        <v>80</v>
      </c>
      <c r="L307">
        <v>72.367149353000002</v>
      </c>
      <c r="M307">
        <v>50</v>
      </c>
      <c r="N307">
        <v>49.985195160000004</v>
      </c>
    </row>
    <row r="308" spans="1:14" x14ac:dyDescent="0.25">
      <c r="A308">
        <v>276</v>
      </c>
      <c r="B308" s="1">
        <f>DATE(2011,2,1) + TIME(0,0,0)</f>
        <v>40575</v>
      </c>
      <c r="C308">
        <v>1301.4589844</v>
      </c>
      <c r="D308">
        <v>1288.2043457</v>
      </c>
      <c r="E308">
        <v>1390.8364257999999</v>
      </c>
      <c r="F308">
        <v>1371.520874</v>
      </c>
      <c r="G308">
        <v>0</v>
      </c>
      <c r="H308">
        <v>2400</v>
      </c>
      <c r="I308">
        <v>2400</v>
      </c>
      <c r="J308">
        <v>0</v>
      </c>
      <c r="K308">
        <v>80</v>
      </c>
      <c r="L308">
        <v>72.280334472999996</v>
      </c>
      <c r="M308">
        <v>50</v>
      </c>
      <c r="N308">
        <v>49.985202788999999</v>
      </c>
    </row>
    <row r="309" spans="1:14" x14ac:dyDescent="0.25">
      <c r="A309">
        <v>279.26466799999997</v>
      </c>
      <c r="B309" s="1">
        <f>DATE(2011,2,4) + TIME(6,21,7)</f>
        <v>40578.264664351853</v>
      </c>
      <c r="C309">
        <v>1301.4008789</v>
      </c>
      <c r="D309">
        <v>1288.0911865</v>
      </c>
      <c r="E309">
        <v>1390.8352050999999</v>
      </c>
      <c r="F309">
        <v>1371.5198975000001</v>
      </c>
      <c r="G309">
        <v>0</v>
      </c>
      <c r="H309">
        <v>2400</v>
      </c>
      <c r="I309">
        <v>2400</v>
      </c>
      <c r="J309">
        <v>0</v>
      </c>
      <c r="K309">
        <v>80</v>
      </c>
      <c r="L309">
        <v>72.104003906000003</v>
      </c>
      <c r="M309">
        <v>50</v>
      </c>
      <c r="N309">
        <v>49.985286713000001</v>
      </c>
    </row>
    <row r="310" spans="1:14" x14ac:dyDescent="0.25">
      <c r="A310">
        <v>282.581323</v>
      </c>
      <c r="B310" s="1">
        <f>DATE(2011,2,7) + TIME(13,57,6)</f>
        <v>40581.581319444442</v>
      </c>
      <c r="C310">
        <v>1301.1542969</v>
      </c>
      <c r="D310">
        <v>1287.7562256000001</v>
      </c>
      <c r="E310">
        <v>1390.8194579999999</v>
      </c>
      <c r="F310">
        <v>1371.5061035000001</v>
      </c>
      <c r="G310">
        <v>0</v>
      </c>
      <c r="H310">
        <v>2400</v>
      </c>
      <c r="I310">
        <v>2400</v>
      </c>
      <c r="J310">
        <v>0</v>
      </c>
      <c r="K310">
        <v>80</v>
      </c>
      <c r="L310">
        <v>71.881416321000003</v>
      </c>
      <c r="M310">
        <v>50</v>
      </c>
      <c r="N310">
        <v>49.985366821</v>
      </c>
    </row>
    <row r="311" spans="1:14" x14ac:dyDescent="0.25">
      <c r="A311">
        <v>285.93517800000001</v>
      </c>
      <c r="B311" s="1">
        <f>DATE(2011,2,10) + TIME(22,26,39)</f>
        <v>40584.935173611113</v>
      </c>
      <c r="C311">
        <v>1300.8896483999999</v>
      </c>
      <c r="D311">
        <v>1287.3912353999999</v>
      </c>
      <c r="E311">
        <v>1390.8041992000001</v>
      </c>
      <c r="F311">
        <v>1371.4926757999999</v>
      </c>
      <c r="G311">
        <v>0</v>
      </c>
      <c r="H311">
        <v>2400</v>
      </c>
      <c r="I311">
        <v>2400</v>
      </c>
      <c r="J311">
        <v>0</v>
      </c>
      <c r="K311">
        <v>80</v>
      </c>
      <c r="L311">
        <v>71.640472411999994</v>
      </c>
      <c r="M311">
        <v>50</v>
      </c>
      <c r="N311">
        <v>49.985450745000001</v>
      </c>
    </row>
    <row r="312" spans="1:14" x14ac:dyDescent="0.25">
      <c r="A312">
        <v>289.33135900000002</v>
      </c>
      <c r="B312" s="1">
        <f>DATE(2011,2,14) + TIME(7,57,9)</f>
        <v>40588.331354166665</v>
      </c>
      <c r="C312">
        <v>1300.6136475000001</v>
      </c>
      <c r="D312">
        <v>1287.0075684000001</v>
      </c>
      <c r="E312">
        <v>1390.7894286999999</v>
      </c>
      <c r="F312">
        <v>1371.4798584</v>
      </c>
      <c r="G312">
        <v>0</v>
      </c>
      <c r="H312">
        <v>2400</v>
      </c>
      <c r="I312">
        <v>2400</v>
      </c>
      <c r="J312">
        <v>0</v>
      </c>
      <c r="K312">
        <v>80</v>
      </c>
      <c r="L312">
        <v>71.386688231999997</v>
      </c>
      <c r="M312">
        <v>50</v>
      </c>
      <c r="N312">
        <v>49.985530853</v>
      </c>
    </row>
    <row r="313" spans="1:14" x14ac:dyDescent="0.25">
      <c r="A313">
        <v>292.75536099999999</v>
      </c>
      <c r="B313" s="1">
        <f>DATE(2011,2,17) + TIME(18,7,43)</f>
        <v>40591.755358796298</v>
      </c>
      <c r="C313">
        <v>1300.3273925999999</v>
      </c>
      <c r="D313">
        <v>1286.6072998</v>
      </c>
      <c r="E313">
        <v>1390.7752685999999</v>
      </c>
      <c r="F313">
        <v>1371.4675293</v>
      </c>
      <c r="G313">
        <v>0</v>
      </c>
      <c r="H313">
        <v>2400</v>
      </c>
      <c r="I313">
        <v>2400</v>
      </c>
      <c r="J313">
        <v>0</v>
      </c>
      <c r="K313">
        <v>80</v>
      </c>
      <c r="L313">
        <v>71.120254517000006</v>
      </c>
      <c r="M313">
        <v>50</v>
      </c>
      <c r="N313">
        <v>49.985610962000003</v>
      </c>
    </row>
    <row r="314" spans="1:14" x14ac:dyDescent="0.25">
      <c r="A314">
        <v>296.22195199999999</v>
      </c>
      <c r="B314" s="1">
        <f>DATE(2011,2,21) + TIME(5,19,36)</f>
        <v>40595.221944444442</v>
      </c>
      <c r="C314">
        <v>1300.0322266000001</v>
      </c>
      <c r="D314">
        <v>1286.1922606999999</v>
      </c>
      <c r="E314">
        <v>1390.7614745999999</v>
      </c>
      <c r="F314">
        <v>1371.4555664</v>
      </c>
      <c r="G314">
        <v>0</v>
      </c>
      <c r="H314">
        <v>2400</v>
      </c>
      <c r="I314">
        <v>2400</v>
      </c>
      <c r="J314">
        <v>0</v>
      </c>
      <c r="K314">
        <v>80</v>
      </c>
      <c r="L314">
        <v>70.840751647999994</v>
      </c>
      <c r="M314">
        <v>50</v>
      </c>
      <c r="N314">
        <v>49.985694885000001</v>
      </c>
    </row>
    <row r="315" spans="1:14" x14ac:dyDescent="0.25">
      <c r="A315">
        <v>299.73703799999998</v>
      </c>
      <c r="B315" s="1">
        <f>DATE(2011,2,24) + TIME(17,41,20)</f>
        <v>40598.737037037034</v>
      </c>
      <c r="C315">
        <v>1299.7277832</v>
      </c>
      <c r="D315">
        <v>1285.7619629000001</v>
      </c>
      <c r="E315">
        <v>1390.7480469</v>
      </c>
      <c r="F315">
        <v>1371.4439697</v>
      </c>
      <c r="G315">
        <v>0</v>
      </c>
      <c r="H315">
        <v>2400</v>
      </c>
      <c r="I315">
        <v>2400</v>
      </c>
      <c r="J315">
        <v>0</v>
      </c>
      <c r="K315">
        <v>80</v>
      </c>
      <c r="L315">
        <v>70.546379088999998</v>
      </c>
      <c r="M315">
        <v>50</v>
      </c>
      <c r="N315">
        <v>49.985774994000003</v>
      </c>
    </row>
    <row r="316" spans="1:14" x14ac:dyDescent="0.25">
      <c r="A316">
        <v>303.29377199999999</v>
      </c>
      <c r="B316" s="1">
        <f>DATE(2011,2,28) + TIME(7,3,1)</f>
        <v>40602.293761574074</v>
      </c>
      <c r="C316">
        <v>1299.4139404</v>
      </c>
      <c r="D316">
        <v>1285.3160399999999</v>
      </c>
      <c r="E316">
        <v>1390.7348632999999</v>
      </c>
      <c r="F316">
        <v>1371.4326172000001</v>
      </c>
      <c r="G316">
        <v>0</v>
      </c>
      <c r="H316">
        <v>2400</v>
      </c>
      <c r="I316">
        <v>2400</v>
      </c>
      <c r="J316">
        <v>0</v>
      </c>
      <c r="K316">
        <v>80</v>
      </c>
      <c r="L316">
        <v>70.235656738000003</v>
      </c>
      <c r="M316">
        <v>50</v>
      </c>
      <c r="N316">
        <v>49.985855102999999</v>
      </c>
    </row>
    <row r="317" spans="1:14" x14ac:dyDescent="0.25">
      <c r="A317">
        <v>304</v>
      </c>
      <c r="B317" s="1">
        <f>DATE(2011,3,1) + TIME(0,0,0)</f>
        <v>40603</v>
      </c>
      <c r="C317">
        <v>1299.1087646000001</v>
      </c>
      <c r="D317">
        <v>1284.9129639</v>
      </c>
      <c r="E317">
        <v>1390.7214355000001</v>
      </c>
      <c r="F317">
        <v>1371.4208983999999</v>
      </c>
      <c r="G317">
        <v>0</v>
      </c>
      <c r="H317">
        <v>2400</v>
      </c>
      <c r="I317">
        <v>2400</v>
      </c>
      <c r="J317">
        <v>0</v>
      </c>
      <c r="K317">
        <v>80</v>
      </c>
      <c r="L317">
        <v>70.050109863000003</v>
      </c>
      <c r="M317">
        <v>50</v>
      </c>
      <c r="N317">
        <v>49.985870361000003</v>
      </c>
    </row>
    <row r="318" spans="1:14" x14ac:dyDescent="0.25">
      <c r="A318">
        <v>307.59869200000003</v>
      </c>
      <c r="B318" s="1">
        <f>DATE(2011,3,4) + TIME(14,22,6)</f>
        <v>40606.598680555559</v>
      </c>
      <c r="C318">
        <v>1299.0067139</v>
      </c>
      <c r="D318">
        <v>1284.7243652</v>
      </c>
      <c r="E318">
        <v>1390.7197266000001</v>
      </c>
      <c r="F318">
        <v>1371.4194336</v>
      </c>
      <c r="G318">
        <v>0</v>
      </c>
      <c r="H318">
        <v>2400</v>
      </c>
      <c r="I318">
        <v>2400</v>
      </c>
      <c r="J318">
        <v>0</v>
      </c>
      <c r="K318">
        <v>80</v>
      </c>
      <c r="L318">
        <v>69.817268372000001</v>
      </c>
      <c r="M318">
        <v>50</v>
      </c>
      <c r="N318">
        <v>49.985954284999998</v>
      </c>
    </row>
    <row r="319" spans="1:14" x14ac:dyDescent="0.25">
      <c r="A319">
        <v>311.25220300000001</v>
      </c>
      <c r="B319" s="1">
        <f>DATE(2011,3,8) + TIME(6,3,10)</f>
        <v>40610.252199074072</v>
      </c>
      <c r="C319">
        <v>1298.6920166</v>
      </c>
      <c r="D319">
        <v>1284.2800293</v>
      </c>
      <c r="E319">
        <v>1390.7071533000001</v>
      </c>
      <c r="F319">
        <v>1371.4086914</v>
      </c>
      <c r="G319">
        <v>0</v>
      </c>
      <c r="H319">
        <v>2400</v>
      </c>
      <c r="I319">
        <v>2400</v>
      </c>
      <c r="J319">
        <v>0</v>
      </c>
      <c r="K319">
        <v>80</v>
      </c>
      <c r="L319">
        <v>69.486579895000006</v>
      </c>
      <c r="M319">
        <v>50</v>
      </c>
      <c r="N319">
        <v>49.986034392999997</v>
      </c>
    </row>
    <row r="320" spans="1:14" x14ac:dyDescent="0.25">
      <c r="A320">
        <v>314.93506400000001</v>
      </c>
      <c r="B320" s="1">
        <f>DATE(2011,3,11) + TIME(22,26,29)</f>
        <v>40613.935057870367</v>
      </c>
      <c r="C320">
        <v>1298.3555908000001</v>
      </c>
      <c r="D320">
        <v>1283.7957764</v>
      </c>
      <c r="E320">
        <v>1390.6948242000001</v>
      </c>
      <c r="F320">
        <v>1371.3981934000001</v>
      </c>
      <c r="G320">
        <v>0</v>
      </c>
      <c r="H320">
        <v>2400</v>
      </c>
      <c r="I320">
        <v>2400</v>
      </c>
      <c r="J320">
        <v>0</v>
      </c>
      <c r="K320">
        <v>80</v>
      </c>
      <c r="L320">
        <v>69.12046814</v>
      </c>
      <c r="M320">
        <v>50</v>
      </c>
      <c r="N320">
        <v>49.986114502</v>
      </c>
    </row>
    <row r="321" spans="1:14" x14ac:dyDescent="0.25">
      <c r="A321">
        <v>318.663321</v>
      </c>
      <c r="B321" s="1">
        <f>DATE(2011,3,15) + TIME(15,55,10)</f>
        <v>40617.663310185184</v>
      </c>
      <c r="C321">
        <v>1298.0109863</v>
      </c>
      <c r="D321">
        <v>1283.2957764</v>
      </c>
      <c r="E321">
        <v>1390.6828613</v>
      </c>
      <c r="F321">
        <v>1371.3878173999999</v>
      </c>
      <c r="G321">
        <v>0</v>
      </c>
      <c r="H321">
        <v>2400</v>
      </c>
      <c r="I321">
        <v>2400</v>
      </c>
      <c r="J321">
        <v>0</v>
      </c>
      <c r="K321">
        <v>80</v>
      </c>
      <c r="L321">
        <v>68.732025145999998</v>
      </c>
      <c r="M321">
        <v>50</v>
      </c>
      <c r="N321">
        <v>49.986194611000002</v>
      </c>
    </row>
    <row r="322" spans="1:14" x14ac:dyDescent="0.25">
      <c r="A322">
        <v>322.45107999999999</v>
      </c>
      <c r="B322" s="1">
        <f>DATE(2011,3,19) + TIME(10,49,33)</f>
        <v>40621.45107638889</v>
      </c>
      <c r="C322">
        <v>1297.6599120999999</v>
      </c>
      <c r="D322">
        <v>1282.7834473</v>
      </c>
      <c r="E322">
        <v>1390.6708983999999</v>
      </c>
      <c r="F322">
        <v>1371.3775635</v>
      </c>
      <c r="G322">
        <v>0</v>
      </c>
      <c r="H322">
        <v>2400</v>
      </c>
      <c r="I322">
        <v>2400</v>
      </c>
      <c r="J322">
        <v>0</v>
      </c>
      <c r="K322">
        <v>80</v>
      </c>
      <c r="L322">
        <v>68.321647643999995</v>
      </c>
      <c r="M322">
        <v>50</v>
      </c>
      <c r="N322">
        <v>49.986274719000001</v>
      </c>
    </row>
    <row r="323" spans="1:14" x14ac:dyDescent="0.25">
      <c r="A323">
        <v>326.27569499999998</v>
      </c>
      <c r="B323" s="1">
        <f>DATE(2011,3,23) + TIME(6,37,0)</f>
        <v>40625.275694444441</v>
      </c>
      <c r="C323">
        <v>1297.3020019999999</v>
      </c>
      <c r="D323">
        <v>1282.2587891000001</v>
      </c>
      <c r="E323">
        <v>1390.6589355000001</v>
      </c>
      <c r="F323">
        <v>1371.3674315999999</v>
      </c>
      <c r="G323">
        <v>0</v>
      </c>
      <c r="H323">
        <v>2400</v>
      </c>
      <c r="I323">
        <v>2400</v>
      </c>
      <c r="J323">
        <v>0</v>
      </c>
      <c r="K323">
        <v>80</v>
      </c>
      <c r="L323">
        <v>67.888435364000003</v>
      </c>
      <c r="M323">
        <v>50</v>
      </c>
      <c r="N323">
        <v>49.986354828000003</v>
      </c>
    </row>
    <row r="324" spans="1:14" x14ac:dyDescent="0.25">
      <c r="A324">
        <v>330.15262000000001</v>
      </c>
      <c r="B324" s="1">
        <f>DATE(2011,3,27) + TIME(3,39,46)</f>
        <v>40629.152615740742</v>
      </c>
      <c r="C324">
        <v>1296.9398193</v>
      </c>
      <c r="D324">
        <v>1281.7249756000001</v>
      </c>
      <c r="E324">
        <v>1390.6472168</v>
      </c>
      <c r="F324">
        <v>1371.3574219</v>
      </c>
      <c r="G324">
        <v>0</v>
      </c>
      <c r="H324">
        <v>2400</v>
      </c>
      <c r="I324">
        <v>2400</v>
      </c>
      <c r="J324">
        <v>0</v>
      </c>
      <c r="K324">
        <v>80</v>
      </c>
      <c r="L324">
        <v>67.433204650999997</v>
      </c>
      <c r="M324">
        <v>50</v>
      </c>
      <c r="N324">
        <v>49.986434936999999</v>
      </c>
    </row>
    <row r="325" spans="1:14" x14ac:dyDescent="0.25">
      <c r="A325">
        <v>334.08134000000001</v>
      </c>
      <c r="B325" s="1">
        <f>DATE(2011,3,31) + TIME(1,57,7)</f>
        <v>40633.081331018519</v>
      </c>
      <c r="C325">
        <v>1296.5731201000001</v>
      </c>
      <c r="D325">
        <v>1281.1818848</v>
      </c>
      <c r="E325">
        <v>1390.6354980000001</v>
      </c>
      <c r="F325">
        <v>1371.3474120999999</v>
      </c>
      <c r="G325">
        <v>0</v>
      </c>
      <c r="H325">
        <v>2400</v>
      </c>
      <c r="I325">
        <v>2400</v>
      </c>
      <c r="J325">
        <v>0</v>
      </c>
      <c r="K325">
        <v>80</v>
      </c>
      <c r="L325">
        <v>66.954856872999997</v>
      </c>
      <c r="M325">
        <v>50</v>
      </c>
      <c r="N325">
        <v>49.986518859999997</v>
      </c>
    </row>
    <row r="326" spans="1:14" x14ac:dyDescent="0.25">
      <c r="A326">
        <v>335</v>
      </c>
      <c r="B326" s="1">
        <f>DATE(2011,4,1) + TIME(0,0,0)</f>
        <v>40634</v>
      </c>
      <c r="C326">
        <v>1296.2152100000001</v>
      </c>
      <c r="D326">
        <v>1280.6926269999999</v>
      </c>
      <c r="E326">
        <v>1390.6231689000001</v>
      </c>
      <c r="F326">
        <v>1371.3367920000001</v>
      </c>
      <c r="G326">
        <v>0</v>
      </c>
      <c r="H326">
        <v>2400</v>
      </c>
      <c r="I326">
        <v>2400</v>
      </c>
      <c r="J326">
        <v>0</v>
      </c>
      <c r="K326">
        <v>80</v>
      </c>
      <c r="L326">
        <v>66.632240295000003</v>
      </c>
      <c r="M326">
        <v>50</v>
      </c>
      <c r="N326">
        <v>49.986534118999998</v>
      </c>
    </row>
    <row r="327" spans="1:14" x14ac:dyDescent="0.25">
      <c r="A327">
        <v>338.98076700000001</v>
      </c>
      <c r="B327" s="1">
        <f>DATE(2011,4,4) + TIME(23,32,18)</f>
        <v>40637.980763888889</v>
      </c>
      <c r="C327">
        <v>1296.0922852000001</v>
      </c>
      <c r="D327">
        <v>1280.4522704999999</v>
      </c>
      <c r="E327">
        <v>1390.6210937999999</v>
      </c>
      <c r="F327">
        <v>1371.3349608999999</v>
      </c>
      <c r="G327">
        <v>0</v>
      </c>
      <c r="H327">
        <v>2400</v>
      </c>
      <c r="I327">
        <v>2400</v>
      </c>
      <c r="J327">
        <v>0</v>
      </c>
      <c r="K327">
        <v>80</v>
      </c>
      <c r="L327">
        <v>66.297508239999999</v>
      </c>
      <c r="M327">
        <v>50</v>
      </c>
      <c r="N327">
        <v>49.986618042000003</v>
      </c>
    </row>
    <row r="328" spans="1:14" x14ac:dyDescent="0.25">
      <c r="A328">
        <v>343.02017699999999</v>
      </c>
      <c r="B328" s="1">
        <f>DATE(2011,4,9) + TIME(0,29,3)</f>
        <v>40642.020173611112</v>
      </c>
      <c r="C328">
        <v>1295.7397461</v>
      </c>
      <c r="D328">
        <v>1279.9346923999999</v>
      </c>
      <c r="E328">
        <v>1390.6092529</v>
      </c>
      <c r="F328">
        <v>1371.3249512</v>
      </c>
      <c r="G328">
        <v>0</v>
      </c>
      <c r="H328">
        <v>2400</v>
      </c>
      <c r="I328">
        <v>2400</v>
      </c>
      <c r="J328">
        <v>0</v>
      </c>
      <c r="K328">
        <v>80</v>
      </c>
      <c r="L328">
        <v>65.797370911000002</v>
      </c>
      <c r="M328">
        <v>50</v>
      </c>
      <c r="N328">
        <v>49.986698150999999</v>
      </c>
    </row>
    <row r="329" spans="1:14" x14ac:dyDescent="0.25">
      <c r="A329">
        <v>347.11390599999999</v>
      </c>
      <c r="B329" s="1">
        <f>DATE(2011,4,13) + TIME(2,44,1)</f>
        <v>40646.113900462966</v>
      </c>
      <c r="C329">
        <v>1295.3681641000001</v>
      </c>
      <c r="D329">
        <v>1279.3764647999999</v>
      </c>
      <c r="E329">
        <v>1390.5974120999999</v>
      </c>
      <c r="F329">
        <v>1371.3148193</v>
      </c>
      <c r="G329">
        <v>0</v>
      </c>
      <c r="H329">
        <v>2400</v>
      </c>
      <c r="I329">
        <v>2400</v>
      </c>
      <c r="J329">
        <v>0</v>
      </c>
      <c r="K329">
        <v>80</v>
      </c>
      <c r="L329">
        <v>65.249778747999997</v>
      </c>
      <c r="M329">
        <v>50</v>
      </c>
      <c r="N329">
        <v>49.986778258999998</v>
      </c>
    </row>
    <row r="330" spans="1:14" x14ac:dyDescent="0.25">
      <c r="A330">
        <v>351.25837999999999</v>
      </c>
      <c r="B330" s="1">
        <f>DATE(2011,4,17) + TIME(6,12,4)</f>
        <v>40650.258379629631</v>
      </c>
      <c r="C330">
        <v>1294.9925536999999</v>
      </c>
      <c r="D330">
        <v>1278.8076172000001</v>
      </c>
      <c r="E330">
        <v>1390.5854492000001</v>
      </c>
      <c r="F330">
        <v>1371.3045654</v>
      </c>
      <c r="G330">
        <v>0</v>
      </c>
      <c r="H330">
        <v>2400</v>
      </c>
      <c r="I330">
        <v>2400</v>
      </c>
      <c r="J330">
        <v>0</v>
      </c>
      <c r="K330">
        <v>80</v>
      </c>
      <c r="L330">
        <v>64.676330566000004</v>
      </c>
      <c r="M330">
        <v>50</v>
      </c>
      <c r="N330">
        <v>49.986858368</v>
      </c>
    </row>
    <row r="331" spans="1:14" x14ac:dyDescent="0.25">
      <c r="A331">
        <v>355.45452699999998</v>
      </c>
      <c r="B331" s="1">
        <f>DATE(2011,4,21) + TIME(10,54,31)</f>
        <v>40654.454525462963</v>
      </c>
      <c r="C331">
        <v>1294.6165771000001</v>
      </c>
      <c r="D331">
        <v>1278.2349853999999</v>
      </c>
      <c r="E331">
        <v>1390.5733643000001</v>
      </c>
      <c r="F331">
        <v>1371.2941894999999</v>
      </c>
      <c r="G331">
        <v>0</v>
      </c>
      <c r="H331">
        <v>2400</v>
      </c>
      <c r="I331">
        <v>2400</v>
      </c>
      <c r="J331">
        <v>0</v>
      </c>
      <c r="K331">
        <v>80</v>
      </c>
      <c r="L331">
        <v>64.081611632999994</v>
      </c>
      <c r="M331">
        <v>50</v>
      </c>
      <c r="N331">
        <v>49.986934662000003</v>
      </c>
    </row>
    <row r="332" spans="1:14" x14ac:dyDescent="0.25">
      <c r="A332">
        <v>359.71879200000001</v>
      </c>
      <c r="B332" s="1">
        <f>DATE(2011,4,25) + TIME(17,15,3)</f>
        <v>40658.718784722223</v>
      </c>
      <c r="C332">
        <v>1294.2416992000001</v>
      </c>
      <c r="D332">
        <v>1277.6605225000001</v>
      </c>
      <c r="E332">
        <v>1390.5611572</v>
      </c>
      <c r="F332">
        <v>1371.2836914</v>
      </c>
      <c r="G332">
        <v>0</v>
      </c>
      <c r="H332">
        <v>2400</v>
      </c>
      <c r="I332">
        <v>2400</v>
      </c>
      <c r="J332">
        <v>0</v>
      </c>
      <c r="K332">
        <v>80</v>
      </c>
      <c r="L332">
        <v>63.467044829999999</v>
      </c>
      <c r="M332">
        <v>50</v>
      </c>
      <c r="N332">
        <v>49.987014770999998</v>
      </c>
    </row>
    <row r="333" spans="1:14" x14ac:dyDescent="0.25">
      <c r="A333">
        <v>364.02976699999999</v>
      </c>
      <c r="B333" s="1">
        <f>DATE(2011,4,30) + TIME(0,42,51)</f>
        <v>40663.029756944445</v>
      </c>
      <c r="C333">
        <v>1293.8675536999999</v>
      </c>
      <c r="D333">
        <v>1277.0841064000001</v>
      </c>
      <c r="E333">
        <v>1390.5488281</v>
      </c>
      <c r="F333">
        <v>1371.2730713000001</v>
      </c>
      <c r="G333">
        <v>0</v>
      </c>
      <c r="H333">
        <v>2400</v>
      </c>
      <c r="I333">
        <v>2400</v>
      </c>
      <c r="J333">
        <v>0</v>
      </c>
      <c r="K333">
        <v>80</v>
      </c>
      <c r="L333">
        <v>62.833019256999997</v>
      </c>
      <c r="M333">
        <v>50</v>
      </c>
      <c r="N333">
        <v>49.987094878999997</v>
      </c>
    </row>
    <row r="334" spans="1:14" x14ac:dyDescent="0.25">
      <c r="A334">
        <v>365</v>
      </c>
      <c r="B334" s="1">
        <f>DATE(2011,5,1) + TIME(0,0,0)</f>
        <v>40664</v>
      </c>
      <c r="C334">
        <v>1293.5025635</v>
      </c>
      <c r="D334">
        <v>1276.5772704999999</v>
      </c>
      <c r="E334">
        <v>1390.5357666</v>
      </c>
      <c r="F334">
        <v>1371.2618408000001</v>
      </c>
      <c r="G334">
        <v>0</v>
      </c>
      <c r="H334">
        <v>2400</v>
      </c>
      <c r="I334">
        <v>2400</v>
      </c>
      <c r="J334">
        <v>0</v>
      </c>
      <c r="K334">
        <v>80</v>
      </c>
      <c r="L334">
        <v>62.407691956000001</v>
      </c>
      <c r="M334">
        <v>50</v>
      </c>
      <c r="N334">
        <v>49.987113952999998</v>
      </c>
    </row>
    <row r="335" spans="1:14" x14ac:dyDescent="0.25">
      <c r="A335">
        <v>365.000001</v>
      </c>
      <c r="B335" s="1">
        <f>DATE(2011,5,1) + TIME(0,0,0)</f>
        <v>40664</v>
      </c>
      <c r="C335">
        <v>1312.1468506000001</v>
      </c>
      <c r="D335">
        <v>1294.4561768000001</v>
      </c>
      <c r="E335">
        <v>1370.387207</v>
      </c>
      <c r="F335">
        <v>1351.3221435999999</v>
      </c>
      <c r="G335">
        <v>2400</v>
      </c>
      <c r="H335">
        <v>0</v>
      </c>
      <c r="I335">
        <v>0</v>
      </c>
      <c r="J335">
        <v>2400</v>
      </c>
      <c r="K335">
        <v>80</v>
      </c>
      <c r="L335">
        <v>62.407844543000003</v>
      </c>
      <c r="M335">
        <v>50</v>
      </c>
      <c r="N335">
        <v>49.987003326</v>
      </c>
    </row>
    <row r="336" spans="1:14" x14ac:dyDescent="0.25">
      <c r="A336">
        <v>365.00000399999999</v>
      </c>
      <c r="B336" s="1">
        <f>DATE(2011,5,1) + TIME(0,0,0)</f>
        <v>40664</v>
      </c>
      <c r="C336">
        <v>1314.4711914</v>
      </c>
      <c r="D336">
        <v>1296.9345702999999</v>
      </c>
      <c r="E336">
        <v>1368.0544434000001</v>
      </c>
      <c r="F336">
        <v>1348.9890137</v>
      </c>
      <c r="G336">
        <v>2400</v>
      </c>
      <c r="H336">
        <v>0</v>
      </c>
      <c r="I336">
        <v>0</v>
      </c>
      <c r="J336">
        <v>2400</v>
      </c>
      <c r="K336">
        <v>80</v>
      </c>
      <c r="L336">
        <v>62.408241271999998</v>
      </c>
      <c r="M336">
        <v>50</v>
      </c>
      <c r="N336">
        <v>49.986709595000001</v>
      </c>
    </row>
    <row r="337" spans="1:14" x14ac:dyDescent="0.25">
      <c r="A337">
        <v>365.00001300000002</v>
      </c>
      <c r="B337" s="1">
        <f>DATE(2011,5,1) + TIME(0,0,1)</f>
        <v>40664.000011574077</v>
      </c>
      <c r="C337">
        <v>1319.5614014</v>
      </c>
      <c r="D337">
        <v>1302.223999</v>
      </c>
      <c r="E337">
        <v>1362.8217772999999</v>
      </c>
      <c r="F337">
        <v>1343.7558594</v>
      </c>
      <c r="G337">
        <v>2400</v>
      </c>
      <c r="H337">
        <v>0</v>
      </c>
      <c r="I337">
        <v>0</v>
      </c>
      <c r="J337">
        <v>2400</v>
      </c>
      <c r="K337">
        <v>80</v>
      </c>
      <c r="L337">
        <v>62.409152984999999</v>
      </c>
      <c r="M337">
        <v>50</v>
      </c>
      <c r="N337">
        <v>49.986049651999998</v>
      </c>
    </row>
    <row r="338" spans="1:14" x14ac:dyDescent="0.25">
      <c r="A338">
        <v>365.00004000000001</v>
      </c>
      <c r="B338" s="1">
        <f>DATE(2011,5,1) + TIME(0,0,3)</f>
        <v>40664.000034722223</v>
      </c>
      <c r="C338">
        <v>1327.7939452999999</v>
      </c>
      <c r="D338">
        <v>1310.5281981999999</v>
      </c>
      <c r="E338">
        <v>1354.0791016000001</v>
      </c>
      <c r="F338">
        <v>1335.0133057</v>
      </c>
      <c r="G338">
        <v>2400</v>
      </c>
      <c r="H338">
        <v>0</v>
      </c>
      <c r="I338">
        <v>0</v>
      </c>
      <c r="J338">
        <v>2400</v>
      </c>
      <c r="K338">
        <v>80</v>
      </c>
      <c r="L338">
        <v>62.410881042</v>
      </c>
      <c r="M338">
        <v>50</v>
      </c>
      <c r="N338">
        <v>49.984947204999997</v>
      </c>
    </row>
    <row r="339" spans="1:14" x14ac:dyDescent="0.25">
      <c r="A339">
        <v>365.00012099999998</v>
      </c>
      <c r="B339" s="1">
        <f>DATE(2011,5,1) + TIME(0,0,10)</f>
        <v>40664.000115740739</v>
      </c>
      <c r="C339">
        <v>1337.6221923999999</v>
      </c>
      <c r="D339">
        <v>1320.2906493999999</v>
      </c>
      <c r="E339">
        <v>1343.4097899999999</v>
      </c>
      <c r="F339">
        <v>1324.3461914</v>
      </c>
      <c r="G339">
        <v>2400</v>
      </c>
      <c r="H339">
        <v>0</v>
      </c>
      <c r="I339">
        <v>0</v>
      </c>
      <c r="J339">
        <v>2400</v>
      </c>
      <c r="K339">
        <v>80</v>
      </c>
      <c r="L339">
        <v>62.4140625</v>
      </c>
      <c r="M339">
        <v>50</v>
      </c>
      <c r="N339">
        <v>49.983600615999997</v>
      </c>
    </row>
    <row r="340" spans="1:14" x14ac:dyDescent="0.25">
      <c r="A340">
        <v>365.00036399999999</v>
      </c>
      <c r="B340" s="1">
        <f>DATE(2011,5,1) + TIME(0,0,31)</f>
        <v>40664.000358796293</v>
      </c>
      <c r="C340">
        <v>1347.7541504000001</v>
      </c>
      <c r="D340">
        <v>1330.3455810999999</v>
      </c>
      <c r="E340">
        <v>1332.4313964999999</v>
      </c>
      <c r="F340">
        <v>1313.3724365</v>
      </c>
      <c r="G340">
        <v>2400</v>
      </c>
      <c r="H340">
        <v>0</v>
      </c>
      <c r="I340">
        <v>0</v>
      </c>
      <c r="J340">
        <v>2400</v>
      </c>
      <c r="K340">
        <v>80</v>
      </c>
      <c r="L340">
        <v>62.421073913999997</v>
      </c>
      <c r="M340">
        <v>50</v>
      </c>
      <c r="N340">
        <v>49.982204437</v>
      </c>
    </row>
    <row r="341" spans="1:14" x14ac:dyDescent="0.25">
      <c r="A341">
        <v>365.00109300000003</v>
      </c>
      <c r="B341" s="1">
        <f>DATE(2011,5,1) + TIME(0,1,34)</f>
        <v>40664.001087962963</v>
      </c>
      <c r="C341">
        <v>1358.0854492000001</v>
      </c>
      <c r="D341">
        <v>1340.612793</v>
      </c>
      <c r="E341">
        <v>1321.4807129000001</v>
      </c>
      <c r="F341">
        <v>1302.4282227000001</v>
      </c>
      <c r="G341">
        <v>2400</v>
      </c>
      <c r="H341">
        <v>0</v>
      </c>
      <c r="I341">
        <v>0</v>
      </c>
      <c r="J341">
        <v>2400</v>
      </c>
      <c r="K341">
        <v>80</v>
      </c>
      <c r="L341">
        <v>62.439514160000002</v>
      </c>
      <c r="M341">
        <v>50</v>
      </c>
      <c r="N341">
        <v>49.98078537</v>
      </c>
    </row>
    <row r="342" spans="1:14" x14ac:dyDescent="0.25">
      <c r="A342">
        <v>365.00328000000002</v>
      </c>
      <c r="B342" s="1">
        <f>DATE(2011,5,1) + TIME(0,4,43)</f>
        <v>40664.003275462965</v>
      </c>
      <c r="C342">
        <v>1368.7004394999999</v>
      </c>
      <c r="D342">
        <v>1351.1787108999999</v>
      </c>
      <c r="E342">
        <v>1310.6260986</v>
      </c>
      <c r="F342">
        <v>1291.5756836</v>
      </c>
      <c r="G342">
        <v>2400</v>
      </c>
      <c r="H342">
        <v>0</v>
      </c>
      <c r="I342">
        <v>0</v>
      </c>
      <c r="J342">
        <v>2400</v>
      </c>
      <c r="K342">
        <v>80</v>
      </c>
      <c r="L342">
        <v>62.492168427000003</v>
      </c>
      <c r="M342">
        <v>50</v>
      </c>
      <c r="N342">
        <v>49.979293822999999</v>
      </c>
    </row>
    <row r="343" spans="1:14" x14ac:dyDescent="0.25">
      <c r="A343">
        <v>365.00984099999999</v>
      </c>
      <c r="B343" s="1">
        <f>DATE(2011,5,1) + TIME(0,14,10)</f>
        <v>40664.009837962964</v>
      </c>
      <c r="C343">
        <v>1378.5739745999999</v>
      </c>
      <c r="D343">
        <v>1361.0394286999999</v>
      </c>
      <c r="E343">
        <v>1300.8045654</v>
      </c>
      <c r="F343">
        <v>1281.7467041</v>
      </c>
      <c r="G343">
        <v>2400</v>
      </c>
      <c r="H343">
        <v>0</v>
      </c>
      <c r="I343">
        <v>0</v>
      </c>
      <c r="J343">
        <v>2400</v>
      </c>
      <c r="K343">
        <v>80</v>
      </c>
      <c r="L343">
        <v>62.646327972000002</v>
      </c>
      <c r="M343">
        <v>50</v>
      </c>
      <c r="N343">
        <v>49.977691649999997</v>
      </c>
    </row>
    <row r="344" spans="1:14" x14ac:dyDescent="0.25">
      <c r="A344">
        <v>365.02952399999998</v>
      </c>
      <c r="B344" s="1">
        <f>DATE(2011,5,1) + TIME(0,42,30)</f>
        <v>40664.029513888891</v>
      </c>
      <c r="C344">
        <v>1385.2609863</v>
      </c>
      <c r="D344">
        <v>1367.8123779</v>
      </c>
      <c r="E344">
        <v>1294.4149170000001</v>
      </c>
      <c r="F344">
        <v>1275.3499756000001</v>
      </c>
      <c r="G344">
        <v>2400</v>
      </c>
      <c r="H344">
        <v>0</v>
      </c>
      <c r="I344">
        <v>0</v>
      </c>
      <c r="J344">
        <v>2400</v>
      </c>
      <c r="K344">
        <v>80</v>
      </c>
      <c r="L344">
        <v>63.094608307000001</v>
      </c>
      <c r="M344">
        <v>50</v>
      </c>
      <c r="N344">
        <v>49.975799561000002</v>
      </c>
    </row>
    <row r="345" spans="1:14" x14ac:dyDescent="0.25">
      <c r="A345">
        <v>365.059977</v>
      </c>
      <c r="B345" s="1">
        <f>DATE(2011,5,1) + TIME(1,26,21)</f>
        <v>40664.059965277775</v>
      </c>
      <c r="C345">
        <v>1387.4173584</v>
      </c>
      <c r="D345">
        <v>1370.1217041</v>
      </c>
      <c r="E345">
        <v>1292.5308838000001</v>
      </c>
      <c r="F345">
        <v>1273.4638672000001</v>
      </c>
      <c r="G345">
        <v>2400</v>
      </c>
      <c r="H345">
        <v>0</v>
      </c>
      <c r="I345">
        <v>0</v>
      </c>
      <c r="J345">
        <v>2400</v>
      </c>
      <c r="K345">
        <v>80</v>
      </c>
      <c r="L345">
        <v>63.760353088000002</v>
      </c>
      <c r="M345">
        <v>50</v>
      </c>
      <c r="N345">
        <v>49.973884583</v>
      </c>
    </row>
    <row r="346" spans="1:14" x14ac:dyDescent="0.25">
      <c r="A346">
        <v>365.09137099999998</v>
      </c>
      <c r="B346" s="1">
        <f>DATE(2011,5,1) + TIME(2,11,34)</f>
        <v>40664.091365740744</v>
      </c>
      <c r="C346">
        <v>1387.8516846</v>
      </c>
      <c r="D346">
        <v>1370.7008057</v>
      </c>
      <c r="E346">
        <v>1292.1694336</v>
      </c>
      <c r="F346">
        <v>1273.1019286999999</v>
      </c>
      <c r="G346">
        <v>2400</v>
      </c>
      <c r="H346">
        <v>0</v>
      </c>
      <c r="I346">
        <v>0</v>
      </c>
      <c r="J346">
        <v>2400</v>
      </c>
      <c r="K346">
        <v>80</v>
      </c>
      <c r="L346">
        <v>64.419372558999996</v>
      </c>
      <c r="M346">
        <v>50</v>
      </c>
      <c r="N346">
        <v>49.972126007</v>
      </c>
    </row>
    <row r="347" spans="1:14" x14ac:dyDescent="0.25">
      <c r="A347">
        <v>365.12374399999999</v>
      </c>
      <c r="B347" s="1">
        <f>DATE(2011,5,1) + TIME(2,58,11)</f>
        <v>40664.123738425929</v>
      </c>
      <c r="C347">
        <v>1387.8311768000001</v>
      </c>
      <c r="D347">
        <v>1370.8218993999999</v>
      </c>
      <c r="E347">
        <v>1292.1179199000001</v>
      </c>
      <c r="F347">
        <v>1273.0501709</v>
      </c>
      <c r="G347">
        <v>2400</v>
      </c>
      <c r="H347">
        <v>0</v>
      </c>
      <c r="I347">
        <v>0</v>
      </c>
      <c r="J347">
        <v>2400</v>
      </c>
      <c r="K347">
        <v>80</v>
      </c>
      <c r="L347">
        <v>65.071174622000001</v>
      </c>
      <c r="M347">
        <v>50</v>
      </c>
      <c r="N347">
        <v>49.970367432000003</v>
      </c>
    </row>
    <row r="348" spans="1:14" x14ac:dyDescent="0.25">
      <c r="A348">
        <v>365.15716600000002</v>
      </c>
      <c r="B348" s="1">
        <f>DATE(2011,5,1) + TIME(3,46,19)</f>
        <v>40664.157164351855</v>
      </c>
      <c r="C348">
        <v>1387.6829834</v>
      </c>
      <c r="D348">
        <v>1370.8115233999999</v>
      </c>
      <c r="E348">
        <v>1292.1204834</v>
      </c>
      <c r="F348">
        <v>1273.0526123</v>
      </c>
      <c r="G348">
        <v>2400</v>
      </c>
      <c r="H348">
        <v>0</v>
      </c>
      <c r="I348">
        <v>0</v>
      </c>
      <c r="J348">
        <v>2400</v>
      </c>
      <c r="K348">
        <v>80</v>
      </c>
      <c r="L348">
        <v>65.715866089000002</v>
      </c>
      <c r="M348">
        <v>50</v>
      </c>
      <c r="N348">
        <v>49.968582153</v>
      </c>
    </row>
    <row r="349" spans="1:14" x14ac:dyDescent="0.25">
      <c r="A349">
        <v>365.19169900000003</v>
      </c>
      <c r="B349" s="1">
        <f>DATE(2011,5,1) + TIME(4,36,2)</f>
        <v>40664.191689814812</v>
      </c>
      <c r="C349">
        <v>1387.4995117000001</v>
      </c>
      <c r="D349">
        <v>1370.7613524999999</v>
      </c>
      <c r="E349">
        <v>1292.1271973</v>
      </c>
      <c r="F349">
        <v>1273.059082</v>
      </c>
      <c r="G349">
        <v>2400</v>
      </c>
      <c r="H349">
        <v>0</v>
      </c>
      <c r="I349">
        <v>0</v>
      </c>
      <c r="J349">
        <v>2400</v>
      </c>
      <c r="K349">
        <v>80</v>
      </c>
      <c r="L349">
        <v>66.352989196999999</v>
      </c>
      <c r="M349">
        <v>50</v>
      </c>
      <c r="N349">
        <v>49.966754913000003</v>
      </c>
    </row>
    <row r="350" spans="1:14" x14ac:dyDescent="0.25">
      <c r="A350">
        <v>365.22742099999999</v>
      </c>
      <c r="B350" s="1">
        <f>DATE(2011,5,1) + TIME(5,27,29)</f>
        <v>40664.227418981478</v>
      </c>
      <c r="C350">
        <v>1387.3084716999999</v>
      </c>
      <c r="D350">
        <v>1370.6995850000001</v>
      </c>
      <c r="E350">
        <v>1292.1312256000001</v>
      </c>
      <c r="F350">
        <v>1273.0629882999999</v>
      </c>
      <c r="G350">
        <v>2400</v>
      </c>
      <c r="H350">
        <v>0</v>
      </c>
      <c r="I350">
        <v>0</v>
      </c>
      <c r="J350">
        <v>2400</v>
      </c>
      <c r="K350">
        <v>80</v>
      </c>
      <c r="L350">
        <v>66.982353209999999</v>
      </c>
      <c r="M350">
        <v>50</v>
      </c>
      <c r="N350">
        <v>49.964889526</v>
      </c>
    </row>
    <row r="351" spans="1:14" x14ac:dyDescent="0.25">
      <c r="A351">
        <v>365.26442100000003</v>
      </c>
      <c r="B351" s="1">
        <f>DATE(2011,5,1) + TIME(6,20,45)</f>
        <v>40664.264409722222</v>
      </c>
      <c r="C351">
        <v>1387.1186522999999</v>
      </c>
      <c r="D351">
        <v>1370.6348877</v>
      </c>
      <c r="E351">
        <v>1292.1331786999999</v>
      </c>
      <c r="F351">
        <v>1273.0648193</v>
      </c>
      <c r="G351">
        <v>2400</v>
      </c>
      <c r="H351">
        <v>0</v>
      </c>
      <c r="I351">
        <v>0</v>
      </c>
      <c r="J351">
        <v>2400</v>
      </c>
      <c r="K351">
        <v>80</v>
      </c>
      <c r="L351">
        <v>67.603790282999995</v>
      </c>
      <c r="M351">
        <v>50</v>
      </c>
      <c r="N351">
        <v>49.962974547999998</v>
      </c>
    </row>
    <row r="352" spans="1:14" x14ac:dyDescent="0.25">
      <c r="A352">
        <v>365.302796</v>
      </c>
      <c r="B352" s="1">
        <f>DATE(2011,5,1) + TIME(7,16,1)</f>
        <v>40664.302789351852</v>
      </c>
      <c r="C352">
        <v>1386.9329834</v>
      </c>
      <c r="D352">
        <v>1370.5703125</v>
      </c>
      <c r="E352">
        <v>1292.1340332</v>
      </c>
      <c r="F352">
        <v>1273.0654297000001</v>
      </c>
      <c r="G352">
        <v>2400</v>
      </c>
      <c r="H352">
        <v>0</v>
      </c>
      <c r="I352">
        <v>0</v>
      </c>
      <c r="J352">
        <v>2400</v>
      </c>
      <c r="K352">
        <v>80</v>
      </c>
      <c r="L352">
        <v>68.217140197999996</v>
      </c>
      <c r="M352">
        <v>50</v>
      </c>
      <c r="N352">
        <v>49.961013794000003</v>
      </c>
    </row>
    <row r="353" spans="1:14" x14ac:dyDescent="0.25">
      <c r="A353">
        <v>365.34265799999997</v>
      </c>
      <c r="B353" s="1">
        <f>DATE(2011,5,1) + TIME(8,13,25)</f>
        <v>40664.342650462961</v>
      </c>
      <c r="C353">
        <v>1386.7523193</v>
      </c>
      <c r="D353">
        <v>1370.5069579999999</v>
      </c>
      <c r="E353">
        <v>1292.1343993999999</v>
      </c>
      <c r="F353">
        <v>1273.0655518000001</v>
      </c>
      <c r="G353">
        <v>2400</v>
      </c>
      <c r="H353">
        <v>0</v>
      </c>
      <c r="I353">
        <v>0</v>
      </c>
      <c r="J353">
        <v>2400</v>
      </c>
      <c r="K353">
        <v>80</v>
      </c>
      <c r="L353">
        <v>68.822196959999999</v>
      </c>
      <c r="M353">
        <v>50</v>
      </c>
      <c r="N353">
        <v>49.959003447999997</v>
      </c>
    </row>
    <row r="354" spans="1:14" x14ac:dyDescent="0.25">
      <c r="A354">
        <v>365.38413000000003</v>
      </c>
      <c r="B354" s="1">
        <f>DATE(2011,5,1) + TIME(9,13,8)</f>
        <v>40664.384120370371</v>
      </c>
      <c r="C354">
        <v>1386.5767822</v>
      </c>
      <c r="D354">
        <v>1370.4448242000001</v>
      </c>
      <c r="E354">
        <v>1292.1345214999999</v>
      </c>
      <c r="F354">
        <v>1273.0655518000001</v>
      </c>
      <c r="G354">
        <v>2400</v>
      </c>
      <c r="H354">
        <v>0</v>
      </c>
      <c r="I354">
        <v>0</v>
      </c>
      <c r="J354">
        <v>2400</v>
      </c>
      <c r="K354">
        <v>80</v>
      </c>
      <c r="L354">
        <v>69.418739318999997</v>
      </c>
      <c r="M354">
        <v>50</v>
      </c>
      <c r="N354">
        <v>49.956932068</v>
      </c>
    </row>
    <row r="355" spans="1:14" x14ac:dyDescent="0.25">
      <c r="A355">
        <v>365.42734899999999</v>
      </c>
      <c r="B355" s="1">
        <f>DATE(2011,5,1) + TIME(10,15,22)</f>
        <v>40664.427337962959</v>
      </c>
      <c r="C355">
        <v>1386.40625</v>
      </c>
      <c r="D355">
        <v>1370.3842772999999</v>
      </c>
      <c r="E355">
        <v>1292.1345214999999</v>
      </c>
      <c r="F355">
        <v>1273.0653076000001</v>
      </c>
      <c r="G355">
        <v>2400</v>
      </c>
      <c r="H355">
        <v>0</v>
      </c>
      <c r="I355">
        <v>0</v>
      </c>
      <c r="J355">
        <v>2400</v>
      </c>
      <c r="K355">
        <v>80</v>
      </c>
      <c r="L355">
        <v>70.006530761999997</v>
      </c>
      <c r="M355">
        <v>50</v>
      </c>
      <c r="N355">
        <v>49.954799651999998</v>
      </c>
    </row>
    <row r="356" spans="1:14" x14ac:dyDescent="0.25">
      <c r="A356">
        <v>365.47247199999998</v>
      </c>
      <c r="B356" s="1">
        <f>DATE(2011,5,1) + TIME(11,20,21)</f>
        <v>40664.47246527778</v>
      </c>
      <c r="C356">
        <v>1386.2406006000001</v>
      </c>
      <c r="D356">
        <v>1370.3248291</v>
      </c>
      <c r="E356">
        <v>1292.1345214999999</v>
      </c>
      <c r="F356">
        <v>1273.0650635</v>
      </c>
      <c r="G356">
        <v>2400</v>
      </c>
      <c r="H356">
        <v>0</v>
      </c>
      <c r="I356">
        <v>0</v>
      </c>
      <c r="J356">
        <v>2400</v>
      </c>
      <c r="K356">
        <v>80</v>
      </c>
      <c r="L356">
        <v>70.584846497000001</v>
      </c>
      <c r="M356">
        <v>50</v>
      </c>
      <c r="N356">
        <v>49.952602386000002</v>
      </c>
    </row>
    <row r="357" spans="1:14" x14ac:dyDescent="0.25">
      <c r="A357">
        <v>365.519676</v>
      </c>
      <c r="B357" s="1">
        <f>DATE(2011,5,1) + TIME(12,28,19)</f>
        <v>40664.51966435185</v>
      </c>
      <c r="C357">
        <v>1386.0794678</v>
      </c>
      <c r="D357">
        <v>1370.2667236</v>
      </c>
      <c r="E357">
        <v>1292.1343993999999</v>
      </c>
      <c r="F357">
        <v>1273.0648193</v>
      </c>
      <c r="G357">
        <v>2400</v>
      </c>
      <c r="H357">
        <v>0</v>
      </c>
      <c r="I357">
        <v>0</v>
      </c>
      <c r="J357">
        <v>2400</v>
      </c>
      <c r="K357">
        <v>80</v>
      </c>
      <c r="L357">
        <v>71.153800963999998</v>
      </c>
      <c r="M357">
        <v>50</v>
      </c>
      <c r="N357">
        <v>49.950332641999999</v>
      </c>
    </row>
    <row r="358" spans="1:14" x14ac:dyDescent="0.25">
      <c r="A358">
        <v>365.56917499999997</v>
      </c>
      <c r="B358" s="1">
        <f>DATE(2011,5,1) + TIME(13,39,36)</f>
        <v>40664.569166666668</v>
      </c>
      <c r="C358">
        <v>1385.9227295000001</v>
      </c>
      <c r="D358">
        <v>1370.2094727000001</v>
      </c>
      <c r="E358">
        <v>1292.1342772999999</v>
      </c>
      <c r="F358">
        <v>1273.0644531</v>
      </c>
      <c r="G358">
        <v>2400</v>
      </c>
      <c r="H358">
        <v>0</v>
      </c>
      <c r="I358">
        <v>0</v>
      </c>
      <c r="J358">
        <v>2400</v>
      </c>
      <c r="K358">
        <v>80</v>
      </c>
      <c r="L358">
        <v>71.713203429999993</v>
      </c>
      <c r="M358">
        <v>50</v>
      </c>
      <c r="N358">
        <v>49.947982787999997</v>
      </c>
    </row>
    <row r="359" spans="1:14" x14ac:dyDescent="0.25">
      <c r="A359">
        <v>365.62121400000001</v>
      </c>
      <c r="B359" s="1">
        <f>DATE(2011,5,1) + TIME(14,54,32)</f>
        <v>40664.621203703704</v>
      </c>
      <c r="C359">
        <v>1385.7700195</v>
      </c>
      <c r="D359">
        <v>1370.1530762</v>
      </c>
      <c r="E359">
        <v>1292.1341553</v>
      </c>
      <c r="F359">
        <v>1273.0642089999999</v>
      </c>
      <c r="G359">
        <v>2400</v>
      </c>
      <c r="H359">
        <v>0</v>
      </c>
      <c r="I359">
        <v>0</v>
      </c>
      <c r="J359">
        <v>2400</v>
      </c>
      <c r="K359">
        <v>80</v>
      </c>
      <c r="L359">
        <v>72.262741089000002</v>
      </c>
      <c r="M359">
        <v>50</v>
      </c>
      <c r="N359">
        <v>49.945541382000002</v>
      </c>
    </row>
    <row r="360" spans="1:14" x14ac:dyDescent="0.25">
      <c r="A360">
        <v>365.67603800000001</v>
      </c>
      <c r="B360" s="1">
        <f>DATE(2011,5,1) + TIME(16,13,29)</f>
        <v>40664.676030092596</v>
      </c>
      <c r="C360">
        <v>1385.6212158000001</v>
      </c>
      <c r="D360">
        <v>1370.0974120999999</v>
      </c>
      <c r="E360">
        <v>1292.1340332</v>
      </c>
      <c r="F360">
        <v>1273.0637207</v>
      </c>
      <c r="G360">
        <v>2400</v>
      </c>
      <c r="H360">
        <v>0</v>
      </c>
      <c r="I360">
        <v>0</v>
      </c>
      <c r="J360">
        <v>2400</v>
      </c>
      <c r="K360">
        <v>80</v>
      </c>
      <c r="L360">
        <v>72.801773071</v>
      </c>
      <c r="M360">
        <v>50</v>
      </c>
      <c r="N360">
        <v>49.943004608000003</v>
      </c>
    </row>
    <row r="361" spans="1:14" x14ac:dyDescent="0.25">
      <c r="A361">
        <v>365.73396100000002</v>
      </c>
      <c r="B361" s="1">
        <f>DATE(2011,5,1) + TIME(17,36,54)</f>
        <v>40664.733958333331</v>
      </c>
      <c r="C361">
        <v>1385.4759521000001</v>
      </c>
      <c r="D361">
        <v>1370.0422363</v>
      </c>
      <c r="E361">
        <v>1292.1339111</v>
      </c>
      <c r="F361">
        <v>1273.0633545000001</v>
      </c>
      <c r="G361">
        <v>2400</v>
      </c>
      <c r="H361">
        <v>0</v>
      </c>
      <c r="I361">
        <v>0</v>
      </c>
      <c r="J361">
        <v>2400</v>
      </c>
      <c r="K361">
        <v>80</v>
      </c>
      <c r="L361">
        <v>73.329826354999994</v>
      </c>
      <c r="M361">
        <v>50</v>
      </c>
      <c r="N361">
        <v>49.940361023000001</v>
      </c>
    </row>
    <row r="362" spans="1:14" x14ac:dyDescent="0.25">
      <c r="A362">
        <v>365.795345</v>
      </c>
      <c r="B362" s="1">
        <f>DATE(2011,5,1) + TIME(19,5,17)</f>
        <v>40664.795335648145</v>
      </c>
      <c r="C362">
        <v>1385.3342285000001</v>
      </c>
      <c r="D362">
        <v>1369.9873047000001</v>
      </c>
      <c r="E362">
        <v>1292.1336670000001</v>
      </c>
      <c r="F362">
        <v>1273.0628661999999</v>
      </c>
      <c r="G362">
        <v>2400</v>
      </c>
      <c r="H362">
        <v>0</v>
      </c>
      <c r="I362">
        <v>0</v>
      </c>
      <c r="J362">
        <v>2400</v>
      </c>
      <c r="K362">
        <v>80</v>
      </c>
      <c r="L362">
        <v>73.846389771000005</v>
      </c>
      <c r="M362">
        <v>50</v>
      </c>
      <c r="N362">
        <v>49.937595367</v>
      </c>
    </row>
    <row r="363" spans="1:14" x14ac:dyDescent="0.25">
      <c r="A363">
        <v>365.86061799999999</v>
      </c>
      <c r="B363" s="1">
        <f>DATE(2011,5,1) + TIME(20,39,17)</f>
        <v>40664.860613425924</v>
      </c>
      <c r="C363">
        <v>1385.1955565999999</v>
      </c>
      <c r="D363">
        <v>1369.9326172000001</v>
      </c>
      <c r="E363">
        <v>1292.1334228999999</v>
      </c>
      <c r="F363">
        <v>1273.0623779</v>
      </c>
      <c r="G363">
        <v>2400</v>
      </c>
      <c r="H363">
        <v>0</v>
      </c>
      <c r="I363">
        <v>0</v>
      </c>
      <c r="J363">
        <v>2400</v>
      </c>
      <c r="K363">
        <v>80</v>
      </c>
      <c r="L363">
        <v>74.350868224999999</v>
      </c>
      <c r="M363">
        <v>50</v>
      </c>
      <c r="N363">
        <v>49.934696197999997</v>
      </c>
    </row>
    <row r="364" spans="1:14" x14ac:dyDescent="0.25">
      <c r="A364">
        <v>365.93027999999998</v>
      </c>
      <c r="B364" s="1">
        <f>DATE(2011,5,1) + TIME(22,19,36)</f>
        <v>40664.930277777778</v>
      </c>
      <c r="C364">
        <v>1385.0598144999999</v>
      </c>
      <c r="D364">
        <v>1369.8776855000001</v>
      </c>
      <c r="E364">
        <v>1292.1331786999999</v>
      </c>
      <c r="F364">
        <v>1273.0618896000001</v>
      </c>
      <c r="G364">
        <v>2400</v>
      </c>
      <c r="H364">
        <v>0</v>
      </c>
      <c r="I364">
        <v>0</v>
      </c>
      <c r="J364">
        <v>2400</v>
      </c>
      <c r="K364">
        <v>80</v>
      </c>
      <c r="L364">
        <v>74.842544556000007</v>
      </c>
      <c r="M364">
        <v>50</v>
      </c>
      <c r="N364">
        <v>49.931648254000002</v>
      </c>
    </row>
    <row r="365" spans="1:14" x14ac:dyDescent="0.25">
      <c r="A365">
        <v>366.00495999999998</v>
      </c>
      <c r="B365" s="1">
        <f>DATE(2011,5,2) + TIME(0,7,8)</f>
        <v>40665.004953703705</v>
      </c>
      <c r="C365">
        <v>1384.9266356999999</v>
      </c>
      <c r="D365">
        <v>1369.8223877</v>
      </c>
      <c r="E365">
        <v>1292.1329346</v>
      </c>
      <c r="F365">
        <v>1273.0612793</v>
      </c>
      <c r="G365">
        <v>2400</v>
      </c>
      <c r="H365">
        <v>0</v>
      </c>
      <c r="I365">
        <v>0</v>
      </c>
      <c r="J365">
        <v>2400</v>
      </c>
      <c r="K365">
        <v>80</v>
      </c>
      <c r="L365">
        <v>75.320541382000002</v>
      </c>
      <c r="M365">
        <v>50</v>
      </c>
      <c r="N365">
        <v>49.928428650000001</v>
      </c>
    </row>
    <row r="366" spans="1:14" x14ac:dyDescent="0.25">
      <c r="A366">
        <v>366.08540699999998</v>
      </c>
      <c r="B366" s="1">
        <f>DATE(2011,5,2) + TIME(2,2,59)</f>
        <v>40665.085405092592</v>
      </c>
      <c r="C366">
        <v>1384.7956543</v>
      </c>
      <c r="D366">
        <v>1369.7664795000001</v>
      </c>
      <c r="E366">
        <v>1292.1325684000001</v>
      </c>
      <c r="F366">
        <v>1273.0606689000001</v>
      </c>
      <c r="G366">
        <v>2400</v>
      </c>
      <c r="H366">
        <v>0</v>
      </c>
      <c r="I366">
        <v>0</v>
      </c>
      <c r="J366">
        <v>2400</v>
      </c>
      <c r="K366">
        <v>80</v>
      </c>
      <c r="L366">
        <v>75.784187317000004</v>
      </c>
      <c r="M366">
        <v>50</v>
      </c>
      <c r="N366">
        <v>49.925010681000003</v>
      </c>
    </row>
    <row r="367" spans="1:14" x14ac:dyDescent="0.25">
      <c r="A367">
        <v>366.17254800000001</v>
      </c>
      <c r="B367" s="1">
        <f>DATE(2011,5,2) + TIME(4,8,28)</f>
        <v>40665.172546296293</v>
      </c>
      <c r="C367">
        <v>1384.666626</v>
      </c>
      <c r="D367">
        <v>1369.7095947</v>
      </c>
      <c r="E367">
        <v>1292.1322021000001</v>
      </c>
      <c r="F367">
        <v>1273.0600586</v>
      </c>
      <c r="G367">
        <v>2400</v>
      </c>
      <c r="H367">
        <v>0</v>
      </c>
      <c r="I367">
        <v>0</v>
      </c>
      <c r="J367">
        <v>2400</v>
      </c>
      <c r="K367">
        <v>80</v>
      </c>
      <c r="L367">
        <v>76.232696532999995</v>
      </c>
      <c r="M367">
        <v>50</v>
      </c>
      <c r="N367">
        <v>49.921367644999997</v>
      </c>
    </row>
    <row r="368" spans="1:14" x14ac:dyDescent="0.25">
      <c r="A368">
        <v>366.26754399999999</v>
      </c>
      <c r="B368" s="1">
        <f>DATE(2011,5,2) + TIME(6,25,15)</f>
        <v>40665.267534722225</v>
      </c>
      <c r="C368">
        <v>1384.5391846</v>
      </c>
      <c r="D368">
        <v>1369.6513672000001</v>
      </c>
      <c r="E368">
        <v>1292.1318358999999</v>
      </c>
      <c r="F368">
        <v>1273.0593262</v>
      </c>
      <c r="G368">
        <v>2400</v>
      </c>
      <c r="H368">
        <v>0</v>
      </c>
      <c r="I368">
        <v>0</v>
      </c>
      <c r="J368">
        <v>2400</v>
      </c>
      <c r="K368">
        <v>80</v>
      </c>
      <c r="L368">
        <v>76.665069579999994</v>
      </c>
      <c r="M368">
        <v>50</v>
      </c>
      <c r="N368">
        <v>49.917465210000003</v>
      </c>
    </row>
    <row r="369" spans="1:14" x14ac:dyDescent="0.25">
      <c r="A369">
        <v>366.37193300000001</v>
      </c>
      <c r="B369" s="1">
        <f>DATE(2011,5,2) + TIME(8,55,34)</f>
        <v>40665.371921296297</v>
      </c>
      <c r="C369">
        <v>1384.4127197</v>
      </c>
      <c r="D369">
        <v>1369.5914307</v>
      </c>
      <c r="E369">
        <v>1292.1313477000001</v>
      </c>
      <c r="F369">
        <v>1273.0585937999999</v>
      </c>
      <c r="G369">
        <v>2400</v>
      </c>
      <c r="H369">
        <v>0</v>
      </c>
      <c r="I369">
        <v>0</v>
      </c>
      <c r="J369">
        <v>2400</v>
      </c>
      <c r="K369">
        <v>80</v>
      </c>
      <c r="L369">
        <v>77.080368042000003</v>
      </c>
      <c r="M369">
        <v>50</v>
      </c>
      <c r="N369">
        <v>49.913249968999999</v>
      </c>
    </row>
    <row r="370" spans="1:14" x14ac:dyDescent="0.25">
      <c r="A370">
        <v>366.48761999999999</v>
      </c>
      <c r="B370" s="1">
        <f>DATE(2011,5,2) + TIME(11,42,10)</f>
        <v>40665.487615740742</v>
      </c>
      <c r="C370">
        <v>1384.2868652</v>
      </c>
      <c r="D370">
        <v>1369.5292969</v>
      </c>
      <c r="E370">
        <v>1292.1308594</v>
      </c>
      <c r="F370">
        <v>1273.0577393000001</v>
      </c>
      <c r="G370">
        <v>2400</v>
      </c>
      <c r="H370">
        <v>0</v>
      </c>
      <c r="I370">
        <v>0</v>
      </c>
      <c r="J370">
        <v>2400</v>
      </c>
      <c r="K370">
        <v>80</v>
      </c>
      <c r="L370">
        <v>77.477165221999996</v>
      </c>
      <c r="M370">
        <v>50</v>
      </c>
      <c r="N370">
        <v>49.908668517999999</v>
      </c>
    </row>
    <row r="371" spans="1:14" x14ac:dyDescent="0.25">
      <c r="A371">
        <v>366.61715299999997</v>
      </c>
      <c r="B371" s="1">
        <f>DATE(2011,5,2) + TIME(14,48,41)</f>
        <v>40665.6171412037</v>
      </c>
      <c r="C371">
        <v>1384.1610106999999</v>
      </c>
      <c r="D371">
        <v>1369.4642334</v>
      </c>
      <c r="E371">
        <v>1292.1303711</v>
      </c>
      <c r="F371">
        <v>1273.0567627</v>
      </c>
      <c r="G371">
        <v>2400</v>
      </c>
      <c r="H371">
        <v>0</v>
      </c>
      <c r="I371">
        <v>0</v>
      </c>
      <c r="J371">
        <v>2400</v>
      </c>
      <c r="K371">
        <v>80</v>
      </c>
      <c r="L371">
        <v>77.853904724000003</v>
      </c>
      <c r="M371">
        <v>50</v>
      </c>
      <c r="N371">
        <v>49.903636931999998</v>
      </c>
    </row>
    <row r="372" spans="1:14" x14ac:dyDescent="0.25">
      <c r="A372">
        <v>366.75628</v>
      </c>
      <c r="B372" s="1">
        <f>DATE(2011,5,2) + TIME(18,9,2)</f>
        <v>40665.756273148145</v>
      </c>
      <c r="C372">
        <v>1384.0406493999999</v>
      </c>
      <c r="D372">
        <v>1369.3983154</v>
      </c>
      <c r="E372">
        <v>1292.1297606999999</v>
      </c>
      <c r="F372">
        <v>1273.0556641000001</v>
      </c>
      <c r="G372">
        <v>2400</v>
      </c>
      <c r="H372">
        <v>0</v>
      </c>
      <c r="I372">
        <v>0</v>
      </c>
      <c r="J372">
        <v>2400</v>
      </c>
      <c r="K372">
        <v>80</v>
      </c>
      <c r="L372">
        <v>78.193145752000007</v>
      </c>
      <c r="M372">
        <v>50</v>
      </c>
      <c r="N372">
        <v>49.898311614999997</v>
      </c>
    </row>
    <row r="373" spans="1:14" x14ac:dyDescent="0.25">
      <c r="A373">
        <v>366.896165</v>
      </c>
      <c r="B373" s="1">
        <f>DATE(2011,5,2) + TIME(21,30,28)</f>
        <v>40665.896157407406</v>
      </c>
      <c r="C373">
        <v>1383.9309082</v>
      </c>
      <c r="D373">
        <v>1369.3344727000001</v>
      </c>
      <c r="E373">
        <v>1292.1290283000001</v>
      </c>
      <c r="F373">
        <v>1273.0545654</v>
      </c>
      <c r="G373">
        <v>2400</v>
      </c>
      <c r="H373">
        <v>0</v>
      </c>
      <c r="I373">
        <v>0</v>
      </c>
      <c r="J373">
        <v>2400</v>
      </c>
      <c r="K373">
        <v>80</v>
      </c>
      <c r="L373">
        <v>78.478828429999993</v>
      </c>
      <c r="M373">
        <v>50</v>
      </c>
      <c r="N373">
        <v>49.892978667999998</v>
      </c>
    </row>
    <row r="374" spans="1:14" x14ac:dyDescent="0.25">
      <c r="A374">
        <v>367.03805399999999</v>
      </c>
      <c r="B374" s="1">
        <f>DATE(2011,5,3) + TIME(0,54,47)</f>
        <v>40666.038043981483</v>
      </c>
      <c r="C374">
        <v>1383.8293457</v>
      </c>
      <c r="D374">
        <v>1369.2728271000001</v>
      </c>
      <c r="E374">
        <v>1292.1282959</v>
      </c>
      <c r="F374">
        <v>1273.0534668</v>
      </c>
      <c r="G374">
        <v>2400</v>
      </c>
      <c r="H374">
        <v>0</v>
      </c>
      <c r="I374">
        <v>0</v>
      </c>
      <c r="J374">
        <v>2400</v>
      </c>
      <c r="K374">
        <v>80</v>
      </c>
      <c r="L374">
        <v>78.720932007000002</v>
      </c>
      <c r="M374">
        <v>50</v>
      </c>
      <c r="N374">
        <v>49.887596129999999</v>
      </c>
    </row>
    <row r="375" spans="1:14" x14ac:dyDescent="0.25">
      <c r="A375">
        <v>367.18257899999998</v>
      </c>
      <c r="B375" s="1">
        <f>DATE(2011,5,3) + TIME(4,22,54)</f>
        <v>40666.182569444441</v>
      </c>
      <c r="C375">
        <v>1383.7342529</v>
      </c>
      <c r="D375">
        <v>1369.2127685999999</v>
      </c>
      <c r="E375">
        <v>1292.1275635</v>
      </c>
      <c r="F375">
        <v>1273.0523682</v>
      </c>
      <c r="G375">
        <v>2400</v>
      </c>
      <c r="H375">
        <v>0</v>
      </c>
      <c r="I375">
        <v>0</v>
      </c>
      <c r="J375">
        <v>2400</v>
      </c>
      <c r="K375">
        <v>80</v>
      </c>
      <c r="L375">
        <v>78.926322936999995</v>
      </c>
      <c r="M375">
        <v>50</v>
      </c>
      <c r="N375">
        <v>49.882148743000002</v>
      </c>
    </row>
    <row r="376" spans="1:14" x14ac:dyDescent="0.25">
      <c r="A376">
        <v>367.33039500000001</v>
      </c>
      <c r="B376" s="1">
        <f>DATE(2011,5,3) + TIME(7,55,46)</f>
        <v>40666.330393518518</v>
      </c>
      <c r="C376">
        <v>1383.6446533000001</v>
      </c>
      <c r="D376">
        <v>1369.1540527</v>
      </c>
      <c r="E376">
        <v>1292.1268310999999</v>
      </c>
      <c r="F376">
        <v>1273.0512695</v>
      </c>
      <c r="G376">
        <v>2400</v>
      </c>
      <c r="H376">
        <v>0</v>
      </c>
      <c r="I376">
        <v>0</v>
      </c>
      <c r="J376">
        <v>2400</v>
      </c>
      <c r="K376">
        <v>80</v>
      </c>
      <c r="L376">
        <v>79.100624084000003</v>
      </c>
      <c r="M376">
        <v>50</v>
      </c>
      <c r="N376">
        <v>49.876613616999997</v>
      </c>
    </row>
    <row r="377" spans="1:14" x14ac:dyDescent="0.25">
      <c r="A377">
        <v>367.482169</v>
      </c>
      <c r="B377" s="1">
        <f>DATE(2011,5,3) + TIME(11,34,19)</f>
        <v>40666.482164351852</v>
      </c>
      <c r="C377">
        <v>1383.5596923999999</v>
      </c>
      <c r="D377">
        <v>1369.0965576000001</v>
      </c>
      <c r="E377">
        <v>1292.1259766000001</v>
      </c>
      <c r="F377">
        <v>1273.0500488</v>
      </c>
      <c r="G377">
        <v>2400</v>
      </c>
      <c r="H377">
        <v>0</v>
      </c>
      <c r="I377">
        <v>0</v>
      </c>
      <c r="J377">
        <v>2400</v>
      </c>
      <c r="K377">
        <v>80</v>
      </c>
      <c r="L377">
        <v>79.248443604000002</v>
      </c>
      <c r="M377">
        <v>50</v>
      </c>
      <c r="N377">
        <v>49.870971679999997</v>
      </c>
    </row>
    <row r="378" spans="1:14" x14ac:dyDescent="0.25">
      <c r="A378">
        <v>367.63870900000001</v>
      </c>
      <c r="B378" s="1">
        <f>DATE(2011,5,3) + TIME(15,19,44)</f>
        <v>40666.638703703706</v>
      </c>
      <c r="C378">
        <v>1383.4783935999999</v>
      </c>
      <c r="D378">
        <v>1369.0397949000001</v>
      </c>
      <c r="E378">
        <v>1292.1251221</v>
      </c>
      <c r="F378">
        <v>1273.0488281</v>
      </c>
      <c r="G378">
        <v>2400</v>
      </c>
      <c r="H378">
        <v>0</v>
      </c>
      <c r="I378">
        <v>0</v>
      </c>
      <c r="J378">
        <v>2400</v>
      </c>
      <c r="K378">
        <v>80</v>
      </c>
      <c r="L378">
        <v>79.373710631999998</v>
      </c>
      <c r="M378">
        <v>50</v>
      </c>
      <c r="N378">
        <v>49.865192413000003</v>
      </c>
    </row>
    <row r="379" spans="1:14" x14ac:dyDescent="0.25">
      <c r="A379">
        <v>367.80067100000002</v>
      </c>
      <c r="B379" s="1">
        <f>DATE(2011,5,3) + TIME(19,12,58)</f>
        <v>40666.800671296296</v>
      </c>
      <c r="C379">
        <v>1383.4001464999999</v>
      </c>
      <c r="D379">
        <v>1368.9836425999999</v>
      </c>
      <c r="E379">
        <v>1292.1242675999999</v>
      </c>
      <c r="F379">
        <v>1273.0476074000001</v>
      </c>
      <c r="G379">
        <v>2400</v>
      </c>
      <c r="H379">
        <v>0</v>
      </c>
      <c r="I379">
        <v>0</v>
      </c>
      <c r="J379">
        <v>2400</v>
      </c>
      <c r="K379">
        <v>80</v>
      </c>
      <c r="L379">
        <v>79.479553222999996</v>
      </c>
      <c r="M379">
        <v>50</v>
      </c>
      <c r="N379">
        <v>49.859256744</v>
      </c>
    </row>
    <row r="380" spans="1:14" x14ac:dyDescent="0.25">
      <c r="A380">
        <v>367.96889299999998</v>
      </c>
      <c r="B380" s="1">
        <f>DATE(2011,5,3) + TIME(23,15,12)</f>
        <v>40666.968888888892</v>
      </c>
      <c r="C380">
        <v>1383.3244629000001</v>
      </c>
      <c r="D380">
        <v>1368.9279785000001</v>
      </c>
      <c r="E380">
        <v>1292.1234131000001</v>
      </c>
      <c r="F380">
        <v>1273.0462646000001</v>
      </c>
      <c r="G380">
        <v>2400</v>
      </c>
      <c r="H380">
        <v>0</v>
      </c>
      <c r="I380">
        <v>0</v>
      </c>
      <c r="J380">
        <v>2400</v>
      </c>
      <c r="K380">
        <v>80</v>
      </c>
      <c r="L380">
        <v>79.568725585999999</v>
      </c>
      <c r="M380">
        <v>50</v>
      </c>
      <c r="N380">
        <v>49.853145599000001</v>
      </c>
    </row>
    <row r="381" spans="1:14" x14ac:dyDescent="0.25">
      <c r="A381">
        <v>368.14430800000002</v>
      </c>
      <c r="B381" s="1">
        <f>DATE(2011,5,4) + TIME(3,27,48)</f>
        <v>40667.144305555557</v>
      </c>
      <c r="C381">
        <v>1383.2507324000001</v>
      </c>
      <c r="D381">
        <v>1368.8725586</v>
      </c>
      <c r="E381">
        <v>1292.1225586</v>
      </c>
      <c r="F381">
        <v>1273.0449219</v>
      </c>
      <c r="G381">
        <v>2400</v>
      </c>
      <c r="H381">
        <v>0</v>
      </c>
      <c r="I381">
        <v>0</v>
      </c>
      <c r="J381">
        <v>2400</v>
      </c>
      <c r="K381">
        <v>80</v>
      </c>
      <c r="L381">
        <v>79.643577575999998</v>
      </c>
      <c r="M381">
        <v>50</v>
      </c>
      <c r="N381">
        <v>49.846824646000002</v>
      </c>
    </row>
    <row r="382" spans="1:14" x14ac:dyDescent="0.25">
      <c r="A382">
        <v>368.32798000000003</v>
      </c>
      <c r="B382" s="1">
        <f>DATE(2011,5,4) + TIME(7,52,17)</f>
        <v>40667.327974537038</v>
      </c>
      <c r="C382">
        <v>1383.1784668</v>
      </c>
      <c r="D382">
        <v>1368.8171387</v>
      </c>
      <c r="E382">
        <v>1292.121582</v>
      </c>
      <c r="F382">
        <v>1273.043457</v>
      </c>
      <c r="G382">
        <v>2400</v>
      </c>
      <c r="H382">
        <v>0</v>
      </c>
      <c r="I382">
        <v>0</v>
      </c>
      <c r="J382">
        <v>2400</v>
      </c>
      <c r="K382">
        <v>80</v>
      </c>
      <c r="L382">
        <v>79.706108092999997</v>
      </c>
      <c r="M382">
        <v>50</v>
      </c>
      <c r="N382">
        <v>49.840259551999999</v>
      </c>
    </row>
    <row r="383" spans="1:14" x14ac:dyDescent="0.25">
      <c r="A383">
        <v>368.52110800000003</v>
      </c>
      <c r="B383" s="1">
        <f>DATE(2011,5,4) + TIME(12,30,23)</f>
        <v>40667.521099537036</v>
      </c>
      <c r="C383">
        <v>1383.1071777</v>
      </c>
      <c r="D383">
        <v>1368.7614745999999</v>
      </c>
      <c r="E383">
        <v>1292.1206055</v>
      </c>
      <c r="F383">
        <v>1273.0419922000001</v>
      </c>
      <c r="G383">
        <v>2400</v>
      </c>
      <c r="H383">
        <v>0</v>
      </c>
      <c r="I383">
        <v>0</v>
      </c>
      <c r="J383">
        <v>2400</v>
      </c>
      <c r="K383">
        <v>80</v>
      </c>
      <c r="L383">
        <v>79.758064270000006</v>
      </c>
      <c r="M383">
        <v>50</v>
      </c>
      <c r="N383">
        <v>49.833423615000001</v>
      </c>
    </row>
    <row r="384" spans="1:14" x14ac:dyDescent="0.25">
      <c r="A384">
        <v>368.72516300000001</v>
      </c>
      <c r="B384" s="1">
        <f>DATE(2011,5,4) + TIME(17,24,14)</f>
        <v>40667.725162037037</v>
      </c>
      <c r="C384">
        <v>1383.036499</v>
      </c>
      <c r="D384">
        <v>1368.7054443</v>
      </c>
      <c r="E384">
        <v>1292.1195068</v>
      </c>
      <c r="F384">
        <v>1273.0404053</v>
      </c>
      <c r="G384">
        <v>2400</v>
      </c>
      <c r="H384">
        <v>0</v>
      </c>
      <c r="I384">
        <v>0</v>
      </c>
      <c r="J384">
        <v>2400</v>
      </c>
      <c r="K384">
        <v>80</v>
      </c>
      <c r="L384">
        <v>79.800956725999995</v>
      </c>
      <c r="M384">
        <v>50</v>
      </c>
      <c r="N384">
        <v>49.826271057</v>
      </c>
    </row>
    <row r="385" spans="1:14" x14ac:dyDescent="0.25">
      <c r="A385">
        <v>368.94188000000003</v>
      </c>
      <c r="B385" s="1">
        <f>DATE(2011,5,4) + TIME(22,36,18)</f>
        <v>40667.941874999997</v>
      </c>
      <c r="C385">
        <v>1382.9660644999999</v>
      </c>
      <c r="D385">
        <v>1368.6489257999999</v>
      </c>
      <c r="E385">
        <v>1292.1182861</v>
      </c>
      <c r="F385">
        <v>1273.0388184000001</v>
      </c>
      <c r="G385">
        <v>2400</v>
      </c>
      <c r="H385">
        <v>0</v>
      </c>
      <c r="I385">
        <v>0</v>
      </c>
      <c r="J385">
        <v>2400</v>
      </c>
      <c r="K385">
        <v>80</v>
      </c>
      <c r="L385">
        <v>79.836112975999995</v>
      </c>
      <c r="M385">
        <v>50</v>
      </c>
      <c r="N385">
        <v>49.818748474000003</v>
      </c>
    </row>
    <row r="386" spans="1:14" x14ac:dyDescent="0.25">
      <c r="A386">
        <v>369.17335000000003</v>
      </c>
      <c r="B386" s="1">
        <f>DATE(2011,5,5) + TIME(4,9,37)</f>
        <v>40668.173344907409</v>
      </c>
      <c r="C386">
        <v>1382.8953856999999</v>
      </c>
      <c r="D386">
        <v>1368.5914307</v>
      </c>
      <c r="E386">
        <v>1292.1170654</v>
      </c>
      <c r="F386">
        <v>1273.0371094</v>
      </c>
      <c r="G386">
        <v>2400</v>
      </c>
      <c r="H386">
        <v>0</v>
      </c>
      <c r="I386">
        <v>0</v>
      </c>
      <c r="J386">
        <v>2400</v>
      </c>
      <c r="K386">
        <v>80</v>
      </c>
      <c r="L386">
        <v>79.864677428999997</v>
      </c>
      <c r="M386">
        <v>50</v>
      </c>
      <c r="N386">
        <v>49.810802459999998</v>
      </c>
    </row>
    <row r="387" spans="1:14" x14ac:dyDescent="0.25">
      <c r="A387">
        <v>369.41922599999998</v>
      </c>
      <c r="B387" s="1">
        <f>DATE(2011,5,5) + TIME(10,3,41)</f>
        <v>40668.419224537036</v>
      </c>
      <c r="C387">
        <v>1382.8239745999999</v>
      </c>
      <c r="D387">
        <v>1368.5329589999999</v>
      </c>
      <c r="E387">
        <v>1292.1158447</v>
      </c>
      <c r="F387">
        <v>1273.0351562000001</v>
      </c>
      <c r="G387">
        <v>2400</v>
      </c>
      <c r="H387">
        <v>0</v>
      </c>
      <c r="I387">
        <v>0</v>
      </c>
      <c r="J387">
        <v>2400</v>
      </c>
      <c r="K387">
        <v>80</v>
      </c>
      <c r="L387">
        <v>79.887451171999999</v>
      </c>
      <c r="M387">
        <v>50</v>
      </c>
      <c r="N387">
        <v>49.802436829000001</v>
      </c>
    </row>
    <row r="388" spans="1:14" x14ac:dyDescent="0.25">
      <c r="A388">
        <v>369.68112300000001</v>
      </c>
      <c r="B388" s="1">
        <f>DATE(2011,5,5) + TIME(16,20,49)</f>
        <v>40668.681122685186</v>
      </c>
      <c r="C388">
        <v>1382.7521973</v>
      </c>
      <c r="D388">
        <v>1368.4736327999999</v>
      </c>
      <c r="E388">
        <v>1292.1143798999999</v>
      </c>
      <c r="F388">
        <v>1273.0332031</v>
      </c>
      <c r="G388">
        <v>2400</v>
      </c>
      <c r="H388">
        <v>0</v>
      </c>
      <c r="I388">
        <v>0</v>
      </c>
      <c r="J388">
        <v>2400</v>
      </c>
      <c r="K388">
        <v>80</v>
      </c>
      <c r="L388">
        <v>79.905410767000006</v>
      </c>
      <c r="M388">
        <v>50</v>
      </c>
      <c r="N388">
        <v>49.793605804000002</v>
      </c>
    </row>
    <row r="389" spans="1:14" x14ac:dyDescent="0.25">
      <c r="A389">
        <v>369.96172799999999</v>
      </c>
      <c r="B389" s="1">
        <f>DATE(2011,5,5) + TIME(23,4,53)</f>
        <v>40668.961724537039</v>
      </c>
      <c r="C389">
        <v>1382.6796875</v>
      </c>
      <c r="D389">
        <v>1368.4134521000001</v>
      </c>
      <c r="E389">
        <v>1292.1129149999999</v>
      </c>
      <c r="F389">
        <v>1273.0310059000001</v>
      </c>
      <c r="G389">
        <v>2400</v>
      </c>
      <c r="H389">
        <v>0</v>
      </c>
      <c r="I389">
        <v>0</v>
      </c>
      <c r="J389">
        <v>2400</v>
      </c>
      <c r="K389">
        <v>80</v>
      </c>
      <c r="L389">
        <v>79.919418335000003</v>
      </c>
      <c r="M389">
        <v>50</v>
      </c>
      <c r="N389">
        <v>49.784240723000003</v>
      </c>
    </row>
    <row r="390" spans="1:14" x14ac:dyDescent="0.25">
      <c r="A390">
        <v>370.25439299999999</v>
      </c>
      <c r="B390" s="1">
        <f>DATE(2011,5,6) + TIME(6,6,19)</f>
        <v>40669.254386574074</v>
      </c>
      <c r="C390">
        <v>1382.6060791</v>
      </c>
      <c r="D390">
        <v>1368.3520507999999</v>
      </c>
      <c r="E390">
        <v>1292.1113281</v>
      </c>
      <c r="F390">
        <v>1273.0288086</v>
      </c>
      <c r="G390">
        <v>2400</v>
      </c>
      <c r="H390">
        <v>0</v>
      </c>
      <c r="I390">
        <v>0</v>
      </c>
      <c r="J390">
        <v>2400</v>
      </c>
      <c r="K390">
        <v>80</v>
      </c>
      <c r="L390">
        <v>79.929977417000003</v>
      </c>
      <c r="M390">
        <v>50</v>
      </c>
      <c r="N390">
        <v>49.774494171000001</v>
      </c>
    </row>
    <row r="391" spans="1:14" x14ac:dyDescent="0.25">
      <c r="A391">
        <v>370.54837800000001</v>
      </c>
      <c r="B391" s="1">
        <f>DATE(2011,5,6) + TIME(13,9,39)</f>
        <v>40669.548368055555</v>
      </c>
      <c r="C391">
        <v>1382.5333252</v>
      </c>
      <c r="D391">
        <v>1368.2911377</v>
      </c>
      <c r="E391">
        <v>1292.1094971</v>
      </c>
      <c r="F391">
        <v>1273.0263672000001</v>
      </c>
      <c r="G391">
        <v>2400</v>
      </c>
      <c r="H391">
        <v>0</v>
      </c>
      <c r="I391">
        <v>0</v>
      </c>
      <c r="J391">
        <v>2400</v>
      </c>
      <c r="K391">
        <v>80</v>
      </c>
      <c r="L391">
        <v>79.937644958000007</v>
      </c>
      <c r="M391">
        <v>50</v>
      </c>
      <c r="N391">
        <v>49.764644623000002</v>
      </c>
    </row>
    <row r="392" spans="1:14" x14ac:dyDescent="0.25">
      <c r="A392">
        <v>370.84538300000003</v>
      </c>
      <c r="B392" s="1">
        <f>DATE(2011,5,6) + TIME(20,17,21)</f>
        <v>40669.845381944448</v>
      </c>
      <c r="C392">
        <v>1382.4636230000001</v>
      </c>
      <c r="D392">
        <v>1368.2327881000001</v>
      </c>
      <c r="E392">
        <v>1292.1077881000001</v>
      </c>
      <c r="F392">
        <v>1273.0240478999999</v>
      </c>
      <c r="G392">
        <v>2400</v>
      </c>
      <c r="H392">
        <v>0</v>
      </c>
      <c r="I392">
        <v>0</v>
      </c>
      <c r="J392">
        <v>2400</v>
      </c>
      <c r="K392">
        <v>80</v>
      </c>
      <c r="L392">
        <v>79.943267821999996</v>
      </c>
      <c r="M392">
        <v>50</v>
      </c>
      <c r="N392">
        <v>49.754676818999997</v>
      </c>
    </row>
    <row r="393" spans="1:14" x14ac:dyDescent="0.25">
      <c r="A393">
        <v>371.14705500000002</v>
      </c>
      <c r="B393" s="1">
        <f>DATE(2011,5,7) + TIME(3,31,45)</f>
        <v>40670.147048611114</v>
      </c>
      <c r="C393">
        <v>1382.3963623</v>
      </c>
      <c r="D393">
        <v>1368.1765137</v>
      </c>
      <c r="E393">
        <v>1292.1060791</v>
      </c>
      <c r="F393">
        <v>1273.0216064000001</v>
      </c>
      <c r="G393">
        <v>2400</v>
      </c>
      <c r="H393">
        <v>0</v>
      </c>
      <c r="I393">
        <v>0</v>
      </c>
      <c r="J393">
        <v>2400</v>
      </c>
      <c r="K393">
        <v>80</v>
      </c>
      <c r="L393">
        <v>79.947402953999998</v>
      </c>
      <c r="M393">
        <v>50</v>
      </c>
      <c r="N393">
        <v>49.744564056000002</v>
      </c>
    </row>
    <row r="394" spans="1:14" x14ac:dyDescent="0.25">
      <c r="A394">
        <v>371.45505500000002</v>
      </c>
      <c r="B394" s="1">
        <f>DATE(2011,5,7) + TIME(10,55,16)</f>
        <v>40670.455046296294</v>
      </c>
      <c r="C394">
        <v>1382.3310547000001</v>
      </c>
      <c r="D394">
        <v>1368.1219481999999</v>
      </c>
      <c r="E394">
        <v>1292.1042480000001</v>
      </c>
      <c r="F394">
        <v>1273.0191649999999</v>
      </c>
      <c r="G394">
        <v>2400</v>
      </c>
      <c r="H394">
        <v>0</v>
      </c>
      <c r="I394">
        <v>0</v>
      </c>
      <c r="J394">
        <v>2400</v>
      </c>
      <c r="K394">
        <v>80</v>
      </c>
      <c r="L394">
        <v>79.950462341000005</v>
      </c>
      <c r="M394">
        <v>50</v>
      </c>
      <c r="N394">
        <v>49.734287262000002</v>
      </c>
    </row>
    <row r="395" spans="1:14" x14ac:dyDescent="0.25">
      <c r="A395">
        <v>371.77080899999999</v>
      </c>
      <c r="B395" s="1">
        <f>DATE(2011,5,7) + TIME(18,29,57)</f>
        <v>40670.770798611113</v>
      </c>
      <c r="C395">
        <v>1382.2672118999999</v>
      </c>
      <c r="D395">
        <v>1368.0684814000001</v>
      </c>
      <c r="E395">
        <v>1292.1025391000001</v>
      </c>
      <c r="F395">
        <v>1273.0166016000001</v>
      </c>
      <c r="G395">
        <v>2400</v>
      </c>
      <c r="H395">
        <v>0</v>
      </c>
      <c r="I395">
        <v>0</v>
      </c>
      <c r="J395">
        <v>2400</v>
      </c>
      <c r="K395">
        <v>80</v>
      </c>
      <c r="L395">
        <v>79.952743530000006</v>
      </c>
      <c r="M395">
        <v>50</v>
      </c>
      <c r="N395">
        <v>49.723804473999998</v>
      </c>
    </row>
    <row r="396" spans="1:14" x14ac:dyDescent="0.25">
      <c r="A396">
        <v>372.09596499999998</v>
      </c>
      <c r="B396" s="1">
        <f>DATE(2011,5,8) + TIME(2,18,11)</f>
        <v>40671.095960648148</v>
      </c>
      <c r="C396">
        <v>1382.2043457</v>
      </c>
      <c r="D396">
        <v>1368.0159911999999</v>
      </c>
      <c r="E396">
        <v>1292.1005858999999</v>
      </c>
      <c r="F396">
        <v>1273.0140381000001</v>
      </c>
      <c r="G396">
        <v>2400</v>
      </c>
      <c r="H396">
        <v>0</v>
      </c>
      <c r="I396">
        <v>0</v>
      </c>
      <c r="J396">
        <v>2400</v>
      </c>
      <c r="K396">
        <v>80</v>
      </c>
      <c r="L396">
        <v>79.954444885000001</v>
      </c>
      <c r="M396">
        <v>50</v>
      </c>
      <c r="N396">
        <v>49.713088988999999</v>
      </c>
    </row>
    <row r="397" spans="1:14" x14ac:dyDescent="0.25">
      <c r="A397">
        <v>372.43231200000002</v>
      </c>
      <c r="B397" s="1">
        <f>DATE(2011,5,8) + TIME(10,22,31)</f>
        <v>40671.432303240741</v>
      </c>
      <c r="C397">
        <v>1382.1422118999999</v>
      </c>
      <c r="D397">
        <v>1367.9642334</v>
      </c>
      <c r="E397">
        <v>1292.0987548999999</v>
      </c>
      <c r="F397">
        <v>1273.0113524999999</v>
      </c>
      <c r="G397">
        <v>2400</v>
      </c>
      <c r="H397">
        <v>0</v>
      </c>
      <c r="I397">
        <v>0</v>
      </c>
      <c r="J397">
        <v>2400</v>
      </c>
      <c r="K397">
        <v>80</v>
      </c>
      <c r="L397">
        <v>79.955718993999994</v>
      </c>
      <c r="M397">
        <v>50</v>
      </c>
      <c r="N397">
        <v>49.702087401999997</v>
      </c>
    </row>
    <row r="398" spans="1:14" x14ac:dyDescent="0.25">
      <c r="A398">
        <v>372.78183200000001</v>
      </c>
      <c r="B398" s="1">
        <f>DATE(2011,5,8) + TIME(18,45,50)</f>
        <v>40671.781828703701</v>
      </c>
      <c r="C398">
        <v>1382.0804443</v>
      </c>
      <c r="D398">
        <v>1367.9127197</v>
      </c>
      <c r="E398">
        <v>1292.0966797000001</v>
      </c>
      <c r="F398">
        <v>1273.0086670000001</v>
      </c>
      <c r="G398">
        <v>2400</v>
      </c>
      <c r="H398">
        <v>0</v>
      </c>
      <c r="I398">
        <v>0</v>
      </c>
      <c r="J398">
        <v>2400</v>
      </c>
      <c r="K398">
        <v>80</v>
      </c>
      <c r="L398">
        <v>79.956672667999996</v>
      </c>
      <c r="M398">
        <v>50</v>
      </c>
      <c r="N398">
        <v>49.690753936999997</v>
      </c>
    </row>
    <row r="399" spans="1:14" x14ac:dyDescent="0.25">
      <c r="A399">
        <v>373.14673499999998</v>
      </c>
      <c r="B399" s="1">
        <f>DATE(2011,5,9) + TIME(3,31,17)</f>
        <v>40672.146724537037</v>
      </c>
      <c r="C399">
        <v>1382.0187988</v>
      </c>
      <c r="D399">
        <v>1367.8614502</v>
      </c>
      <c r="E399">
        <v>1292.0947266000001</v>
      </c>
      <c r="F399">
        <v>1273.0057373</v>
      </c>
      <c r="G399">
        <v>2400</v>
      </c>
      <c r="H399">
        <v>0</v>
      </c>
      <c r="I399">
        <v>0</v>
      </c>
      <c r="J399">
        <v>2400</v>
      </c>
      <c r="K399">
        <v>80</v>
      </c>
      <c r="L399">
        <v>79.957405089999995</v>
      </c>
      <c r="M399">
        <v>50</v>
      </c>
      <c r="N399">
        <v>49.679031371999997</v>
      </c>
    </row>
    <row r="400" spans="1:14" x14ac:dyDescent="0.25">
      <c r="A400">
        <v>373.52973100000003</v>
      </c>
      <c r="B400" s="1">
        <f>DATE(2011,5,9) + TIME(12,42,48)</f>
        <v>40672.529722222222</v>
      </c>
      <c r="C400">
        <v>1381.9567870999999</v>
      </c>
      <c r="D400">
        <v>1367.8100586</v>
      </c>
      <c r="E400">
        <v>1292.0925293</v>
      </c>
      <c r="F400">
        <v>1273.0028076000001</v>
      </c>
      <c r="G400">
        <v>2400</v>
      </c>
      <c r="H400">
        <v>0</v>
      </c>
      <c r="I400">
        <v>0</v>
      </c>
      <c r="J400">
        <v>2400</v>
      </c>
      <c r="K400">
        <v>80</v>
      </c>
      <c r="L400">
        <v>79.957954407000003</v>
      </c>
      <c r="M400">
        <v>50</v>
      </c>
      <c r="N400">
        <v>49.666854858000001</v>
      </c>
    </row>
    <row r="401" spans="1:14" x14ac:dyDescent="0.25">
      <c r="A401">
        <v>373.930767</v>
      </c>
      <c r="B401" s="1">
        <f>DATE(2011,5,9) + TIME(22,20,18)</f>
        <v>40672.930763888886</v>
      </c>
      <c r="C401">
        <v>1381.8942870999999</v>
      </c>
      <c r="D401">
        <v>1367.7581786999999</v>
      </c>
      <c r="E401">
        <v>1292.0902100000001</v>
      </c>
      <c r="F401">
        <v>1272.9996338000001</v>
      </c>
      <c r="G401">
        <v>2400</v>
      </c>
      <c r="H401">
        <v>0</v>
      </c>
      <c r="I401">
        <v>0</v>
      </c>
      <c r="J401">
        <v>2400</v>
      </c>
      <c r="K401">
        <v>80</v>
      </c>
      <c r="L401">
        <v>79.958381653000004</v>
      </c>
      <c r="M401">
        <v>50</v>
      </c>
      <c r="N401">
        <v>49.654205322000003</v>
      </c>
    </row>
    <row r="402" spans="1:14" x14ac:dyDescent="0.25">
      <c r="A402">
        <v>374.35178999999999</v>
      </c>
      <c r="B402" s="1">
        <f>DATE(2011,5,10) + TIME(8,26,34)</f>
        <v>40673.351782407408</v>
      </c>
      <c r="C402">
        <v>1381.8312988</v>
      </c>
      <c r="D402">
        <v>1367.7061768000001</v>
      </c>
      <c r="E402">
        <v>1292.0878906</v>
      </c>
      <c r="F402">
        <v>1272.9963379000001</v>
      </c>
      <c r="G402">
        <v>2400</v>
      </c>
      <c r="H402">
        <v>0</v>
      </c>
      <c r="I402">
        <v>0</v>
      </c>
      <c r="J402">
        <v>2400</v>
      </c>
      <c r="K402">
        <v>80</v>
      </c>
      <c r="L402">
        <v>79.958702087000006</v>
      </c>
      <c r="M402">
        <v>50</v>
      </c>
      <c r="N402">
        <v>49.641036987</v>
      </c>
    </row>
    <row r="403" spans="1:14" x14ac:dyDescent="0.25">
      <c r="A403">
        <v>374.79624200000001</v>
      </c>
      <c r="B403" s="1">
        <f>DATE(2011,5,10) + TIME(19,6,35)</f>
        <v>40673.796238425923</v>
      </c>
      <c r="C403">
        <v>1381.7677002</v>
      </c>
      <c r="D403">
        <v>1367.6536865</v>
      </c>
      <c r="E403">
        <v>1292.0853271000001</v>
      </c>
      <c r="F403">
        <v>1272.9929199000001</v>
      </c>
      <c r="G403">
        <v>2400</v>
      </c>
      <c r="H403">
        <v>0</v>
      </c>
      <c r="I403">
        <v>0</v>
      </c>
      <c r="J403">
        <v>2400</v>
      </c>
      <c r="K403">
        <v>80</v>
      </c>
      <c r="L403">
        <v>79.958953856999997</v>
      </c>
      <c r="M403">
        <v>50</v>
      </c>
      <c r="N403">
        <v>49.627273559999999</v>
      </c>
    </row>
    <row r="404" spans="1:14" x14ac:dyDescent="0.25">
      <c r="A404">
        <v>375.26134200000001</v>
      </c>
      <c r="B404" s="1">
        <f>DATE(2011,5,11) + TIME(6,16,19)</f>
        <v>40674.261331018519</v>
      </c>
      <c r="C404">
        <v>1381.7032471</v>
      </c>
      <c r="D404">
        <v>1367.6005858999999</v>
      </c>
      <c r="E404">
        <v>1292.0826416</v>
      </c>
      <c r="F404">
        <v>1272.9892577999999</v>
      </c>
      <c r="G404">
        <v>2400</v>
      </c>
      <c r="H404">
        <v>0</v>
      </c>
      <c r="I404">
        <v>0</v>
      </c>
      <c r="J404">
        <v>2400</v>
      </c>
      <c r="K404">
        <v>80</v>
      </c>
      <c r="L404">
        <v>79.959144592000001</v>
      </c>
      <c r="M404">
        <v>50</v>
      </c>
      <c r="N404">
        <v>49.612949370999999</v>
      </c>
    </row>
    <row r="405" spans="1:14" x14ac:dyDescent="0.25">
      <c r="A405">
        <v>375.73078299999997</v>
      </c>
      <c r="B405" s="1">
        <f>DATE(2011,5,11) + TIME(17,32,19)</f>
        <v>40674.730775462966</v>
      </c>
      <c r="C405">
        <v>1381.6383057</v>
      </c>
      <c r="D405">
        <v>1367.5472411999999</v>
      </c>
      <c r="E405">
        <v>1292.0798339999999</v>
      </c>
      <c r="F405">
        <v>1272.9854736</v>
      </c>
      <c r="G405">
        <v>2400</v>
      </c>
      <c r="H405">
        <v>0</v>
      </c>
      <c r="I405">
        <v>0</v>
      </c>
      <c r="J405">
        <v>2400</v>
      </c>
      <c r="K405">
        <v>80</v>
      </c>
      <c r="L405">
        <v>79.959281920999999</v>
      </c>
      <c r="M405">
        <v>50</v>
      </c>
      <c r="N405">
        <v>49.598388671999999</v>
      </c>
    </row>
    <row r="406" spans="1:14" x14ac:dyDescent="0.25">
      <c r="A406">
        <v>376.20688200000001</v>
      </c>
      <c r="B406" s="1">
        <f>DATE(2011,5,12) + TIME(4,57,54)</f>
        <v>40675.206875000003</v>
      </c>
      <c r="C406">
        <v>1381.5753173999999</v>
      </c>
      <c r="D406">
        <v>1367.4954834</v>
      </c>
      <c r="E406">
        <v>1292.0770264</v>
      </c>
      <c r="F406">
        <v>1272.9815673999999</v>
      </c>
      <c r="G406">
        <v>2400</v>
      </c>
      <c r="H406">
        <v>0</v>
      </c>
      <c r="I406">
        <v>0</v>
      </c>
      <c r="J406">
        <v>2400</v>
      </c>
      <c r="K406">
        <v>80</v>
      </c>
      <c r="L406">
        <v>79.959388732999997</v>
      </c>
      <c r="M406">
        <v>50</v>
      </c>
      <c r="N406">
        <v>49.583614349000001</v>
      </c>
    </row>
    <row r="407" spans="1:14" x14ac:dyDescent="0.25">
      <c r="A407">
        <v>376.690068</v>
      </c>
      <c r="B407" s="1">
        <f>DATE(2011,5,12) + TIME(16,33,41)</f>
        <v>40675.690057870372</v>
      </c>
      <c r="C407">
        <v>1381.5137939000001</v>
      </c>
      <c r="D407">
        <v>1367.4450684000001</v>
      </c>
      <c r="E407">
        <v>1292.0740966999999</v>
      </c>
      <c r="F407">
        <v>1272.9776611</v>
      </c>
      <c r="G407">
        <v>2400</v>
      </c>
      <c r="H407">
        <v>0</v>
      </c>
      <c r="I407">
        <v>0</v>
      </c>
      <c r="J407">
        <v>2400</v>
      </c>
      <c r="K407">
        <v>80</v>
      </c>
      <c r="L407">
        <v>79.959472656000003</v>
      </c>
      <c r="M407">
        <v>50</v>
      </c>
      <c r="N407">
        <v>49.568649292000003</v>
      </c>
    </row>
    <row r="408" spans="1:14" x14ac:dyDescent="0.25">
      <c r="A408">
        <v>377.18269600000002</v>
      </c>
      <c r="B408" s="1">
        <f>DATE(2011,5,13) + TIME(4,23,4)</f>
        <v>40676.182685185187</v>
      </c>
      <c r="C408">
        <v>1381.4536132999999</v>
      </c>
      <c r="D408">
        <v>1367.395874</v>
      </c>
      <c r="E408">
        <v>1292.0711670000001</v>
      </c>
      <c r="F408">
        <v>1272.9736327999999</v>
      </c>
      <c r="G408">
        <v>2400</v>
      </c>
      <c r="H408">
        <v>0</v>
      </c>
      <c r="I408">
        <v>0</v>
      </c>
      <c r="J408">
        <v>2400</v>
      </c>
      <c r="K408">
        <v>80</v>
      </c>
      <c r="L408">
        <v>79.959533691000004</v>
      </c>
      <c r="M408">
        <v>50</v>
      </c>
      <c r="N408">
        <v>49.553470611999998</v>
      </c>
    </row>
    <row r="409" spans="1:14" x14ac:dyDescent="0.25">
      <c r="A409">
        <v>377.68743699999999</v>
      </c>
      <c r="B409" s="1">
        <f>DATE(2011,5,13) + TIME(16,29,54)</f>
        <v>40676.687430555554</v>
      </c>
      <c r="C409">
        <v>1381.3945312000001</v>
      </c>
      <c r="D409">
        <v>1367.3476562000001</v>
      </c>
      <c r="E409">
        <v>1292.0681152</v>
      </c>
      <c r="F409">
        <v>1272.9696045000001</v>
      </c>
      <c r="G409">
        <v>2400</v>
      </c>
      <c r="H409">
        <v>0</v>
      </c>
      <c r="I409">
        <v>0</v>
      </c>
      <c r="J409">
        <v>2400</v>
      </c>
      <c r="K409">
        <v>80</v>
      </c>
      <c r="L409">
        <v>79.959579468000001</v>
      </c>
      <c r="M409">
        <v>50</v>
      </c>
      <c r="N409">
        <v>49.538032532000003</v>
      </c>
    </row>
    <row r="410" spans="1:14" x14ac:dyDescent="0.25">
      <c r="A410">
        <v>378.20712800000001</v>
      </c>
      <c r="B410" s="1">
        <f>DATE(2011,5,14) + TIME(4,58,15)</f>
        <v>40677.207118055558</v>
      </c>
      <c r="C410">
        <v>1381.3359375</v>
      </c>
      <c r="D410">
        <v>1367.2999268000001</v>
      </c>
      <c r="E410">
        <v>1292.0650635</v>
      </c>
      <c r="F410">
        <v>1272.9654541</v>
      </c>
      <c r="G410">
        <v>2400</v>
      </c>
      <c r="H410">
        <v>0</v>
      </c>
      <c r="I410">
        <v>0</v>
      </c>
      <c r="J410">
        <v>2400</v>
      </c>
      <c r="K410">
        <v>80</v>
      </c>
      <c r="L410">
        <v>79.959617614999999</v>
      </c>
      <c r="M410">
        <v>50</v>
      </c>
      <c r="N410">
        <v>49.522274017000001</v>
      </c>
    </row>
    <row r="411" spans="1:14" x14ac:dyDescent="0.25">
      <c r="A411">
        <v>378.74488600000001</v>
      </c>
      <c r="B411" s="1">
        <f>DATE(2011,5,14) + TIME(17,52,38)</f>
        <v>40677.744884259257</v>
      </c>
      <c r="C411">
        <v>1381.2777100000001</v>
      </c>
      <c r="D411">
        <v>1367.2524414</v>
      </c>
      <c r="E411">
        <v>1292.0618896000001</v>
      </c>
      <c r="F411">
        <v>1272.9610596</v>
      </c>
      <c r="G411">
        <v>2400</v>
      </c>
      <c r="H411">
        <v>0</v>
      </c>
      <c r="I411">
        <v>0</v>
      </c>
      <c r="J411">
        <v>2400</v>
      </c>
      <c r="K411">
        <v>80</v>
      </c>
      <c r="L411">
        <v>79.959648131999998</v>
      </c>
      <c r="M411">
        <v>50</v>
      </c>
      <c r="N411">
        <v>49.506126404</v>
      </c>
    </row>
    <row r="412" spans="1:14" x14ac:dyDescent="0.25">
      <c r="A412">
        <v>379.30407600000001</v>
      </c>
      <c r="B412" s="1">
        <f>DATE(2011,5,15) + TIME(7,17,52)</f>
        <v>40678.304074074076</v>
      </c>
      <c r="C412">
        <v>1381.2194824000001</v>
      </c>
      <c r="D412">
        <v>1367.2050781</v>
      </c>
      <c r="E412">
        <v>1292.0585937999999</v>
      </c>
      <c r="F412">
        <v>1272.956543</v>
      </c>
      <c r="G412">
        <v>2400</v>
      </c>
      <c r="H412">
        <v>0</v>
      </c>
      <c r="I412">
        <v>0</v>
      </c>
      <c r="J412">
        <v>2400</v>
      </c>
      <c r="K412">
        <v>80</v>
      </c>
      <c r="L412">
        <v>79.959671021000005</v>
      </c>
      <c r="M412">
        <v>50</v>
      </c>
      <c r="N412">
        <v>49.489513397000003</v>
      </c>
    </row>
    <row r="413" spans="1:14" x14ac:dyDescent="0.25">
      <c r="A413">
        <v>379.88879800000001</v>
      </c>
      <c r="B413" s="1">
        <f>DATE(2011,5,15) + TIME(21,19,52)</f>
        <v>40678.888796296298</v>
      </c>
      <c r="C413">
        <v>1381.1608887</v>
      </c>
      <c r="D413">
        <v>1367.1575928</v>
      </c>
      <c r="E413">
        <v>1292.0551757999999</v>
      </c>
      <c r="F413">
        <v>1272.9519043</v>
      </c>
      <c r="G413">
        <v>2400</v>
      </c>
      <c r="H413">
        <v>0</v>
      </c>
      <c r="I413">
        <v>0</v>
      </c>
      <c r="J413">
        <v>2400</v>
      </c>
      <c r="K413">
        <v>80</v>
      </c>
      <c r="L413">
        <v>79.959686278999996</v>
      </c>
      <c r="M413">
        <v>50</v>
      </c>
      <c r="N413">
        <v>49.472332000999998</v>
      </c>
    </row>
    <row r="414" spans="1:14" x14ac:dyDescent="0.25">
      <c r="A414">
        <v>380.49450000000002</v>
      </c>
      <c r="B414" s="1">
        <f>DATE(2011,5,16) + TIME(11,52,4)</f>
        <v>40679.494490740741</v>
      </c>
      <c r="C414">
        <v>1381.1016846</v>
      </c>
      <c r="D414">
        <v>1367.1096190999999</v>
      </c>
      <c r="E414">
        <v>1292.0516356999999</v>
      </c>
      <c r="F414">
        <v>1272.9470214999999</v>
      </c>
      <c r="G414">
        <v>2400</v>
      </c>
      <c r="H414">
        <v>0</v>
      </c>
      <c r="I414">
        <v>0</v>
      </c>
      <c r="J414">
        <v>2400</v>
      </c>
      <c r="K414">
        <v>80</v>
      </c>
      <c r="L414">
        <v>79.959701538000004</v>
      </c>
      <c r="M414">
        <v>50</v>
      </c>
      <c r="N414">
        <v>49.454631804999998</v>
      </c>
    </row>
    <row r="415" spans="1:14" x14ac:dyDescent="0.25">
      <c r="A415">
        <v>381.12320599999998</v>
      </c>
      <c r="B415" s="1">
        <f>DATE(2011,5,17) + TIME(2,57,24)</f>
        <v>40680.123194444444</v>
      </c>
      <c r="C415">
        <v>1381.0423584</v>
      </c>
      <c r="D415">
        <v>1367.0616454999999</v>
      </c>
      <c r="E415">
        <v>1292.0478516000001</v>
      </c>
      <c r="F415">
        <v>1272.9418945</v>
      </c>
      <c r="G415">
        <v>2400</v>
      </c>
      <c r="H415">
        <v>0</v>
      </c>
      <c r="I415">
        <v>0</v>
      </c>
      <c r="J415">
        <v>2400</v>
      </c>
      <c r="K415">
        <v>80</v>
      </c>
      <c r="L415">
        <v>79.959716796999999</v>
      </c>
      <c r="M415">
        <v>50</v>
      </c>
      <c r="N415">
        <v>49.436386108000001</v>
      </c>
    </row>
    <row r="416" spans="1:14" x14ac:dyDescent="0.25">
      <c r="A416">
        <v>381.75858699999998</v>
      </c>
      <c r="B416" s="1">
        <f>DATE(2011,5,17) + TIME(18,12,21)</f>
        <v>40680.758576388886</v>
      </c>
      <c r="C416">
        <v>1380.9829102000001</v>
      </c>
      <c r="D416">
        <v>1367.0135498</v>
      </c>
      <c r="E416">
        <v>1292.0438231999999</v>
      </c>
      <c r="F416">
        <v>1272.9366454999999</v>
      </c>
      <c r="G416">
        <v>2400</v>
      </c>
      <c r="H416">
        <v>0</v>
      </c>
      <c r="I416">
        <v>0</v>
      </c>
      <c r="J416">
        <v>2400</v>
      </c>
      <c r="K416">
        <v>80</v>
      </c>
      <c r="L416">
        <v>79.959724425999994</v>
      </c>
      <c r="M416">
        <v>50</v>
      </c>
      <c r="N416">
        <v>49.417858123999999</v>
      </c>
    </row>
    <row r="417" spans="1:14" x14ac:dyDescent="0.25">
      <c r="A417">
        <v>382.40149200000002</v>
      </c>
      <c r="B417" s="1">
        <f>DATE(2011,5,18) + TIME(9,38,8)</f>
        <v>40681.40148148148</v>
      </c>
      <c r="C417">
        <v>1380.9248047000001</v>
      </c>
      <c r="D417">
        <v>1366.9665527</v>
      </c>
      <c r="E417">
        <v>1292.0399170000001</v>
      </c>
      <c r="F417">
        <v>1272.9312743999999</v>
      </c>
      <c r="G417">
        <v>2400</v>
      </c>
      <c r="H417">
        <v>0</v>
      </c>
      <c r="I417">
        <v>0</v>
      </c>
      <c r="J417">
        <v>2400</v>
      </c>
      <c r="K417">
        <v>80</v>
      </c>
      <c r="L417">
        <v>79.959732056000007</v>
      </c>
      <c r="M417">
        <v>50</v>
      </c>
      <c r="N417">
        <v>49.399124145999998</v>
      </c>
    </row>
    <row r="418" spans="1:14" x14ac:dyDescent="0.25">
      <c r="A418">
        <v>383.05553900000001</v>
      </c>
      <c r="B418" s="1">
        <f>DATE(2011,5,19) + TIME(1,19,58)</f>
        <v>40682.055532407408</v>
      </c>
      <c r="C418">
        <v>1380.8677978999999</v>
      </c>
      <c r="D418">
        <v>1366.9206543</v>
      </c>
      <c r="E418">
        <v>1292.0357666</v>
      </c>
      <c r="F418">
        <v>1272.9259033000001</v>
      </c>
      <c r="G418">
        <v>2400</v>
      </c>
      <c r="H418">
        <v>0</v>
      </c>
      <c r="I418">
        <v>0</v>
      </c>
      <c r="J418">
        <v>2400</v>
      </c>
      <c r="K418">
        <v>80</v>
      </c>
      <c r="L418">
        <v>79.959732056000007</v>
      </c>
      <c r="M418">
        <v>50</v>
      </c>
      <c r="N418">
        <v>49.380168914999999</v>
      </c>
    </row>
    <row r="419" spans="1:14" x14ac:dyDescent="0.25">
      <c r="A419">
        <v>383.7244</v>
      </c>
      <c r="B419" s="1">
        <f>DATE(2011,5,19) + TIME(17,23,8)</f>
        <v>40682.724398148152</v>
      </c>
      <c r="C419">
        <v>1380.8116454999999</v>
      </c>
      <c r="D419">
        <v>1366.8754882999999</v>
      </c>
      <c r="E419">
        <v>1292.0317382999999</v>
      </c>
      <c r="F419">
        <v>1272.9202881000001</v>
      </c>
      <c r="G419">
        <v>2400</v>
      </c>
      <c r="H419">
        <v>0</v>
      </c>
      <c r="I419">
        <v>0</v>
      </c>
      <c r="J419">
        <v>2400</v>
      </c>
      <c r="K419">
        <v>80</v>
      </c>
      <c r="L419">
        <v>79.959739685000002</v>
      </c>
      <c r="M419">
        <v>50</v>
      </c>
      <c r="N419">
        <v>49.360939025999997</v>
      </c>
    </row>
    <row r="420" spans="1:14" x14ac:dyDescent="0.25">
      <c r="A420">
        <v>384.41195499999998</v>
      </c>
      <c r="B420" s="1">
        <f>DATE(2011,5,20) + TIME(9,53,12)</f>
        <v>40683.411944444444</v>
      </c>
      <c r="C420">
        <v>1380.7559814000001</v>
      </c>
      <c r="D420">
        <v>1366.8306885</v>
      </c>
      <c r="E420">
        <v>1292.0274658000001</v>
      </c>
      <c r="F420">
        <v>1272.9145507999999</v>
      </c>
      <c r="G420">
        <v>2400</v>
      </c>
      <c r="H420">
        <v>0</v>
      </c>
      <c r="I420">
        <v>0</v>
      </c>
      <c r="J420">
        <v>2400</v>
      </c>
      <c r="K420">
        <v>80</v>
      </c>
      <c r="L420">
        <v>79.959747313999998</v>
      </c>
      <c r="M420">
        <v>50</v>
      </c>
      <c r="N420">
        <v>49.341369628999999</v>
      </c>
    </row>
    <row r="421" spans="1:14" x14ac:dyDescent="0.25">
      <c r="A421">
        <v>385.11707899999999</v>
      </c>
      <c r="B421" s="1">
        <f>DATE(2011,5,21) + TIME(2,48,35)</f>
        <v>40684.117071759261</v>
      </c>
      <c r="C421">
        <v>1380.7005615</v>
      </c>
      <c r="D421">
        <v>1366.7860106999999</v>
      </c>
      <c r="E421">
        <v>1292.0230713000001</v>
      </c>
      <c r="F421">
        <v>1272.9086914</v>
      </c>
      <c r="G421">
        <v>2400</v>
      </c>
      <c r="H421">
        <v>0</v>
      </c>
      <c r="I421">
        <v>0</v>
      </c>
      <c r="J421">
        <v>2400</v>
      </c>
      <c r="K421">
        <v>80</v>
      </c>
      <c r="L421">
        <v>79.959747313999998</v>
      </c>
      <c r="M421">
        <v>50</v>
      </c>
      <c r="N421">
        <v>49.321445464999996</v>
      </c>
    </row>
    <row r="422" spans="1:14" x14ac:dyDescent="0.25">
      <c r="A422">
        <v>385.84351600000002</v>
      </c>
      <c r="B422" s="1">
        <f>DATE(2011,5,21) + TIME(20,14,39)</f>
        <v>40684.843506944446</v>
      </c>
      <c r="C422">
        <v>1380.6453856999999</v>
      </c>
      <c r="D422">
        <v>1366.7416992000001</v>
      </c>
      <c r="E422">
        <v>1292.0185547000001</v>
      </c>
      <c r="F422">
        <v>1272.9025879000001</v>
      </c>
      <c r="G422">
        <v>2400</v>
      </c>
      <c r="H422">
        <v>0</v>
      </c>
      <c r="I422">
        <v>0</v>
      </c>
      <c r="J422">
        <v>2400</v>
      </c>
      <c r="K422">
        <v>80</v>
      </c>
      <c r="L422">
        <v>79.959754943999997</v>
      </c>
      <c r="M422">
        <v>50</v>
      </c>
      <c r="N422">
        <v>49.301101684999999</v>
      </c>
    </row>
    <row r="423" spans="1:14" x14ac:dyDescent="0.25">
      <c r="A423">
        <v>386.59573899999998</v>
      </c>
      <c r="B423" s="1">
        <f>DATE(2011,5,22) + TIME(14,17,51)</f>
        <v>40685.595729166664</v>
      </c>
      <c r="C423">
        <v>1380.5902100000001</v>
      </c>
      <c r="D423">
        <v>1366.6973877</v>
      </c>
      <c r="E423">
        <v>1292.0137939000001</v>
      </c>
      <c r="F423">
        <v>1272.8962402</v>
      </c>
      <c r="G423">
        <v>2400</v>
      </c>
      <c r="H423">
        <v>0</v>
      </c>
      <c r="I423">
        <v>0</v>
      </c>
      <c r="J423">
        <v>2400</v>
      </c>
      <c r="K423">
        <v>80</v>
      </c>
      <c r="L423">
        <v>79.959762573000006</v>
      </c>
      <c r="M423">
        <v>50</v>
      </c>
      <c r="N423">
        <v>49.280258179</v>
      </c>
    </row>
    <row r="424" spans="1:14" x14ac:dyDescent="0.25">
      <c r="A424">
        <v>387.37884400000002</v>
      </c>
      <c r="B424" s="1">
        <f>DATE(2011,5,23) + TIME(9,5,32)</f>
        <v>40686.378842592596</v>
      </c>
      <c r="C424">
        <v>1380.534668</v>
      </c>
      <c r="D424">
        <v>1366.6529541</v>
      </c>
      <c r="E424">
        <v>1292.0089111</v>
      </c>
      <c r="F424">
        <v>1272.8897704999999</v>
      </c>
      <c r="G424">
        <v>2400</v>
      </c>
      <c r="H424">
        <v>0</v>
      </c>
      <c r="I424">
        <v>0</v>
      </c>
      <c r="J424">
        <v>2400</v>
      </c>
      <c r="K424">
        <v>80</v>
      </c>
      <c r="L424">
        <v>79.959770203000005</v>
      </c>
      <c r="M424">
        <v>50</v>
      </c>
      <c r="N424">
        <v>49.258800506999997</v>
      </c>
    </row>
    <row r="425" spans="1:14" x14ac:dyDescent="0.25">
      <c r="A425">
        <v>388.19674300000003</v>
      </c>
      <c r="B425" s="1">
        <f>DATE(2011,5,24) + TIME(4,43,18)</f>
        <v>40687.196736111109</v>
      </c>
      <c r="C425">
        <v>1380.4786377</v>
      </c>
      <c r="D425">
        <v>1366.6080322</v>
      </c>
      <c r="E425">
        <v>1292.0039062000001</v>
      </c>
      <c r="F425">
        <v>1272.8828125</v>
      </c>
      <c r="G425">
        <v>2400</v>
      </c>
      <c r="H425">
        <v>0</v>
      </c>
      <c r="I425">
        <v>0</v>
      </c>
      <c r="J425">
        <v>2400</v>
      </c>
      <c r="K425">
        <v>80</v>
      </c>
      <c r="L425">
        <v>79.959777832</v>
      </c>
      <c r="M425">
        <v>50</v>
      </c>
      <c r="N425">
        <v>49.236633300999998</v>
      </c>
    </row>
    <row r="426" spans="1:14" x14ac:dyDescent="0.25">
      <c r="A426">
        <v>389.01833499999998</v>
      </c>
      <c r="B426" s="1">
        <f>DATE(2011,5,25) + TIME(0,26,24)</f>
        <v>40688.018333333333</v>
      </c>
      <c r="C426">
        <v>1380.421875</v>
      </c>
      <c r="D426">
        <v>1366.5625</v>
      </c>
      <c r="E426">
        <v>1291.9984131000001</v>
      </c>
      <c r="F426">
        <v>1272.8756103999999</v>
      </c>
      <c r="G426">
        <v>2400</v>
      </c>
      <c r="H426">
        <v>0</v>
      </c>
      <c r="I426">
        <v>0</v>
      </c>
      <c r="J426">
        <v>2400</v>
      </c>
      <c r="K426">
        <v>80</v>
      </c>
      <c r="L426">
        <v>79.959785460999996</v>
      </c>
      <c r="M426">
        <v>50</v>
      </c>
      <c r="N426">
        <v>49.214134215999998</v>
      </c>
    </row>
    <row r="427" spans="1:14" x14ac:dyDescent="0.25">
      <c r="A427">
        <v>389.84782899999999</v>
      </c>
      <c r="B427" s="1">
        <f>DATE(2011,5,25) + TIME(20,20,52)</f>
        <v>40688.847824074073</v>
      </c>
      <c r="C427">
        <v>1380.3664550999999</v>
      </c>
      <c r="D427">
        <v>1366.5181885</v>
      </c>
      <c r="E427">
        <v>1291.9929199000001</v>
      </c>
      <c r="F427">
        <v>1272.8682861</v>
      </c>
      <c r="G427">
        <v>2400</v>
      </c>
      <c r="H427">
        <v>0</v>
      </c>
      <c r="I427">
        <v>0</v>
      </c>
      <c r="J427">
        <v>2400</v>
      </c>
      <c r="K427">
        <v>80</v>
      </c>
      <c r="L427">
        <v>79.959793090999995</v>
      </c>
      <c r="M427">
        <v>50</v>
      </c>
      <c r="N427">
        <v>49.191429137999997</v>
      </c>
    </row>
    <row r="428" spans="1:14" x14ac:dyDescent="0.25">
      <c r="A428">
        <v>390.68987199999998</v>
      </c>
      <c r="B428" s="1">
        <f>DATE(2011,5,26) + TIME(16,33,24)</f>
        <v>40689.68986111111</v>
      </c>
      <c r="C428">
        <v>1380.3122559000001</v>
      </c>
      <c r="D428">
        <v>1366.4747314000001</v>
      </c>
      <c r="E428">
        <v>1291.9873047000001</v>
      </c>
      <c r="F428">
        <v>1272.8608397999999</v>
      </c>
      <c r="G428">
        <v>2400</v>
      </c>
      <c r="H428">
        <v>0</v>
      </c>
      <c r="I428">
        <v>0</v>
      </c>
      <c r="J428">
        <v>2400</v>
      </c>
      <c r="K428">
        <v>80</v>
      </c>
      <c r="L428">
        <v>79.959800720000004</v>
      </c>
      <c r="M428">
        <v>50</v>
      </c>
      <c r="N428">
        <v>49.168525696000003</v>
      </c>
    </row>
    <row r="429" spans="1:14" x14ac:dyDescent="0.25">
      <c r="A429">
        <v>391.54920600000003</v>
      </c>
      <c r="B429" s="1">
        <f>DATE(2011,5,27) + TIME(13,10,51)</f>
        <v>40690.549201388887</v>
      </c>
      <c r="C429">
        <v>1380.2586670000001</v>
      </c>
      <c r="D429">
        <v>1366.4318848</v>
      </c>
      <c r="E429">
        <v>1291.9816894999999</v>
      </c>
      <c r="F429">
        <v>1272.8532714999999</v>
      </c>
      <c r="G429">
        <v>2400</v>
      </c>
      <c r="H429">
        <v>0</v>
      </c>
      <c r="I429">
        <v>0</v>
      </c>
      <c r="J429">
        <v>2400</v>
      </c>
      <c r="K429">
        <v>80</v>
      </c>
      <c r="L429">
        <v>79.959815978999998</v>
      </c>
      <c r="M429">
        <v>50</v>
      </c>
      <c r="N429">
        <v>49.145362853999998</v>
      </c>
    </row>
    <row r="430" spans="1:14" x14ac:dyDescent="0.25">
      <c r="A430">
        <v>392.43081100000001</v>
      </c>
      <c r="B430" s="1">
        <f>DATE(2011,5,28) + TIME(10,20,22)</f>
        <v>40691.430810185186</v>
      </c>
      <c r="C430">
        <v>1380.2054443</v>
      </c>
      <c r="D430">
        <v>1366.3894043</v>
      </c>
      <c r="E430">
        <v>1291.9757079999999</v>
      </c>
      <c r="F430">
        <v>1272.8453368999999</v>
      </c>
      <c r="G430">
        <v>2400</v>
      </c>
      <c r="H430">
        <v>0</v>
      </c>
      <c r="I430">
        <v>0</v>
      </c>
      <c r="J430">
        <v>2400</v>
      </c>
      <c r="K430">
        <v>80</v>
      </c>
      <c r="L430">
        <v>79.959823607999994</v>
      </c>
      <c r="M430">
        <v>50</v>
      </c>
      <c r="N430">
        <v>49.121845245000003</v>
      </c>
    </row>
    <row r="431" spans="1:14" x14ac:dyDescent="0.25">
      <c r="A431">
        <v>393.33990499999999</v>
      </c>
      <c r="B431" s="1">
        <f>DATE(2011,5,29) + TIME(8,9,27)</f>
        <v>40692.339895833335</v>
      </c>
      <c r="C431">
        <v>1380.1523437999999</v>
      </c>
      <c r="D431">
        <v>1366.3470459</v>
      </c>
      <c r="E431">
        <v>1291.9697266000001</v>
      </c>
      <c r="F431">
        <v>1272.8371582</v>
      </c>
      <c r="G431">
        <v>2400</v>
      </c>
      <c r="H431">
        <v>0</v>
      </c>
      <c r="I431">
        <v>0</v>
      </c>
      <c r="J431">
        <v>2400</v>
      </c>
      <c r="K431">
        <v>80</v>
      </c>
      <c r="L431">
        <v>79.959838867000002</v>
      </c>
      <c r="M431">
        <v>50</v>
      </c>
      <c r="N431">
        <v>49.097858428999999</v>
      </c>
    </row>
    <row r="432" spans="1:14" x14ac:dyDescent="0.25">
      <c r="A432">
        <v>394.28187200000002</v>
      </c>
      <c r="B432" s="1">
        <f>DATE(2011,5,30) + TIME(6,45,53)</f>
        <v>40693.281863425924</v>
      </c>
      <c r="C432">
        <v>1380.0991211</v>
      </c>
      <c r="D432">
        <v>1366.3045654</v>
      </c>
      <c r="E432">
        <v>1291.9633789</v>
      </c>
      <c r="F432">
        <v>1272.8287353999999</v>
      </c>
      <c r="G432">
        <v>2400</v>
      </c>
      <c r="H432">
        <v>0</v>
      </c>
      <c r="I432">
        <v>0</v>
      </c>
      <c r="J432">
        <v>2400</v>
      </c>
      <c r="K432">
        <v>80</v>
      </c>
      <c r="L432">
        <v>79.959854125999996</v>
      </c>
      <c r="M432">
        <v>50</v>
      </c>
      <c r="N432">
        <v>49.073280334000003</v>
      </c>
    </row>
    <row r="433" spans="1:14" x14ac:dyDescent="0.25">
      <c r="A433">
        <v>395.25395099999997</v>
      </c>
      <c r="B433" s="1">
        <f>DATE(2011,5,31) + TIME(6,5,41)</f>
        <v>40694.253946759258</v>
      </c>
      <c r="C433">
        <v>1380.0455322</v>
      </c>
      <c r="D433">
        <v>1366.2617187999999</v>
      </c>
      <c r="E433">
        <v>1291.9566649999999</v>
      </c>
      <c r="F433">
        <v>1272.8198242000001</v>
      </c>
      <c r="G433">
        <v>2400</v>
      </c>
      <c r="H433">
        <v>0</v>
      </c>
      <c r="I433">
        <v>0</v>
      </c>
      <c r="J433">
        <v>2400</v>
      </c>
      <c r="K433">
        <v>80</v>
      </c>
      <c r="L433">
        <v>79.959869385000005</v>
      </c>
      <c r="M433">
        <v>50</v>
      </c>
      <c r="N433">
        <v>49.048084258999999</v>
      </c>
    </row>
    <row r="434" spans="1:14" x14ac:dyDescent="0.25">
      <c r="A434">
        <v>396</v>
      </c>
      <c r="B434" s="1">
        <f>DATE(2011,6,1) + TIME(0,0,0)</f>
        <v>40695</v>
      </c>
      <c r="C434">
        <v>1379.9915771000001</v>
      </c>
      <c r="D434">
        <v>1366.21875</v>
      </c>
      <c r="E434">
        <v>1291.9493408000001</v>
      </c>
      <c r="F434">
        <v>1272.8106689000001</v>
      </c>
      <c r="G434">
        <v>2400</v>
      </c>
      <c r="H434">
        <v>0</v>
      </c>
      <c r="I434">
        <v>0</v>
      </c>
      <c r="J434">
        <v>2400</v>
      </c>
      <c r="K434">
        <v>80</v>
      </c>
      <c r="L434">
        <v>79.959877014</v>
      </c>
      <c r="M434">
        <v>50</v>
      </c>
      <c r="N434">
        <v>49.025772095000001</v>
      </c>
    </row>
    <row r="435" spans="1:14" x14ac:dyDescent="0.25">
      <c r="A435">
        <v>397.00877800000001</v>
      </c>
      <c r="B435" s="1">
        <f>DATE(2011,6,2) + TIME(0,12,38)</f>
        <v>40696.008773148147</v>
      </c>
      <c r="C435">
        <v>1379.9512939000001</v>
      </c>
      <c r="D435">
        <v>1366.1865233999999</v>
      </c>
      <c r="E435">
        <v>1291.9444579999999</v>
      </c>
      <c r="F435">
        <v>1272.8031006000001</v>
      </c>
      <c r="G435">
        <v>2400</v>
      </c>
      <c r="H435">
        <v>0</v>
      </c>
      <c r="I435">
        <v>0</v>
      </c>
      <c r="J435">
        <v>2400</v>
      </c>
      <c r="K435">
        <v>80</v>
      </c>
      <c r="L435">
        <v>79.959892272999994</v>
      </c>
      <c r="M435">
        <v>50</v>
      </c>
      <c r="N435">
        <v>49.0013237</v>
      </c>
    </row>
    <row r="436" spans="1:14" x14ac:dyDescent="0.25">
      <c r="A436">
        <v>398.03290600000003</v>
      </c>
      <c r="B436" s="1">
        <f>DATE(2011,6,3) + TIME(0,47,23)</f>
        <v>40697.032905092594</v>
      </c>
      <c r="C436">
        <v>1379.8980713000001</v>
      </c>
      <c r="D436">
        <v>1366.144043</v>
      </c>
      <c r="E436">
        <v>1291.9370117000001</v>
      </c>
      <c r="F436">
        <v>1272.7932129000001</v>
      </c>
      <c r="G436">
        <v>2400</v>
      </c>
      <c r="H436">
        <v>0</v>
      </c>
      <c r="I436">
        <v>0</v>
      </c>
      <c r="J436">
        <v>2400</v>
      </c>
      <c r="K436">
        <v>80</v>
      </c>
      <c r="L436">
        <v>79.959915160999998</v>
      </c>
      <c r="M436">
        <v>50</v>
      </c>
      <c r="N436">
        <v>48.975639342999997</v>
      </c>
    </row>
    <row r="437" spans="1:14" x14ac:dyDescent="0.25">
      <c r="A437">
        <v>399.06685199999998</v>
      </c>
      <c r="B437" s="1">
        <f>DATE(2011,6,4) + TIME(1,36,16)</f>
        <v>40698.066851851851</v>
      </c>
      <c r="C437">
        <v>1379.8453368999999</v>
      </c>
      <c r="D437">
        <v>1366.1020507999999</v>
      </c>
      <c r="E437">
        <v>1291.9293213000001</v>
      </c>
      <c r="F437">
        <v>1272.7830810999999</v>
      </c>
      <c r="G437">
        <v>2400</v>
      </c>
      <c r="H437">
        <v>0</v>
      </c>
      <c r="I437">
        <v>0</v>
      </c>
      <c r="J437">
        <v>2400</v>
      </c>
      <c r="K437">
        <v>80</v>
      </c>
      <c r="L437">
        <v>79.959930420000006</v>
      </c>
      <c r="M437">
        <v>50</v>
      </c>
      <c r="N437">
        <v>48.949310302999997</v>
      </c>
    </row>
    <row r="438" spans="1:14" x14ac:dyDescent="0.25">
      <c r="A438">
        <v>400.11620699999997</v>
      </c>
      <c r="B438" s="1">
        <f>DATE(2011,6,5) + TIME(2,47,20)</f>
        <v>40699.116203703707</v>
      </c>
      <c r="C438">
        <v>1379.7935791</v>
      </c>
      <c r="D438">
        <v>1366.0607910000001</v>
      </c>
      <c r="E438">
        <v>1291.9215088000001</v>
      </c>
      <c r="F438">
        <v>1272.7725829999999</v>
      </c>
      <c r="G438">
        <v>2400</v>
      </c>
      <c r="H438">
        <v>0</v>
      </c>
      <c r="I438">
        <v>0</v>
      </c>
      <c r="J438">
        <v>2400</v>
      </c>
      <c r="K438">
        <v>80</v>
      </c>
      <c r="L438">
        <v>79.959953307999996</v>
      </c>
      <c r="M438">
        <v>50</v>
      </c>
      <c r="N438">
        <v>48.922561645999998</v>
      </c>
    </row>
    <row r="439" spans="1:14" x14ac:dyDescent="0.25">
      <c r="A439">
        <v>401.186689</v>
      </c>
      <c r="B439" s="1">
        <f>DATE(2011,6,6) + TIME(4,28,49)</f>
        <v>40700.186678240738</v>
      </c>
      <c r="C439">
        <v>1379.7423096</v>
      </c>
      <c r="D439">
        <v>1366.0198975000001</v>
      </c>
      <c r="E439">
        <v>1291.9134521000001</v>
      </c>
      <c r="F439">
        <v>1272.7617187999999</v>
      </c>
      <c r="G439">
        <v>2400</v>
      </c>
      <c r="H439">
        <v>0</v>
      </c>
      <c r="I439">
        <v>0</v>
      </c>
      <c r="J439">
        <v>2400</v>
      </c>
      <c r="K439">
        <v>80</v>
      </c>
      <c r="L439">
        <v>79.959976196</v>
      </c>
      <c r="M439">
        <v>50</v>
      </c>
      <c r="N439">
        <v>48.895412444999998</v>
      </c>
    </row>
    <row r="440" spans="1:14" x14ac:dyDescent="0.25">
      <c r="A440">
        <v>402.28438199999999</v>
      </c>
      <c r="B440" s="1">
        <f>DATE(2011,6,7) + TIME(6,49,30)</f>
        <v>40701.284375000003</v>
      </c>
      <c r="C440">
        <v>1379.6912841999999</v>
      </c>
      <c r="D440">
        <v>1365.9792480000001</v>
      </c>
      <c r="E440">
        <v>1291.9051514</v>
      </c>
      <c r="F440">
        <v>1272.7504882999999</v>
      </c>
      <c r="G440">
        <v>2400</v>
      </c>
      <c r="H440">
        <v>0</v>
      </c>
      <c r="I440">
        <v>0</v>
      </c>
      <c r="J440">
        <v>2400</v>
      </c>
      <c r="K440">
        <v>80</v>
      </c>
      <c r="L440">
        <v>79.959999084000003</v>
      </c>
      <c r="M440">
        <v>50</v>
      </c>
      <c r="N440">
        <v>48.867790221999996</v>
      </c>
    </row>
    <row r="441" spans="1:14" x14ac:dyDescent="0.25">
      <c r="A441">
        <v>403.415707</v>
      </c>
      <c r="B441" s="1">
        <f>DATE(2011,6,8) + TIME(9,58,37)</f>
        <v>40702.415706018517</v>
      </c>
      <c r="C441">
        <v>1379.6403809000001</v>
      </c>
      <c r="D441">
        <v>1365.9385986</v>
      </c>
      <c r="E441">
        <v>1291.8964844</v>
      </c>
      <c r="F441">
        <v>1272.7386475000001</v>
      </c>
      <c r="G441">
        <v>2400</v>
      </c>
      <c r="H441">
        <v>0</v>
      </c>
      <c r="I441">
        <v>0</v>
      </c>
      <c r="J441">
        <v>2400</v>
      </c>
      <c r="K441">
        <v>80</v>
      </c>
      <c r="L441">
        <v>79.960021972999996</v>
      </c>
      <c r="M441">
        <v>50</v>
      </c>
      <c r="N441">
        <v>48.839565276999998</v>
      </c>
    </row>
    <row r="442" spans="1:14" x14ac:dyDescent="0.25">
      <c r="A442">
        <v>404.58820200000002</v>
      </c>
      <c r="B442" s="1">
        <f>DATE(2011,6,9) + TIME(14,7,0)</f>
        <v>40703.588194444441</v>
      </c>
      <c r="C442">
        <v>1379.5891113</v>
      </c>
      <c r="D442">
        <v>1365.8978271000001</v>
      </c>
      <c r="E442">
        <v>1291.8873291</v>
      </c>
      <c r="F442">
        <v>1272.7261963000001</v>
      </c>
      <c r="G442">
        <v>2400</v>
      </c>
      <c r="H442">
        <v>0</v>
      </c>
      <c r="I442">
        <v>0</v>
      </c>
      <c r="J442">
        <v>2400</v>
      </c>
      <c r="K442">
        <v>80</v>
      </c>
      <c r="L442">
        <v>79.960044861</v>
      </c>
      <c r="M442">
        <v>50</v>
      </c>
      <c r="N442">
        <v>48.810585021999998</v>
      </c>
    </row>
    <row r="443" spans="1:14" x14ac:dyDescent="0.25">
      <c r="A443">
        <v>405.80954200000002</v>
      </c>
      <c r="B443" s="1">
        <f>DATE(2011,6,10) + TIME(19,25,44)</f>
        <v>40704.809537037036</v>
      </c>
      <c r="C443">
        <v>1379.5373535000001</v>
      </c>
      <c r="D443">
        <v>1365.8565673999999</v>
      </c>
      <c r="E443">
        <v>1291.8776855000001</v>
      </c>
      <c r="F443">
        <v>1272.7130127</v>
      </c>
      <c r="G443">
        <v>2400</v>
      </c>
      <c r="H443">
        <v>0</v>
      </c>
      <c r="I443">
        <v>0</v>
      </c>
      <c r="J443">
        <v>2400</v>
      </c>
      <c r="K443">
        <v>80</v>
      </c>
      <c r="L443">
        <v>79.960075377999999</v>
      </c>
      <c r="M443">
        <v>50</v>
      </c>
      <c r="N443">
        <v>48.780670166</v>
      </c>
    </row>
    <row r="444" spans="1:14" x14ac:dyDescent="0.25">
      <c r="A444">
        <v>407.03128199999998</v>
      </c>
      <c r="B444" s="1">
        <f>DATE(2011,6,12) + TIME(0,45,2)</f>
        <v>40706.031273148146</v>
      </c>
      <c r="C444">
        <v>1379.4848632999999</v>
      </c>
      <c r="D444">
        <v>1365.8145752</v>
      </c>
      <c r="E444">
        <v>1291.8673096</v>
      </c>
      <c r="F444">
        <v>1272.6990966999999</v>
      </c>
      <c r="G444">
        <v>2400</v>
      </c>
      <c r="H444">
        <v>0</v>
      </c>
      <c r="I444">
        <v>0</v>
      </c>
      <c r="J444">
        <v>2400</v>
      </c>
      <c r="K444">
        <v>80</v>
      </c>
      <c r="L444">
        <v>79.960098267000006</v>
      </c>
      <c r="M444">
        <v>50</v>
      </c>
      <c r="N444">
        <v>48.750194550000003</v>
      </c>
    </row>
    <row r="445" spans="1:14" x14ac:dyDescent="0.25">
      <c r="A445">
        <v>408.26059099999998</v>
      </c>
      <c r="B445" s="1">
        <f>DATE(2011,6,13) + TIME(6,15,15)</f>
        <v>40707.26059027778</v>
      </c>
      <c r="C445">
        <v>1379.4335937999999</v>
      </c>
      <c r="D445">
        <v>1365.7736815999999</v>
      </c>
      <c r="E445">
        <v>1291.8568115</v>
      </c>
      <c r="F445">
        <v>1272.6846923999999</v>
      </c>
      <c r="G445">
        <v>2400</v>
      </c>
      <c r="H445">
        <v>0</v>
      </c>
      <c r="I445">
        <v>0</v>
      </c>
      <c r="J445">
        <v>2400</v>
      </c>
      <c r="K445">
        <v>80</v>
      </c>
      <c r="L445">
        <v>79.960128784000005</v>
      </c>
      <c r="M445">
        <v>50</v>
      </c>
      <c r="N445">
        <v>48.719455719000003</v>
      </c>
    </row>
    <row r="446" spans="1:14" x14ac:dyDescent="0.25">
      <c r="A446">
        <v>409.50369599999999</v>
      </c>
      <c r="B446" s="1">
        <f>DATE(2011,6,14) + TIME(12,5,19)</f>
        <v>40708.503692129627</v>
      </c>
      <c r="C446">
        <v>1379.3831786999999</v>
      </c>
      <c r="D446">
        <v>1365.7335204999999</v>
      </c>
      <c r="E446">
        <v>1291.8460693</v>
      </c>
      <c r="F446">
        <v>1272.6697998</v>
      </c>
      <c r="G446">
        <v>2400</v>
      </c>
      <c r="H446">
        <v>0</v>
      </c>
      <c r="I446">
        <v>0</v>
      </c>
      <c r="J446">
        <v>2400</v>
      </c>
      <c r="K446">
        <v>80</v>
      </c>
      <c r="L446">
        <v>79.960159301999994</v>
      </c>
      <c r="M446">
        <v>50</v>
      </c>
      <c r="N446">
        <v>48.688468933000003</v>
      </c>
    </row>
    <row r="447" spans="1:14" x14ac:dyDescent="0.25">
      <c r="A447">
        <v>410.76730300000003</v>
      </c>
      <c r="B447" s="1">
        <f>DATE(2011,6,15) + TIME(18,24,55)</f>
        <v>40709.76730324074</v>
      </c>
      <c r="C447">
        <v>1379.3334961</v>
      </c>
      <c r="D447">
        <v>1365.6938477000001</v>
      </c>
      <c r="E447">
        <v>1291.8348389</v>
      </c>
      <c r="F447">
        <v>1272.6542969</v>
      </c>
      <c r="G447">
        <v>2400</v>
      </c>
      <c r="H447">
        <v>0</v>
      </c>
      <c r="I447">
        <v>0</v>
      </c>
      <c r="J447">
        <v>2400</v>
      </c>
      <c r="K447">
        <v>80</v>
      </c>
      <c r="L447">
        <v>79.960182189999998</v>
      </c>
      <c r="M447">
        <v>50</v>
      </c>
      <c r="N447">
        <v>48.657131194999998</v>
      </c>
    </row>
    <row r="448" spans="1:14" x14ac:dyDescent="0.25">
      <c r="A448">
        <v>412.05837300000002</v>
      </c>
      <c r="B448" s="1">
        <f>DATE(2011,6,17) + TIME(1,24,3)</f>
        <v>40711.058368055557</v>
      </c>
      <c r="C448">
        <v>1379.2841797000001</v>
      </c>
      <c r="D448">
        <v>1365.6544189000001</v>
      </c>
      <c r="E448">
        <v>1291.8232422000001</v>
      </c>
      <c r="F448">
        <v>1272.6381836</v>
      </c>
      <c r="G448">
        <v>2400</v>
      </c>
      <c r="H448">
        <v>0</v>
      </c>
      <c r="I448">
        <v>0</v>
      </c>
      <c r="J448">
        <v>2400</v>
      </c>
      <c r="K448">
        <v>80</v>
      </c>
      <c r="L448">
        <v>79.960220336999996</v>
      </c>
      <c r="M448">
        <v>50</v>
      </c>
      <c r="N448">
        <v>48.625301360999998</v>
      </c>
    </row>
    <row r="449" spans="1:14" x14ac:dyDescent="0.25">
      <c r="A449">
        <v>413.384365</v>
      </c>
      <c r="B449" s="1">
        <f>DATE(2011,6,18) + TIME(9,13,29)</f>
        <v>40712.384363425925</v>
      </c>
      <c r="C449">
        <v>1379.2349853999999</v>
      </c>
      <c r="D449">
        <v>1365.6151123</v>
      </c>
      <c r="E449">
        <v>1291.8110352000001</v>
      </c>
      <c r="F449">
        <v>1272.6212158000001</v>
      </c>
      <c r="G449">
        <v>2400</v>
      </c>
      <c r="H449">
        <v>0</v>
      </c>
      <c r="I449">
        <v>0</v>
      </c>
      <c r="J449">
        <v>2400</v>
      </c>
      <c r="K449">
        <v>80</v>
      </c>
      <c r="L449">
        <v>79.960250853999995</v>
      </c>
      <c r="M449">
        <v>50</v>
      </c>
      <c r="N449">
        <v>48.592788696</v>
      </c>
    </row>
    <row r="450" spans="1:14" x14ac:dyDescent="0.25">
      <c r="A450">
        <v>414.75334099999998</v>
      </c>
      <c r="B450" s="1">
        <f>DATE(2011,6,19) + TIME(18,4,48)</f>
        <v>40713.753333333334</v>
      </c>
      <c r="C450">
        <v>1379.1856689000001</v>
      </c>
      <c r="D450">
        <v>1365.5756836</v>
      </c>
      <c r="E450">
        <v>1291.7982178</v>
      </c>
      <c r="F450">
        <v>1272.6032714999999</v>
      </c>
      <c r="G450">
        <v>2400</v>
      </c>
      <c r="H450">
        <v>0</v>
      </c>
      <c r="I450">
        <v>0</v>
      </c>
      <c r="J450">
        <v>2400</v>
      </c>
      <c r="K450">
        <v>80</v>
      </c>
      <c r="L450">
        <v>79.960281371999997</v>
      </c>
      <c r="M450">
        <v>50</v>
      </c>
      <c r="N450">
        <v>48.559398651000002</v>
      </c>
    </row>
    <row r="451" spans="1:14" x14ac:dyDescent="0.25">
      <c r="A451">
        <v>416.17490500000002</v>
      </c>
      <c r="B451" s="1">
        <f>DATE(2011,6,21) + TIME(4,11,51)</f>
        <v>40715.174895833334</v>
      </c>
      <c r="C451">
        <v>1379.1358643000001</v>
      </c>
      <c r="D451">
        <v>1365.5358887</v>
      </c>
      <c r="E451">
        <v>1291.784668</v>
      </c>
      <c r="F451">
        <v>1272.5841064000001</v>
      </c>
      <c r="G451">
        <v>2400</v>
      </c>
      <c r="H451">
        <v>0</v>
      </c>
      <c r="I451">
        <v>0</v>
      </c>
      <c r="J451">
        <v>2400</v>
      </c>
      <c r="K451">
        <v>80</v>
      </c>
      <c r="L451">
        <v>79.960319518999995</v>
      </c>
      <c r="M451">
        <v>50</v>
      </c>
      <c r="N451">
        <v>48.524898528999998</v>
      </c>
    </row>
    <row r="452" spans="1:14" x14ac:dyDescent="0.25">
      <c r="A452">
        <v>417.62253299999998</v>
      </c>
      <c r="B452" s="1">
        <f>DATE(2011,6,22) + TIME(14,56,26)</f>
        <v>40716.622523148151</v>
      </c>
      <c r="C452">
        <v>1379.0853271000001</v>
      </c>
      <c r="D452">
        <v>1365.4954834</v>
      </c>
      <c r="E452">
        <v>1291.7702637</v>
      </c>
      <c r="F452">
        <v>1272.5637207</v>
      </c>
      <c r="G452">
        <v>2400</v>
      </c>
      <c r="H452">
        <v>0</v>
      </c>
      <c r="I452">
        <v>0</v>
      </c>
      <c r="J452">
        <v>2400</v>
      </c>
      <c r="K452">
        <v>80</v>
      </c>
      <c r="L452">
        <v>79.960357665999993</v>
      </c>
      <c r="M452">
        <v>50</v>
      </c>
      <c r="N452">
        <v>48.489356995000001</v>
      </c>
    </row>
    <row r="453" spans="1:14" x14ac:dyDescent="0.25">
      <c r="A453">
        <v>419.07593300000002</v>
      </c>
      <c r="B453" s="1">
        <f>DATE(2011,6,24) + TIME(1,49,20)</f>
        <v>40718.075925925928</v>
      </c>
      <c r="C453">
        <v>1379.0350341999999</v>
      </c>
      <c r="D453">
        <v>1365.4552002</v>
      </c>
      <c r="E453">
        <v>1291.7550048999999</v>
      </c>
      <c r="F453">
        <v>1272.5421143000001</v>
      </c>
      <c r="G453">
        <v>2400</v>
      </c>
      <c r="H453">
        <v>0</v>
      </c>
      <c r="I453">
        <v>0</v>
      </c>
      <c r="J453">
        <v>2400</v>
      </c>
      <c r="K453">
        <v>80</v>
      </c>
      <c r="L453">
        <v>79.960395813000005</v>
      </c>
      <c r="M453">
        <v>50</v>
      </c>
      <c r="N453">
        <v>48.453140259000001</v>
      </c>
    </row>
    <row r="454" spans="1:14" x14ac:dyDescent="0.25">
      <c r="A454">
        <v>420.54268500000001</v>
      </c>
      <c r="B454" s="1">
        <f>DATE(2011,6,25) + TIME(13,1,27)</f>
        <v>40719.542673611111</v>
      </c>
      <c r="C454">
        <v>1378.9858397999999</v>
      </c>
      <c r="D454">
        <v>1365.4157714999999</v>
      </c>
      <c r="E454">
        <v>1291.7393798999999</v>
      </c>
      <c r="F454">
        <v>1272.5196533000001</v>
      </c>
      <c r="G454">
        <v>2400</v>
      </c>
      <c r="H454">
        <v>0</v>
      </c>
      <c r="I454">
        <v>0</v>
      </c>
      <c r="J454">
        <v>2400</v>
      </c>
      <c r="K454">
        <v>80</v>
      </c>
      <c r="L454">
        <v>79.960433960000003</v>
      </c>
      <c r="M454">
        <v>50</v>
      </c>
      <c r="N454">
        <v>48.416427612</v>
      </c>
    </row>
    <row r="455" spans="1:14" x14ac:dyDescent="0.25">
      <c r="A455">
        <v>422.03058700000003</v>
      </c>
      <c r="B455" s="1">
        <f>DATE(2011,6,27) + TIME(0,44,2)</f>
        <v>40721.030578703707</v>
      </c>
      <c r="C455">
        <v>1378.9371338000001</v>
      </c>
      <c r="D455">
        <v>1365.3768310999999</v>
      </c>
      <c r="E455">
        <v>1291.7230225000001</v>
      </c>
      <c r="F455">
        <v>1272.4962158000001</v>
      </c>
      <c r="G455">
        <v>2400</v>
      </c>
      <c r="H455">
        <v>0</v>
      </c>
      <c r="I455">
        <v>0</v>
      </c>
      <c r="J455">
        <v>2400</v>
      </c>
      <c r="K455">
        <v>80</v>
      </c>
      <c r="L455">
        <v>79.960472107000001</v>
      </c>
      <c r="M455">
        <v>50</v>
      </c>
      <c r="N455">
        <v>48.379142760999997</v>
      </c>
    </row>
    <row r="456" spans="1:14" x14ac:dyDescent="0.25">
      <c r="A456">
        <v>423.54773399999999</v>
      </c>
      <c r="B456" s="1">
        <f>DATE(2011,6,28) + TIME(13,8,44)</f>
        <v>40722.547731481478</v>
      </c>
      <c r="C456">
        <v>1378.8889160000001</v>
      </c>
      <c r="D456">
        <v>1365.3381348</v>
      </c>
      <c r="E456">
        <v>1291.7060547000001</v>
      </c>
      <c r="F456">
        <v>1272.4716797000001</v>
      </c>
      <c r="G456">
        <v>2400</v>
      </c>
      <c r="H456">
        <v>0</v>
      </c>
      <c r="I456">
        <v>0</v>
      </c>
      <c r="J456">
        <v>2400</v>
      </c>
      <c r="K456">
        <v>80</v>
      </c>
      <c r="L456">
        <v>79.960517882999994</v>
      </c>
      <c r="M456">
        <v>50</v>
      </c>
      <c r="N456">
        <v>48.341110229000002</v>
      </c>
    </row>
    <row r="457" spans="1:14" x14ac:dyDescent="0.25">
      <c r="A457">
        <v>425.10169000000002</v>
      </c>
      <c r="B457" s="1">
        <f>DATE(2011,6,30) + TIME(2,26,26)</f>
        <v>40724.101689814815</v>
      </c>
      <c r="C457">
        <v>1378.8409423999999</v>
      </c>
      <c r="D457">
        <v>1365.2995605000001</v>
      </c>
      <c r="E457">
        <v>1291.6882324000001</v>
      </c>
      <c r="F457">
        <v>1272.4456786999999</v>
      </c>
      <c r="G457">
        <v>2400</v>
      </c>
      <c r="H457">
        <v>0</v>
      </c>
      <c r="I457">
        <v>0</v>
      </c>
      <c r="J457">
        <v>2400</v>
      </c>
      <c r="K457">
        <v>80</v>
      </c>
      <c r="L457">
        <v>79.960556030000006</v>
      </c>
      <c r="M457">
        <v>50</v>
      </c>
      <c r="N457">
        <v>48.302120209000002</v>
      </c>
    </row>
    <row r="458" spans="1:14" x14ac:dyDescent="0.25">
      <c r="A458">
        <v>426</v>
      </c>
      <c r="B458" s="1">
        <f>DATE(2011,7,1) + TIME(0,0,0)</f>
        <v>40725</v>
      </c>
      <c r="C458">
        <v>1378.7926024999999</v>
      </c>
      <c r="D458">
        <v>1365.2608643000001</v>
      </c>
      <c r="E458">
        <v>1291.6688231999999</v>
      </c>
      <c r="F458">
        <v>1272.4196777</v>
      </c>
      <c r="G458">
        <v>2400</v>
      </c>
      <c r="H458">
        <v>0</v>
      </c>
      <c r="I458">
        <v>0</v>
      </c>
      <c r="J458">
        <v>2400</v>
      </c>
      <c r="K458">
        <v>80</v>
      </c>
      <c r="L458">
        <v>79.960578917999996</v>
      </c>
      <c r="M458">
        <v>50</v>
      </c>
      <c r="N458">
        <v>48.270534515000001</v>
      </c>
    </row>
    <row r="459" spans="1:14" x14ac:dyDescent="0.25">
      <c r="A459">
        <v>427.59615300000002</v>
      </c>
      <c r="B459" s="1">
        <f>DATE(2011,7,2) + TIME(14,18,27)</f>
        <v>40726.596145833333</v>
      </c>
      <c r="C459">
        <v>1378.7653809000001</v>
      </c>
      <c r="D459">
        <v>1365.2388916</v>
      </c>
      <c r="E459">
        <v>1291.6580810999999</v>
      </c>
      <c r="F459">
        <v>1272.4005127</v>
      </c>
      <c r="G459">
        <v>2400</v>
      </c>
      <c r="H459">
        <v>0</v>
      </c>
      <c r="I459">
        <v>0</v>
      </c>
      <c r="J459">
        <v>2400</v>
      </c>
      <c r="K459">
        <v>80</v>
      </c>
      <c r="L459">
        <v>79.960624695000007</v>
      </c>
      <c r="M459">
        <v>50</v>
      </c>
      <c r="N459">
        <v>48.235645294000001</v>
      </c>
    </row>
    <row r="460" spans="1:14" x14ac:dyDescent="0.25">
      <c r="A460">
        <v>429.261978</v>
      </c>
      <c r="B460" s="1">
        <f>DATE(2011,7,4) + TIME(6,17,14)</f>
        <v>40728.261967592596</v>
      </c>
      <c r="C460">
        <v>1378.7175293</v>
      </c>
      <c r="D460">
        <v>1365.2005615</v>
      </c>
      <c r="E460">
        <v>1291.6379394999999</v>
      </c>
      <c r="F460">
        <v>1272.3712158000001</v>
      </c>
      <c r="G460">
        <v>2400</v>
      </c>
      <c r="H460">
        <v>0</v>
      </c>
      <c r="I460">
        <v>0</v>
      </c>
      <c r="J460">
        <v>2400</v>
      </c>
      <c r="K460">
        <v>80</v>
      </c>
      <c r="L460">
        <v>79.960678100999999</v>
      </c>
      <c r="M460">
        <v>50</v>
      </c>
      <c r="N460">
        <v>48.195655823000003</v>
      </c>
    </row>
    <row r="461" spans="1:14" x14ac:dyDescent="0.25">
      <c r="A461">
        <v>430.94555800000001</v>
      </c>
      <c r="B461" s="1">
        <f>DATE(2011,7,5) + TIME(22,41,36)</f>
        <v>40729.945555555554</v>
      </c>
      <c r="C461">
        <v>1378.6687012</v>
      </c>
      <c r="D461">
        <v>1365.1612548999999</v>
      </c>
      <c r="E461">
        <v>1291.6160889</v>
      </c>
      <c r="F461">
        <v>1272.3391113</v>
      </c>
      <c r="G461">
        <v>2400</v>
      </c>
      <c r="H461">
        <v>0</v>
      </c>
      <c r="I461">
        <v>0</v>
      </c>
      <c r="J461">
        <v>2400</v>
      </c>
      <c r="K461">
        <v>80</v>
      </c>
      <c r="L461">
        <v>79.960723877000007</v>
      </c>
      <c r="M461">
        <v>50</v>
      </c>
      <c r="N461">
        <v>48.152851105000003</v>
      </c>
    </row>
    <row r="462" spans="1:14" x14ac:dyDescent="0.25">
      <c r="A462">
        <v>432.64438999999999</v>
      </c>
      <c r="B462" s="1">
        <f>DATE(2011,7,7) + TIME(15,27,55)</f>
        <v>40731.644386574073</v>
      </c>
      <c r="C462">
        <v>1378.6204834</v>
      </c>
      <c r="D462">
        <v>1365.1224365</v>
      </c>
      <c r="E462">
        <v>1291.5933838000001</v>
      </c>
      <c r="F462">
        <v>1272.3051757999999</v>
      </c>
      <c r="G462">
        <v>2400</v>
      </c>
      <c r="H462">
        <v>0</v>
      </c>
      <c r="I462">
        <v>0</v>
      </c>
      <c r="J462">
        <v>2400</v>
      </c>
      <c r="K462">
        <v>80</v>
      </c>
      <c r="L462">
        <v>79.960769653</v>
      </c>
      <c r="M462">
        <v>50</v>
      </c>
      <c r="N462">
        <v>48.108509064000003</v>
      </c>
    </row>
    <row r="463" spans="1:14" x14ac:dyDescent="0.25">
      <c r="A463">
        <v>434.36211400000002</v>
      </c>
      <c r="B463" s="1">
        <f>DATE(2011,7,9) + TIME(8,41,26)</f>
        <v>40733.36210648148</v>
      </c>
      <c r="C463">
        <v>1378.5727539</v>
      </c>
      <c r="D463">
        <v>1365.0839844</v>
      </c>
      <c r="E463">
        <v>1291.5698242000001</v>
      </c>
      <c r="F463">
        <v>1272.2696533000001</v>
      </c>
      <c r="G463">
        <v>2400</v>
      </c>
      <c r="H463">
        <v>0</v>
      </c>
      <c r="I463">
        <v>0</v>
      </c>
      <c r="J463">
        <v>2400</v>
      </c>
      <c r="K463">
        <v>80</v>
      </c>
      <c r="L463">
        <v>79.960823059000006</v>
      </c>
      <c r="M463">
        <v>50</v>
      </c>
      <c r="N463">
        <v>48.063026428000001</v>
      </c>
    </row>
    <row r="464" spans="1:14" x14ac:dyDescent="0.25">
      <c r="A464">
        <v>436.10779300000002</v>
      </c>
      <c r="B464" s="1">
        <f>DATE(2011,7,11) + TIME(2,35,13)</f>
        <v>40735.107789351852</v>
      </c>
      <c r="C464">
        <v>1378.5256348</v>
      </c>
      <c r="D464">
        <v>1365.0458983999999</v>
      </c>
      <c r="E464">
        <v>1291.5451660000001</v>
      </c>
      <c r="F464">
        <v>1272.2322998</v>
      </c>
      <c r="G464">
        <v>2400</v>
      </c>
      <c r="H464">
        <v>0</v>
      </c>
      <c r="I464">
        <v>0</v>
      </c>
      <c r="J464">
        <v>2400</v>
      </c>
      <c r="K464">
        <v>80</v>
      </c>
      <c r="L464">
        <v>79.960868834999999</v>
      </c>
      <c r="M464">
        <v>50</v>
      </c>
      <c r="N464">
        <v>48.016395568999997</v>
      </c>
    </row>
    <row r="465" spans="1:14" x14ac:dyDescent="0.25">
      <c r="A465">
        <v>437.89093000000003</v>
      </c>
      <c r="B465" s="1">
        <f>DATE(2011,7,12) + TIME(21,22,56)</f>
        <v>40736.890925925924</v>
      </c>
      <c r="C465">
        <v>1378.4786377</v>
      </c>
      <c r="D465">
        <v>1365.0080565999999</v>
      </c>
      <c r="E465">
        <v>1291.5195312000001</v>
      </c>
      <c r="F465">
        <v>1272.1929932</v>
      </c>
      <c r="G465">
        <v>2400</v>
      </c>
      <c r="H465">
        <v>0</v>
      </c>
      <c r="I465">
        <v>0</v>
      </c>
      <c r="J465">
        <v>2400</v>
      </c>
      <c r="K465">
        <v>80</v>
      </c>
      <c r="L465">
        <v>79.960922241000006</v>
      </c>
      <c r="M465">
        <v>50</v>
      </c>
      <c r="N465">
        <v>47.968421935999999</v>
      </c>
    </row>
    <row r="466" spans="1:14" x14ac:dyDescent="0.25">
      <c r="A466">
        <v>439.72168299999998</v>
      </c>
      <c r="B466" s="1">
        <f>DATE(2011,7,14) + TIME(17,19,13)</f>
        <v>40738.721678240741</v>
      </c>
      <c r="C466">
        <v>1378.4316406</v>
      </c>
      <c r="D466">
        <v>1364.9700928</v>
      </c>
      <c r="E466">
        <v>1291.4924315999999</v>
      </c>
      <c r="F466">
        <v>1272.1513672000001</v>
      </c>
      <c r="G466">
        <v>2400</v>
      </c>
      <c r="H466">
        <v>0</v>
      </c>
      <c r="I466">
        <v>0</v>
      </c>
      <c r="J466">
        <v>2400</v>
      </c>
      <c r="K466">
        <v>80</v>
      </c>
      <c r="L466">
        <v>79.960975646999998</v>
      </c>
      <c r="M466">
        <v>50</v>
      </c>
      <c r="N466">
        <v>47.918815613</v>
      </c>
    </row>
    <row r="467" spans="1:14" x14ac:dyDescent="0.25">
      <c r="A467">
        <v>441.60258099999999</v>
      </c>
      <c r="B467" s="1">
        <f>DATE(2011,7,16) + TIME(14,27,42)</f>
        <v>40740.602569444447</v>
      </c>
      <c r="C467">
        <v>1378.3843993999999</v>
      </c>
      <c r="D467">
        <v>1364.9318848</v>
      </c>
      <c r="E467">
        <v>1291.4638672000001</v>
      </c>
      <c r="F467">
        <v>1272.1071777</v>
      </c>
      <c r="G467">
        <v>2400</v>
      </c>
      <c r="H467">
        <v>0</v>
      </c>
      <c r="I467">
        <v>0</v>
      </c>
      <c r="J467">
        <v>2400</v>
      </c>
      <c r="K467">
        <v>80</v>
      </c>
      <c r="L467">
        <v>79.961036682</v>
      </c>
      <c r="M467">
        <v>50</v>
      </c>
      <c r="N467">
        <v>47.867313385000003</v>
      </c>
    </row>
    <row r="468" spans="1:14" x14ac:dyDescent="0.25">
      <c r="A468">
        <v>443.50067100000001</v>
      </c>
      <c r="B468" s="1">
        <f>DATE(2011,7,18) + TIME(12,0,57)</f>
        <v>40742.500659722224</v>
      </c>
      <c r="C468">
        <v>1378.3369141000001</v>
      </c>
      <c r="D468">
        <v>1364.8934326000001</v>
      </c>
      <c r="E468">
        <v>1291.4337158000001</v>
      </c>
      <c r="F468">
        <v>1272.0601807</v>
      </c>
      <c r="G468">
        <v>2400</v>
      </c>
      <c r="H468">
        <v>0</v>
      </c>
      <c r="I468">
        <v>0</v>
      </c>
      <c r="J468">
        <v>2400</v>
      </c>
      <c r="K468">
        <v>80</v>
      </c>
      <c r="L468">
        <v>79.961090088000006</v>
      </c>
      <c r="M468">
        <v>50</v>
      </c>
      <c r="N468">
        <v>47.814037323000001</v>
      </c>
    </row>
    <row r="469" spans="1:14" x14ac:dyDescent="0.25">
      <c r="A469">
        <v>445.42651799999999</v>
      </c>
      <c r="B469" s="1">
        <f>DATE(2011,7,20) + TIME(10,14,11)</f>
        <v>40744.426516203705</v>
      </c>
      <c r="C469">
        <v>1378.2899170000001</v>
      </c>
      <c r="D469">
        <v>1364.8553466999999</v>
      </c>
      <c r="E469">
        <v>1291.4023437999999</v>
      </c>
      <c r="F469">
        <v>1272.0109863</v>
      </c>
      <c r="G469">
        <v>2400</v>
      </c>
      <c r="H469">
        <v>0</v>
      </c>
      <c r="I469">
        <v>0</v>
      </c>
      <c r="J469">
        <v>2400</v>
      </c>
      <c r="K469">
        <v>80</v>
      </c>
      <c r="L469">
        <v>79.961151122999993</v>
      </c>
      <c r="M469">
        <v>50</v>
      </c>
      <c r="N469">
        <v>47.759258269999997</v>
      </c>
    </row>
    <row r="470" spans="1:14" x14ac:dyDescent="0.25">
      <c r="A470">
        <v>447.38303999999999</v>
      </c>
      <c r="B470" s="1">
        <f>DATE(2011,7,22) + TIME(9,11,34)</f>
        <v>40746.383032407408</v>
      </c>
      <c r="C470">
        <v>1378.2431641000001</v>
      </c>
      <c r="D470">
        <v>1364.8173827999999</v>
      </c>
      <c r="E470">
        <v>1291.369751</v>
      </c>
      <c r="F470">
        <v>1271.9594727000001</v>
      </c>
      <c r="G470">
        <v>2400</v>
      </c>
      <c r="H470">
        <v>0</v>
      </c>
      <c r="I470">
        <v>0</v>
      </c>
      <c r="J470">
        <v>2400</v>
      </c>
      <c r="K470">
        <v>80</v>
      </c>
      <c r="L470">
        <v>79.961204529</v>
      </c>
      <c r="M470">
        <v>50</v>
      </c>
      <c r="N470">
        <v>47.702888489000003</v>
      </c>
    </row>
    <row r="471" spans="1:14" x14ac:dyDescent="0.25">
      <c r="A471">
        <v>449.36637000000002</v>
      </c>
      <c r="B471" s="1">
        <f>DATE(2011,7,24) + TIME(8,47,34)</f>
        <v>40748.366365740738</v>
      </c>
      <c r="C471">
        <v>1378.1966553</v>
      </c>
      <c r="D471">
        <v>1364.7796631000001</v>
      </c>
      <c r="E471">
        <v>1291.3356934000001</v>
      </c>
      <c r="F471">
        <v>1271.9053954999999</v>
      </c>
      <c r="G471">
        <v>2400</v>
      </c>
      <c r="H471">
        <v>0</v>
      </c>
      <c r="I471">
        <v>0</v>
      </c>
      <c r="J471">
        <v>2400</v>
      </c>
      <c r="K471">
        <v>80</v>
      </c>
      <c r="L471">
        <v>79.961265564000001</v>
      </c>
      <c r="M471">
        <v>50</v>
      </c>
      <c r="N471">
        <v>47.644874573000003</v>
      </c>
    </row>
    <row r="472" spans="1:14" x14ac:dyDescent="0.25">
      <c r="A472">
        <v>451.38734499999998</v>
      </c>
      <c r="B472" s="1">
        <f>DATE(2011,7,26) + TIME(9,17,46)</f>
        <v>40750.387337962966</v>
      </c>
      <c r="C472">
        <v>1378.1503906</v>
      </c>
      <c r="D472">
        <v>1364.7420654</v>
      </c>
      <c r="E472">
        <v>1291.300293</v>
      </c>
      <c r="F472">
        <v>1271.8487548999999</v>
      </c>
      <c r="G472">
        <v>2400</v>
      </c>
      <c r="H472">
        <v>0</v>
      </c>
      <c r="I472">
        <v>0</v>
      </c>
      <c r="J472">
        <v>2400</v>
      </c>
      <c r="K472">
        <v>80</v>
      </c>
      <c r="L472">
        <v>79.961326599000003</v>
      </c>
      <c r="M472">
        <v>50</v>
      </c>
      <c r="N472">
        <v>47.585121155000003</v>
      </c>
    </row>
    <row r="473" spans="1:14" x14ac:dyDescent="0.25">
      <c r="A473">
        <v>453.45730300000002</v>
      </c>
      <c r="B473" s="1">
        <f>DATE(2011,7,28) + TIME(10,58,30)</f>
        <v>40752.457291666666</v>
      </c>
      <c r="C473">
        <v>1378.1042480000001</v>
      </c>
      <c r="D473">
        <v>1364.7045897999999</v>
      </c>
      <c r="E473">
        <v>1291.2634277</v>
      </c>
      <c r="F473">
        <v>1271.7891846</v>
      </c>
      <c r="G473">
        <v>2400</v>
      </c>
      <c r="H473">
        <v>0</v>
      </c>
      <c r="I473">
        <v>0</v>
      </c>
      <c r="J473">
        <v>2400</v>
      </c>
      <c r="K473">
        <v>80</v>
      </c>
      <c r="L473">
        <v>79.961387634000005</v>
      </c>
      <c r="M473">
        <v>50</v>
      </c>
      <c r="N473">
        <v>47.523345947000003</v>
      </c>
    </row>
    <row r="474" spans="1:14" x14ac:dyDescent="0.25">
      <c r="A474">
        <v>455.57128299999999</v>
      </c>
      <c r="B474" s="1">
        <f>DATE(2011,7,30) + TIME(13,42,38)</f>
        <v>40754.571273148147</v>
      </c>
      <c r="C474">
        <v>1378.0579834</v>
      </c>
      <c r="D474">
        <v>1364.6667480000001</v>
      </c>
      <c r="E474">
        <v>1291.2247314000001</v>
      </c>
      <c r="F474">
        <v>1271.7265625</v>
      </c>
      <c r="G474">
        <v>2400</v>
      </c>
      <c r="H474">
        <v>0</v>
      </c>
      <c r="I474">
        <v>0</v>
      </c>
      <c r="J474">
        <v>2400</v>
      </c>
      <c r="K474">
        <v>80</v>
      </c>
      <c r="L474">
        <v>79.961456299000005</v>
      </c>
      <c r="M474">
        <v>50</v>
      </c>
      <c r="N474">
        <v>47.459331511999999</v>
      </c>
    </row>
    <row r="475" spans="1:14" x14ac:dyDescent="0.25">
      <c r="A475">
        <v>457</v>
      </c>
      <c r="B475" s="1">
        <f>DATE(2011,8,1) + TIME(0,0,0)</f>
        <v>40756</v>
      </c>
      <c r="C475">
        <v>1378.0114745999999</v>
      </c>
      <c r="D475">
        <v>1364.6287841999999</v>
      </c>
      <c r="E475">
        <v>1291.1844481999999</v>
      </c>
      <c r="F475">
        <v>1271.6634521000001</v>
      </c>
      <c r="G475">
        <v>2400</v>
      </c>
      <c r="H475">
        <v>0</v>
      </c>
      <c r="I475">
        <v>0</v>
      </c>
      <c r="J475">
        <v>2400</v>
      </c>
      <c r="K475">
        <v>80</v>
      </c>
      <c r="L475">
        <v>79.961494446000003</v>
      </c>
      <c r="M475">
        <v>50</v>
      </c>
      <c r="N475">
        <v>47.401481627999999</v>
      </c>
    </row>
    <row r="476" spans="1:14" x14ac:dyDescent="0.25">
      <c r="A476">
        <v>459.13245599999999</v>
      </c>
      <c r="B476" s="1">
        <f>DATE(2011,8,3) + TIME(3,10,44)</f>
        <v>40758.132453703707</v>
      </c>
      <c r="C476">
        <v>1377.9805908000001</v>
      </c>
      <c r="D476">
        <v>1364.6036377</v>
      </c>
      <c r="E476">
        <v>1291.1557617000001</v>
      </c>
      <c r="F476">
        <v>1271.6123047000001</v>
      </c>
      <c r="G476">
        <v>2400</v>
      </c>
      <c r="H476">
        <v>0</v>
      </c>
      <c r="I476">
        <v>0</v>
      </c>
      <c r="J476">
        <v>2400</v>
      </c>
      <c r="K476">
        <v>80</v>
      </c>
      <c r="L476">
        <v>79.96156311</v>
      </c>
      <c r="M476">
        <v>50</v>
      </c>
      <c r="N476">
        <v>47.344085692999997</v>
      </c>
    </row>
    <row r="477" spans="1:14" x14ac:dyDescent="0.25">
      <c r="A477">
        <v>461.32299399999999</v>
      </c>
      <c r="B477" s="1">
        <f>DATE(2011,8,5) + TIME(7,45,6)</f>
        <v>40760.32298611111</v>
      </c>
      <c r="C477">
        <v>1377.9353027</v>
      </c>
      <c r="D477">
        <v>1364.5666504000001</v>
      </c>
      <c r="E477">
        <v>1291.1142577999999</v>
      </c>
      <c r="F477">
        <v>1271.5445557</v>
      </c>
      <c r="G477">
        <v>2400</v>
      </c>
      <c r="H477">
        <v>0</v>
      </c>
      <c r="I477">
        <v>0</v>
      </c>
      <c r="J477">
        <v>2400</v>
      </c>
      <c r="K477">
        <v>80</v>
      </c>
      <c r="L477">
        <v>79.961631775000001</v>
      </c>
      <c r="M477">
        <v>50</v>
      </c>
      <c r="N477">
        <v>47.278137207</v>
      </c>
    </row>
    <row r="478" spans="1:14" x14ac:dyDescent="0.25">
      <c r="A478">
        <v>463.56329099999999</v>
      </c>
      <c r="B478" s="1">
        <f>DATE(2011,8,7) + TIME(13,31,8)</f>
        <v>40762.563287037039</v>
      </c>
      <c r="C478">
        <v>1377.8896483999999</v>
      </c>
      <c r="D478">
        <v>1364.5291748</v>
      </c>
      <c r="E478">
        <v>1291.0704346</v>
      </c>
      <c r="F478">
        <v>1271.4719238</v>
      </c>
      <c r="G478">
        <v>2400</v>
      </c>
      <c r="H478">
        <v>0</v>
      </c>
      <c r="I478">
        <v>0</v>
      </c>
      <c r="J478">
        <v>2400</v>
      </c>
      <c r="K478">
        <v>80</v>
      </c>
      <c r="L478">
        <v>79.961700438999998</v>
      </c>
      <c r="M478">
        <v>50</v>
      </c>
      <c r="N478">
        <v>47.207843781000001</v>
      </c>
    </row>
    <row r="479" spans="1:14" x14ac:dyDescent="0.25">
      <c r="A479">
        <v>465.84093000000001</v>
      </c>
      <c r="B479" s="1">
        <f>DATE(2011,8,9) + TIME(20,10,56)</f>
        <v>40764.840925925928</v>
      </c>
      <c r="C479">
        <v>1377.84375</v>
      </c>
      <c r="D479">
        <v>1364.4915771000001</v>
      </c>
      <c r="E479">
        <v>1291.0249022999999</v>
      </c>
      <c r="F479">
        <v>1271.3956298999999</v>
      </c>
      <c r="G479">
        <v>2400</v>
      </c>
      <c r="H479">
        <v>0</v>
      </c>
      <c r="I479">
        <v>0</v>
      </c>
      <c r="J479">
        <v>2400</v>
      </c>
      <c r="K479">
        <v>80</v>
      </c>
      <c r="L479">
        <v>79.961769103999998</v>
      </c>
      <c r="M479">
        <v>50</v>
      </c>
      <c r="N479">
        <v>47.134670258</v>
      </c>
    </row>
    <row r="480" spans="1:14" x14ac:dyDescent="0.25">
      <c r="A480">
        <v>468.16636799999998</v>
      </c>
      <c r="B480" s="1">
        <f>DATE(2011,8,12) + TIME(3,59,34)</f>
        <v>40767.166365740741</v>
      </c>
      <c r="C480">
        <v>1377.7979736</v>
      </c>
      <c r="D480">
        <v>1364.4539795000001</v>
      </c>
      <c r="E480">
        <v>1290.9777832</v>
      </c>
      <c r="F480">
        <v>1271.3160399999999</v>
      </c>
      <c r="G480">
        <v>2400</v>
      </c>
      <c r="H480">
        <v>0</v>
      </c>
      <c r="I480">
        <v>0</v>
      </c>
      <c r="J480">
        <v>2400</v>
      </c>
      <c r="K480">
        <v>80</v>
      </c>
      <c r="L480">
        <v>79.961837768999999</v>
      </c>
      <c r="M480">
        <v>50</v>
      </c>
      <c r="N480">
        <v>47.059150696000003</v>
      </c>
    </row>
    <row r="481" spans="1:14" x14ac:dyDescent="0.25">
      <c r="A481">
        <v>470.525688</v>
      </c>
      <c r="B481" s="1">
        <f>DATE(2011,8,14) + TIME(12,36,59)</f>
        <v>40769.525682870371</v>
      </c>
      <c r="C481">
        <v>1377.7520752</v>
      </c>
      <c r="D481">
        <v>1364.4163818</v>
      </c>
      <c r="E481">
        <v>1290.9290771000001</v>
      </c>
      <c r="F481">
        <v>1271.2332764</v>
      </c>
      <c r="G481">
        <v>2400</v>
      </c>
      <c r="H481">
        <v>0</v>
      </c>
      <c r="I481">
        <v>0</v>
      </c>
      <c r="J481">
        <v>2400</v>
      </c>
      <c r="K481">
        <v>80</v>
      </c>
      <c r="L481">
        <v>79.961914062000005</v>
      </c>
      <c r="M481">
        <v>50</v>
      </c>
      <c r="N481">
        <v>46.981437683000003</v>
      </c>
    </row>
    <row r="482" spans="1:14" x14ac:dyDescent="0.25">
      <c r="A482">
        <v>472.90366</v>
      </c>
      <c r="B482" s="1">
        <f>DATE(2011,8,16) + TIME(21,41,16)</f>
        <v>40771.903657407405</v>
      </c>
      <c r="C482">
        <v>1377.7064209</v>
      </c>
      <c r="D482">
        <v>1364.3787841999999</v>
      </c>
      <c r="E482">
        <v>1290.8791504000001</v>
      </c>
      <c r="F482">
        <v>1271.1477050999999</v>
      </c>
      <c r="G482">
        <v>2400</v>
      </c>
      <c r="H482">
        <v>0</v>
      </c>
      <c r="I482">
        <v>0</v>
      </c>
      <c r="J482">
        <v>2400</v>
      </c>
      <c r="K482">
        <v>80</v>
      </c>
      <c r="L482">
        <v>79.961982727000006</v>
      </c>
      <c r="M482">
        <v>50</v>
      </c>
      <c r="N482">
        <v>46.901985168000003</v>
      </c>
    </row>
    <row r="483" spans="1:14" x14ac:dyDescent="0.25">
      <c r="A483">
        <v>475.31290200000001</v>
      </c>
      <c r="B483" s="1">
        <f>DATE(2011,8,19) + TIME(7,30,34)</f>
        <v>40774.312893518516</v>
      </c>
      <c r="C483">
        <v>1377.6612548999999</v>
      </c>
      <c r="D483">
        <v>1364.3414307</v>
      </c>
      <c r="E483">
        <v>1290.8282471</v>
      </c>
      <c r="F483">
        <v>1271.0598144999999</v>
      </c>
      <c r="G483">
        <v>2400</v>
      </c>
      <c r="H483">
        <v>0</v>
      </c>
      <c r="I483">
        <v>0</v>
      </c>
      <c r="J483">
        <v>2400</v>
      </c>
      <c r="K483">
        <v>80</v>
      </c>
      <c r="L483">
        <v>79.962059021000002</v>
      </c>
      <c r="M483">
        <v>50</v>
      </c>
      <c r="N483">
        <v>46.821117401000002</v>
      </c>
    </row>
    <row r="484" spans="1:14" x14ac:dyDescent="0.25">
      <c r="A484">
        <v>477.76221199999998</v>
      </c>
      <c r="B484" s="1">
        <f>DATE(2011,8,21) + TIME(18,17,35)</f>
        <v>40776.76221064815</v>
      </c>
      <c r="C484">
        <v>1377.6162108999999</v>
      </c>
      <c r="D484">
        <v>1364.3043213000001</v>
      </c>
      <c r="E484">
        <v>1290.7764893000001</v>
      </c>
      <c r="F484">
        <v>1270.9696045000001</v>
      </c>
      <c r="G484">
        <v>2400</v>
      </c>
      <c r="H484">
        <v>0</v>
      </c>
      <c r="I484">
        <v>0</v>
      </c>
      <c r="J484">
        <v>2400</v>
      </c>
      <c r="K484">
        <v>80</v>
      </c>
      <c r="L484">
        <v>79.962135314999998</v>
      </c>
      <c r="M484">
        <v>50</v>
      </c>
      <c r="N484">
        <v>46.738746642999999</v>
      </c>
    </row>
    <row r="485" spans="1:14" x14ac:dyDescent="0.25">
      <c r="A485">
        <v>480.26451500000002</v>
      </c>
      <c r="B485" s="1">
        <f>DATE(2011,8,24) + TIME(6,20,54)</f>
        <v>40779.264513888891</v>
      </c>
      <c r="C485">
        <v>1377.5712891000001</v>
      </c>
      <c r="D485">
        <v>1364.2672118999999</v>
      </c>
      <c r="E485">
        <v>1290.7236327999999</v>
      </c>
      <c r="F485">
        <v>1270.8767089999999</v>
      </c>
      <c r="G485">
        <v>2400</v>
      </c>
      <c r="H485">
        <v>0</v>
      </c>
      <c r="I485">
        <v>0</v>
      </c>
      <c r="J485">
        <v>2400</v>
      </c>
      <c r="K485">
        <v>80</v>
      </c>
      <c r="L485">
        <v>79.962211608999993</v>
      </c>
      <c r="M485">
        <v>50</v>
      </c>
      <c r="N485">
        <v>46.654685974000003</v>
      </c>
    </row>
    <row r="486" spans="1:14" x14ac:dyDescent="0.25">
      <c r="A486">
        <v>482.82720899999998</v>
      </c>
      <c r="B486" s="1">
        <f>DATE(2011,8,26) + TIME(19,51,10)</f>
        <v>40781.827199074076</v>
      </c>
      <c r="C486">
        <v>1377.5261230000001</v>
      </c>
      <c r="D486">
        <v>1364.2297363</v>
      </c>
      <c r="E486">
        <v>1290.6695557</v>
      </c>
      <c r="F486">
        <v>1270.7810059000001</v>
      </c>
      <c r="G486">
        <v>2400</v>
      </c>
      <c r="H486">
        <v>0</v>
      </c>
      <c r="I486">
        <v>0</v>
      </c>
      <c r="J486">
        <v>2400</v>
      </c>
      <c r="K486">
        <v>80</v>
      </c>
      <c r="L486">
        <v>79.962287903000004</v>
      </c>
      <c r="M486">
        <v>50</v>
      </c>
      <c r="N486">
        <v>46.568740845000001</v>
      </c>
    </row>
    <row r="487" spans="1:14" x14ac:dyDescent="0.25">
      <c r="A487">
        <v>485.41420499999998</v>
      </c>
      <c r="B487" s="1">
        <f>DATE(2011,8,29) + TIME(9,56,27)</f>
        <v>40784.414201388892</v>
      </c>
      <c r="C487">
        <v>1377.4807129000001</v>
      </c>
      <c r="D487">
        <v>1364.1921387</v>
      </c>
      <c r="E487">
        <v>1290.6143798999999</v>
      </c>
      <c r="F487">
        <v>1270.6823730000001</v>
      </c>
      <c r="G487">
        <v>2400</v>
      </c>
      <c r="H487">
        <v>0</v>
      </c>
      <c r="I487">
        <v>0</v>
      </c>
      <c r="J487">
        <v>2400</v>
      </c>
      <c r="K487">
        <v>80</v>
      </c>
      <c r="L487">
        <v>79.962364196999999</v>
      </c>
      <c r="M487">
        <v>50</v>
      </c>
      <c r="N487">
        <v>46.481189727999997</v>
      </c>
    </row>
    <row r="488" spans="1:14" x14ac:dyDescent="0.25">
      <c r="A488">
        <v>488</v>
      </c>
      <c r="B488" s="1">
        <f>DATE(2011,9,1) + TIME(0,0,0)</f>
        <v>40787</v>
      </c>
      <c r="C488">
        <v>1377.4356689000001</v>
      </c>
      <c r="D488">
        <v>1364.1546631000001</v>
      </c>
      <c r="E488">
        <v>1290.5587158000001</v>
      </c>
      <c r="F488">
        <v>1270.5822754000001</v>
      </c>
      <c r="G488">
        <v>2400</v>
      </c>
      <c r="H488">
        <v>0</v>
      </c>
      <c r="I488">
        <v>0</v>
      </c>
      <c r="J488">
        <v>2400</v>
      </c>
      <c r="K488">
        <v>80</v>
      </c>
      <c r="L488">
        <v>79.962448120000005</v>
      </c>
      <c r="M488">
        <v>50</v>
      </c>
      <c r="N488">
        <v>46.393085480000003</v>
      </c>
    </row>
    <row r="489" spans="1:14" x14ac:dyDescent="0.25">
      <c r="A489">
        <v>490.62194499999998</v>
      </c>
      <c r="B489" s="1">
        <f>DATE(2011,9,3) + TIME(14,55,36)</f>
        <v>40789.621944444443</v>
      </c>
      <c r="C489">
        <v>1377.3913574000001</v>
      </c>
      <c r="D489">
        <v>1364.1177978999999</v>
      </c>
      <c r="E489">
        <v>1290.5035399999999</v>
      </c>
      <c r="F489">
        <v>1270.4815673999999</v>
      </c>
      <c r="G489">
        <v>2400</v>
      </c>
      <c r="H489">
        <v>0</v>
      </c>
      <c r="I489">
        <v>0</v>
      </c>
      <c r="J489">
        <v>2400</v>
      </c>
      <c r="K489">
        <v>80</v>
      </c>
      <c r="L489">
        <v>79.962524414000001</v>
      </c>
      <c r="M489">
        <v>50</v>
      </c>
      <c r="N489">
        <v>46.305015564000001</v>
      </c>
    </row>
    <row r="490" spans="1:14" x14ac:dyDescent="0.25">
      <c r="A490">
        <v>493.303381</v>
      </c>
      <c r="B490" s="1">
        <f>DATE(2011,9,6) + TIME(7,16,52)</f>
        <v>40792.303379629629</v>
      </c>
      <c r="C490">
        <v>1377.347168</v>
      </c>
      <c r="D490">
        <v>1364.0809326000001</v>
      </c>
      <c r="E490">
        <v>1290.4481201000001</v>
      </c>
      <c r="F490">
        <v>1270.3795166</v>
      </c>
      <c r="G490">
        <v>2400</v>
      </c>
      <c r="H490">
        <v>0</v>
      </c>
      <c r="I490">
        <v>0</v>
      </c>
      <c r="J490">
        <v>2400</v>
      </c>
      <c r="K490">
        <v>80</v>
      </c>
      <c r="L490">
        <v>79.962608337000006</v>
      </c>
      <c r="M490">
        <v>50</v>
      </c>
      <c r="N490">
        <v>46.216518401999998</v>
      </c>
    </row>
    <row r="491" spans="1:14" x14ac:dyDescent="0.25">
      <c r="A491">
        <v>496.03513600000002</v>
      </c>
      <c r="B491" s="1">
        <f>DATE(2011,9,9) + TIME(0,50,35)</f>
        <v>40795.035127314812</v>
      </c>
      <c r="C491">
        <v>1377.3027344</v>
      </c>
      <c r="D491">
        <v>1364.0438231999999</v>
      </c>
      <c r="E491">
        <v>1290.3923339999999</v>
      </c>
      <c r="F491">
        <v>1270.2757568</v>
      </c>
      <c r="G491">
        <v>2400</v>
      </c>
      <c r="H491">
        <v>0</v>
      </c>
      <c r="I491">
        <v>0</v>
      </c>
      <c r="J491">
        <v>2400</v>
      </c>
      <c r="K491">
        <v>80</v>
      </c>
      <c r="L491">
        <v>79.962692261000001</v>
      </c>
      <c r="M491">
        <v>50</v>
      </c>
      <c r="N491">
        <v>46.127407073999997</v>
      </c>
    </row>
    <row r="492" spans="1:14" x14ac:dyDescent="0.25">
      <c r="A492">
        <v>498.82718399999999</v>
      </c>
      <c r="B492" s="1">
        <f>DATE(2011,9,11) + TIME(19,51,8)</f>
        <v>40797.827175925922</v>
      </c>
      <c r="C492">
        <v>1377.2580565999999</v>
      </c>
      <c r="D492">
        <v>1364.0064697</v>
      </c>
      <c r="E492">
        <v>1290.3365478999999</v>
      </c>
      <c r="F492">
        <v>1270.1707764</v>
      </c>
      <c r="G492">
        <v>2400</v>
      </c>
      <c r="H492">
        <v>0</v>
      </c>
      <c r="I492">
        <v>0</v>
      </c>
      <c r="J492">
        <v>2400</v>
      </c>
      <c r="K492">
        <v>80</v>
      </c>
      <c r="L492">
        <v>79.962776184000006</v>
      </c>
      <c r="M492">
        <v>50</v>
      </c>
      <c r="N492">
        <v>46.038021088000001</v>
      </c>
    </row>
    <row r="493" spans="1:14" x14ac:dyDescent="0.25">
      <c r="A493">
        <v>501.64238899999998</v>
      </c>
      <c r="B493" s="1">
        <f>DATE(2011,9,14) + TIME(15,25,2)</f>
        <v>40800.642384259256</v>
      </c>
      <c r="C493">
        <v>1377.2132568</v>
      </c>
      <c r="D493">
        <v>1363.9688721</v>
      </c>
      <c r="E493">
        <v>1290.2807617000001</v>
      </c>
      <c r="F493">
        <v>1270.0645752</v>
      </c>
      <c r="G493">
        <v>2400</v>
      </c>
      <c r="H493">
        <v>0</v>
      </c>
      <c r="I493">
        <v>0</v>
      </c>
      <c r="J493">
        <v>2400</v>
      </c>
      <c r="K493">
        <v>80</v>
      </c>
      <c r="L493">
        <v>79.962860106999997</v>
      </c>
      <c r="M493">
        <v>50</v>
      </c>
      <c r="N493">
        <v>45.94890213</v>
      </c>
    </row>
    <row r="494" spans="1:14" x14ac:dyDescent="0.25">
      <c r="A494">
        <v>504.49574000000001</v>
      </c>
      <c r="B494" s="1">
        <f>DATE(2011,9,17) + TIME(11,53,51)</f>
        <v>40803.495729166665</v>
      </c>
      <c r="C494">
        <v>1377.1687012</v>
      </c>
      <c r="D494">
        <v>1363.9313964999999</v>
      </c>
      <c r="E494">
        <v>1290.2260742000001</v>
      </c>
      <c r="F494">
        <v>1269.9588623</v>
      </c>
      <c r="G494">
        <v>2400</v>
      </c>
      <c r="H494">
        <v>0</v>
      </c>
      <c r="I494">
        <v>0</v>
      </c>
      <c r="J494">
        <v>2400</v>
      </c>
      <c r="K494">
        <v>80</v>
      </c>
      <c r="L494">
        <v>79.962944031000006</v>
      </c>
      <c r="M494">
        <v>50</v>
      </c>
      <c r="N494">
        <v>45.861083983999997</v>
      </c>
    </row>
    <row r="495" spans="1:14" x14ac:dyDescent="0.25">
      <c r="A495">
        <v>507.39835900000003</v>
      </c>
      <c r="B495" s="1">
        <f>DATE(2011,9,20) + TIME(9,33,38)</f>
        <v>40806.398356481484</v>
      </c>
      <c r="C495">
        <v>1377.1241454999999</v>
      </c>
      <c r="D495">
        <v>1363.8939209</v>
      </c>
      <c r="E495">
        <v>1290.1723632999999</v>
      </c>
      <c r="F495">
        <v>1269.8535156</v>
      </c>
      <c r="G495">
        <v>2400</v>
      </c>
      <c r="H495">
        <v>0</v>
      </c>
      <c r="I495">
        <v>0</v>
      </c>
      <c r="J495">
        <v>2400</v>
      </c>
      <c r="K495">
        <v>80</v>
      </c>
      <c r="L495">
        <v>79.963027953999998</v>
      </c>
      <c r="M495">
        <v>50</v>
      </c>
      <c r="N495">
        <v>45.774887085000003</v>
      </c>
    </row>
    <row r="496" spans="1:14" x14ac:dyDescent="0.25">
      <c r="A496">
        <v>510.335264</v>
      </c>
      <c r="B496" s="1">
        <f>DATE(2011,9,23) + TIME(8,2,46)</f>
        <v>40809.33525462963</v>
      </c>
      <c r="C496">
        <v>1377.0795897999999</v>
      </c>
      <c r="D496">
        <v>1363.8563231999999</v>
      </c>
      <c r="E496">
        <v>1290.1198730000001</v>
      </c>
      <c r="F496">
        <v>1269.7489014</v>
      </c>
      <c r="G496">
        <v>2400</v>
      </c>
      <c r="H496">
        <v>0</v>
      </c>
      <c r="I496">
        <v>0</v>
      </c>
      <c r="J496">
        <v>2400</v>
      </c>
      <c r="K496">
        <v>80</v>
      </c>
      <c r="L496">
        <v>79.963119507000002</v>
      </c>
      <c r="M496">
        <v>50</v>
      </c>
      <c r="N496">
        <v>45.690799712999997</v>
      </c>
    </row>
    <row r="497" spans="1:14" x14ac:dyDescent="0.25">
      <c r="A497">
        <v>513.321955</v>
      </c>
      <c r="B497" s="1">
        <f>DATE(2011,9,26) + TIME(7,43,36)</f>
        <v>40812.321944444448</v>
      </c>
      <c r="C497">
        <v>1377.0350341999999</v>
      </c>
      <c r="D497">
        <v>1363.8187256000001</v>
      </c>
      <c r="E497">
        <v>1290.0692139</v>
      </c>
      <c r="F497">
        <v>1269.6457519999999</v>
      </c>
      <c r="G497">
        <v>2400</v>
      </c>
      <c r="H497">
        <v>0</v>
      </c>
      <c r="I497">
        <v>0</v>
      </c>
      <c r="J497">
        <v>2400</v>
      </c>
      <c r="K497">
        <v>80</v>
      </c>
      <c r="L497">
        <v>79.963211060000006</v>
      </c>
      <c r="M497">
        <v>50</v>
      </c>
      <c r="N497">
        <v>45.609600067000002</v>
      </c>
    </row>
    <row r="498" spans="1:14" x14ac:dyDescent="0.25">
      <c r="A498">
        <v>516.35681999999997</v>
      </c>
      <c r="B498" s="1">
        <f>DATE(2011,9,29) + TIME(8,33,49)</f>
        <v>40815.356817129628</v>
      </c>
      <c r="C498">
        <v>1376.9904785000001</v>
      </c>
      <c r="D498">
        <v>1363.7810059000001</v>
      </c>
      <c r="E498">
        <v>1290.0202637</v>
      </c>
      <c r="F498">
        <v>1269.5444336</v>
      </c>
      <c r="G498">
        <v>2400</v>
      </c>
      <c r="H498">
        <v>0</v>
      </c>
      <c r="I498">
        <v>0</v>
      </c>
      <c r="J498">
        <v>2400</v>
      </c>
      <c r="K498">
        <v>80</v>
      </c>
      <c r="L498">
        <v>79.963294982999997</v>
      </c>
      <c r="M498">
        <v>50</v>
      </c>
      <c r="N498">
        <v>45.531845093000001</v>
      </c>
    </row>
    <row r="499" spans="1:14" x14ac:dyDescent="0.25">
      <c r="A499">
        <v>518</v>
      </c>
      <c r="B499" s="1">
        <f>DATE(2011,10,1) + TIME(0,0,0)</f>
        <v>40817</v>
      </c>
      <c r="C499">
        <v>1376.9456786999999</v>
      </c>
      <c r="D499">
        <v>1363.7430420000001</v>
      </c>
      <c r="E499">
        <v>1289.9750977000001</v>
      </c>
      <c r="F499">
        <v>1269.4525146000001</v>
      </c>
      <c r="G499">
        <v>2400</v>
      </c>
      <c r="H499">
        <v>0</v>
      </c>
      <c r="I499">
        <v>0</v>
      </c>
      <c r="J499">
        <v>2400</v>
      </c>
      <c r="K499">
        <v>80</v>
      </c>
      <c r="L499">
        <v>79.963340759000005</v>
      </c>
      <c r="M499">
        <v>50</v>
      </c>
      <c r="N499">
        <v>45.470062255999999</v>
      </c>
    </row>
    <row r="500" spans="1:14" x14ac:dyDescent="0.25">
      <c r="A500">
        <v>521.059212</v>
      </c>
      <c r="B500" s="1">
        <f>DATE(2011,10,4) + TIME(1,25,15)</f>
        <v>40820.059201388889</v>
      </c>
      <c r="C500">
        <v>1376.9217529</v>
      </c>
      <c r="D500">
        <v>1363.7226562000001</v>
      </c>
      <c r="E500">
        <v>1289.9475098</v>
      </c>
      <c r="F500">
        <v>1269.3880615</v>
      </c>
      <c r="G500">
        <v>2400</v>
      </c>
      <c r="H500">
        <v>0</v>
      </c>
      <c r="I500">
        <v>0</v>
      </c>
      <c r="J500">
        <v>2400</v>
      </c>
      <c r="K500">
        <v>80</v>
      </c>
      <c r="L500">
        <v>79.963432311999995</v>
      </c>
      <c r="M500">
        <v>50</v>
      </c>
      <c r="N500">
        <v>45.417266845999997</v>
      </c>
    </row>
    <row r="501" spans="1:14" x14ac:dyDescent="0.25">
      <c r="A501">
        <v>524.18884000000003</v>
      </c>
      <c r="B501" s="1">
        <f>DATE(2011,10,7) + TIME(4,31,55)</f>
        <v>40823.188831018517</v>
      </c>
      <c r="C501">
        <v>1376.8776855000001</v>
      </c>
      <c r="D501">
        <v>1363.6851807</v>
      </c>
      <c r="E501">
        <v>1289.9079589999999</v>
      </c>
      <c r="F501">
        <v>1269.3006591999999</v>
      </c>
      <c r="G501">
        <v>2400</v>
      </c>
      <c r="H501">
        <v>0</v>
      </c>
      <c r="I501">
        <v>0</v>
      </c>
      <c r="J501">
        <v>2400</v>
      </c>
      <c r="K501">
        <v>80</v>
      </c>
      <c r="L501">
        <v>79.963531493999994</v>
      </c>
      <c r="M501">
        <v>50</v>
      </c>
      <c r="N501">
        <v>45.356899261000002</v>
      </c>
    </row>
    <row r="502" spans="1:14" x14ac:dyDescent="0.25">
      <c r="A502">
        <v>527.38389600000005</v>
      </c>
      <c r="B502" s="1">
        <f>DATE(2011,10,10) + TIME(9,12,48)</f>
        <v>40826.383888888886</v>
      </c>
      <c r="C502">
        <v>1376.8331298999999</v>
      </c>
      <c r="D502">
        <v>1363.6470947</v>
      </c>
      <c r="E502">
        <v>1289.869751</v>
      </c>
      <c r="F502">
        <v>1269.2130127</v>
      </c>
      <c r="G502">
        <v>2400</v>
      </c>
      <c r="H502">
        <v>0</v>
      </c>
      <c r="I502">
        <v>0</v>
      </c>
      <c r="J502">
        <v>2400</v>
      </c>
      <c r="K502">
        <v>80</v>
      </c>
      <c r="L502">
        <v>79.963623046999999</v>
      </c>
      <c r="M502">
        <v>50</v>
      </c>
      <c r="N502">
        <v>45.300041198999999</v>
      </c>
    </row>
    <row r="503" spans="1:14" x14ac:dyDescent="0.25">
      <c r="A503">
        <v>530.61804099999995</v>
      </c>
      <c r="B503" s="1">
        <f>DATE(2011,10,13) + TIME(14,49,58)</f>
        <v>40829.618032407408</v>
      </c>
      <c r="C503">
        <v>1376.7882079999999</v>
      </c>
      <c r="D503">
        <v>1363.6087646000001</v>
      </c>
      <c r="E503">
        <v>1289.8347168</v>
      </c>
      <c r="F503">
        <v>1269.1292725000001</v>
      </c>
      <c r="G503">
        <v>2400</v>
      </c>
      <c r="H503">
        <v>0</v>
      </c>
      <c r="I503">
        <v>0</v>
      </c>
      <c r="J503">
        <v>2400</v>
      </c>
      <c r="K503">
        <v>80</v>
      </c>
      <c r="L503">
        <v>79.963714600000003</v>
      </c>
      <c r="M503">
        <v>50</v>
      </c>
      <c r="N503">
        <v>45.250339508000003</v>
      </c>
    </row>
    <row r="504" spans="1:14" x14ac:dyDescent="0.25">
      <c r="A504">
        <v>533.87605900000005</v>
      </c>
      <c r="B504" s="1">
        <f>DATE(2011,10,16) + TIME(21,1,31)</f>
        <v>40832.87605324074</v>
      </c>
      <c r="C504">
        <v>1376.7432861</v>
      </c>
      <c r="D504">
        <v>1363.5703125</v>
      </c>
      <c r="E504">
        <v>1289.8038329999999</v>
      </c>
      <c r="F504">
        <v>1269.0513916</v>
      </c>
      <c r="G504">
        <v>2400</v>
      </c>
      <c r="H504">
        <v>0</v>
      </c>
      <c r="I504">
        <v>0</v>
      </c>
      <c r="J504">
        <v>2400</v>
      </c>
      <c r="K504">
        <v>80</v>
      </c>
      <c r="L504">
        <v>79.963813782000003</v>
      </c>
      <c r="M504">
        <v>50</v>
      </c>
      <c r="N504">
        <v>45.209903717000003</v>
      </c>
    </row>
    <row r="505" spans="1:14" x14ac:dyDescent="0.25">
      <c r="A505">
        <v>537.14916800000003</v>
      </c>
      <c r="B505" s="1">
        <f>DATE(2011,10,20) + TIME(3,34,48)</f>
        <v>40836.14916666667</v>
      </c>
      <c r="C505">
        <v>1376.6986084</v>
      </c>
      <c r="D505">
        <v>1363.5318603999999</v>
      </c>
      <c r="E505">
        <v>1289.7777100000001</v>
      </c>
      <c r="F505">
        <v>1268.9808350000001</v>
      </c>
      <c r="G505">
        <v>2400</v>
      </c>
      <c r="H505">
        <v>0</v>
      </c>
      <c r="I505">
        <v>0</v>
      </c>
      <c r="J505">
        <v>2400</v>
      </c>
      <c r="K505">
        <v>80</v>
      </c>
      <c r="L505">
        <v>79.963905334000003</v>
      </c>
      <c r="M505">
        <v>50</v>
      </c>
      <c r="N505">
        <v>45.180290221999996</v>
      </c>
    </row>
    <row r="506" spans="1:14" x14ac:dyDescent="0.25">
      <c r="A506">
        <v>540.45880999999997</v>
      </c>
      <c r="B506" s="1">
        <f>DATE(2011,10,23) + TIME(11,0,41)</f>
        <v>40839.458807870367</v>
      </c>
      <c r="C506">
        <v>1376.6542969</v>
      </c>
      <c r="D506">
        <v>1363.4936522999999</v>
      </c>
      <c r="E506">
        <v>1289.7568358999999</v>
      </c>
      <c r="F506">
        <v>1268.9185791</v>
      </c>
      <c r="G506">
        <v>2400</v>
      </c>
      <c r="H506">
        <v>0</v>
      </c>
      <c r="I506">
        <v>0</v>
      </c>
      <c r="J506">
        <v>2400</v>
      </c>
      <c r="K506">
        <v>80</v>
      </c>
      <c r="L506">
        <v>79.963996886999993</v>
      </c>
      <c r="M506">
        <v>50</v>
      </c>
      <c r="N506">
        <v>45.162757874</v>
      </c>
    </row>
    <row r="507" spans="1:14" x14ac:dyDescent="0.25">
      <c r="A507">
        <v>543.83735100000001</v>
      </c>
      <c r="B507" s="1">
        <f>DATE(2011,10,26) + TIME(20,5,47)</f>
        <v>40842.83734953704</v>
      </c>
      <c r="C507">
        <v>1376.6098632999999</v>
      </c>
      <c r="D507">
        <v>1363.4554443</v>
      </c>
      <c r="E507">
        <v>1289.7414550999999</v>
      </c>
      <c r="F507">
        <v>1268.8649902</v>
      </c>
      <c r="G507">
        <v>2400</v>
      </c>
      <c r="H507">
        <v>0</v>
      </c>
      <c r="I507">
        <v>0</v>
      </c>
      <c r="J507">
        <v>2400</v>
      </c>
      <c r="K507">
        <v>80</v>
      </c>
      <c r="L507">
        <v>79.964096068999993</v>
      </c>
      <c r="M507">
        <v>50</v>
      </c>
      <c r="N507">
        <v>45.158500670999999</v>
      </c>
    </row>
    <row r="508" spans="1:14" x14ac:dyDescent="0.25">
      <c r="A508">
        <v>547.26802399999997</v>
      </c>
      <c r="B508" s="1">
        <f>DATE(2011,10,30) + TIME(6,25,57)</f>
        <v>40846.268020833333</v>
      </c>
      <c r="C508">
        <v>1376.5651855000001</v>
      </c>
      <c r="D508">
        <v>1363.4167480000001</v>
      </c>
      <c r="E508">
        <v>1289.7316894999999</v>
      </c>
      <c r="F508">
        <v>1268.8208007999999</v>
      </c>
      <c r="G508">
        <v>2400</v>
      </c>
      <c r="H508">
        <v>0</v>
      </c>
      <c r="I508">
        <v>0</v>
      </c>
      <c r="J508">
        <v>2400</v>
      </c>
      <c r="K508">
        <v>80</v>
      </c>
      <c r="L508">
        <v>79.964195251000007</v>
      </c>
      <c r="M508">
        <v>50</v>
      </c>
      <c r="N508">
        <v>45.169048308999997</v>
      </c>
    </row>
    <row r="509" spans="1:14" x14ac:dyDescent="0.25">
      <c r="A509">
        <v>549</v>
      </c>
      <c r="B509" s="1">
        <f>DATE(2011,11,1) + TIME(0,0,0)</f>
        <v>40848</v>
      </c>
      <c r="C509">
        <v>1376.5202637</v>
      </c>
      <c r="D509">
        <v>1363.3778076000001</v>
      </c>
      <c r="E509">
        <v>1289.7314452999999</v>
      </c>
      <c r="F509">
        <v>1268.7911377</v>
      </c>
      <c r="G509">
        <v>2400</v>
      </c>
      <c r="H509">
        <v>0</v>
      </c>
      <c r="I509">
        <v>0</v>
      </c>
      <c r="J509">
        <v>2400</v>
      </c>
      <c r="K509">
        <v>80</v>
      </c>
      <c r="L509">
        <v>79.964241028000004</v>
      </c>
      <c r="M509">
        <v>50</v>
      </c>
      <c r="N509">
        <v>45.191669464</v>
      </c>
    </row>
    <row r="510" spans="1:14" x14ac:dyDescent="0.25">
      <c r="A510">
        <v>549.000001</v>
      </c>
      <c r="B510" s="1">
        <f>DATE(2011,11,1) + TIME(0,0,0)</f>
        <v>40848</v>
      </c>
      <c r="C510">
        <v>1362.5058594</v>
      </c>
      <c r="D510">
        <v>1350.3352050999999</v>
      </c>
      <c r="E510">
        <v>1311.3652344</v>
      </c>
      <c r="F510">
        <v>1290.6103516000001</v>
      </c>
      <c r="G510">
        <v>0</v>
      </c>
      <c r="H510">
        <v>2400</v>
      </c>
      <c r="I510">
        <v>2400</v>
      </c>
      <c r="J510">
        <v>0</v>
      </c>
      <c r="K510">
        <v>80</v>
      </c>
      <c r="L510">
        <v>79.964111328000001</v>
      </c>
      <c r="M510">
        <v>50</v>
      </c>
      <c r="N510">
        <v>45.191783905000001</v>
      </c>
    </row>
    <row r="511" spans="1:14" x14ac:dyDescent="0.25">
      <c r="A511">
        <v>549.00000399999999</v>
      </c>
      <c r="B511" s="1">
        <f>DATE(2011,11,1) + TIME(0,0,0)</f>
        <v>40848</v>
      </c>
      <c r="C511">
        <v>1360.3032227000001</v>
      </c>
      <c r="D511">
        <v>1348.1320800999999</v>
      </c>
      <c r="E511">
        <v>1313.7211914</v>
      </c>
      <c r="F511">
        <v>1292.9743652</v>
      </c>
      <c r="G511">
        <v>0</v>
      </c>
      <c r="H511">
        <v>2400</v>
      </c>
      <c r="I511">
        <v>2400</v>
      </c>
      <c r="J511">
        <v>0</v>
      </c>
      <c r="K511">
        <v>80</v>
      </c>
      <c r="L511">
        <v>79.963798522999994</v>
      </c>
      <c r="M511">
        <v>50</v>
      </c>
      <c r="N511">
        <v>45.192092895999998</v>
      </c>
    </row>
    <row r="512" spans="1:14" x14ac:dyDescent="0.25">
      <c r="A512">
        <v>549.00001299999997</v>
      </c>
      <c r="B512" s="1">
        <f>DATE(2011,11,1) + TIME(0,0,1)</f>
        <v>40848.000011574077</v>
      </c>
      <c r="C512">
        <v>1355.8570557</v>
      </c>
      <c r="D512">
        <v>1343.6853027</v>
      </c>
      <c r="E512">
        <v>1319.1063231999999</v>
      </c>
      <c r="F512">
        <v>1298.3720702999999</v>
      </c>
      <c r="G512">
        <v>0</v>
      </c>
      <c r="H512">
        <v>2400</v>
      </c>
      <c r="I512">
        <v>2400</v>
      </c>
      <c r="J512">
        <v>0</v>
      </c>
      <c r="K512">
        <v>80</v>
      </c>
      <c r="L512">
        <v>79.963165282999995</v>
      </c>
      <c r="M512">
        <v>50</v>
      </c>
      <c r="N512">
        <v>45.192806244000003</v>
      </c>
    </row>
    <row r="513" spans="1:14" x14ac:dyDescent="0.25">
      <c r="A513">
        <v>549.00004000000001</v>
      </c>
      <c r="B513" s="1">
        <f>DATE(2011,11,1) + TIME(0,0,3)</f>
        <v>40848.000034722223</v>
      </c>
      <c r="C513">
        <v>1349.3636475000001</v>
      </c>
      <c r="D513">
        <v>1337.1925048999999</v>
      </c>
      <c r="E513">
        <v>1328.3516846</v>
      </c>
      <c r="F513">
        <v>1307.6260986</v>
      </c>
      <c r="G513">
        <v>0</v>
      </c>
      <c r="H513">
        <v>2400</v>
      </c>
      <c r="I513">
        <v>2400</v>
      </c>
      <c r="J513">
        <v>0</v>
      </c>
      <c r="K513">
        <v>80</v>
      </c>
      <c r="L513">
        <v>79.962242126000007</v>
      </c>
      <c r="M513">
        <v>50</v>
      </c>
      <c r="N513">
        <v>45.194099426000001</v>
      </c>
    </row>
    <row r="514" spans="1:14" x14ac:dyDescent="0.25">
      <c r="A514">
        <v>549.00012100000004</v>
      </c>
      <c r="B514" s="1">
        <f>DATE(2011,11,1) + TIME(0,0,10)</f>
        <v>40848.000115740739</v>
      </c>
      <c r="C514">
        <v>1342.1361084</v>
      </c>
      <c r="D514">
        <v>1329.9700928</v>
      </c>
      <c r="E514">
        <v>1339.8785399999999</v>
      </c>
      <c r="F514">
        <v>1319.1541748</v>
      </c>
      <c r="G514">
        <v>0</v>
      </c>
      <c r="H514">
        <v>2400</v>
      </c>
      <c r="I514">
        <v>2400</v>
      </c>
      <c r="J514">
        <v>0</v>
      </c>
      <c r="K514">
        <v>80</v>
      </c>
      <c r="L514">
        <v>79.961204529</v>
      </c>
      <c r="M514">
        <v>50</v>
      </c>
      <c r="N514">
        <v>45.195980071999998</v>
      </c>
    </row>
    <row r="515" spans="1:14" x14ac:dyDescent="0.25">
      <c r="A515">
        <v>549.00036399999999</v>
      </c>
      <c r="B515" s="1">
        <f>DATE(2011,11,1) + TIME(0,0,31)</f>
        <v>40848.000358796293</v>
      </c>
      <c r="C515">
        <v>1334.8741454999999</v>
      </c>
      <c r="D515">
        <v>1322.7152100000001</v>
      </c>
      <c r="E515">
        <v>1351.8419189000001</v>
      </c>
      <c r="F515">
        <v>1331.1154785000001</v>
      </c>
      <c r="G515">
        <v>0</v>
      </c>
      <c r="H515">
        <v>2400</v>
      </c>
      <c r="I515">
        <v>2400</v>
      </c>
      <c r="J515">
        <v>0</v>
      </c>
      <c r="K515">
        <v>80</v>
      </c>
      <c r="L515">
        <v>79.960136414000004</v>
      </c>
      <c r="M515">
        <v>50</v>
      </c>
      <c r="N515">
        <v>45.198837279999999</v>
      </c>
    </row>
    <row r="516" spans="1:14" x14ac:dyDescent="0.25">
      <c r="A516">
        <v>549.00109299999997</v>
      </c>
      <c r="B516" s="1">
        <f>DATE(2011,11,1) + TIME(0,1,34)</f>
        <v>40848.001087962963</v>
      </c>
      <c r="C516">
        <v>1327.6018065999999</v>
      </c>
      <c r="D516">
        <v>1315.4406738</v>
      </c>
      <c r="E516">
        <v>1363.8052978999999</v>
      </c>
      <c r="F516">
        <v>1343.0683594</v>
      </c>
      <c r="G516">
        <v>0</v>
      </c>
      <c r="H516">
        <v>2400</v>
      </c>
      <c r="I516">
        <v>2400</v>
      </c>
      <c r="J516">
        <v>0</v>
      </c>
      <c r="K516">
        <v>80</v>
      </c>
      <c r="L516">
        <v>79.958976746000005</v>
      </c>
      <c r="M516">
        <v>50</v>
      </c>
      <c r="N516">
        <v>45.204460144000002</v>
      </c>
    </row>
    <row r="517" spans="1:14" x14ac:dyDescent="0.25">
      <c r="A517">
        <v>549.00328000000002</v>
      </c>
      <c r="B517" s="1">
        <f>DATE(2011,11,1) + TIME(0,4,43)</f>
        <v>40848.003275462965</v>
      </c>
      <c r="C517">
        <v>1320.237793</v>
      </c>
      <c r="D517">
        <v>1308.0362548999999</v>
      </c>
      <c r="E517">
        <v>1375.5356445</v>
      </c>
      <c r="F517">
        <v>1354.7685547000001</v>
      </c>
      <c r="G517">
        <v>0</v>
      </c>
      <c r="H517">
        <v>2400</v>
      </c>
      <c r="I517">
        <v>2400</v>
      </c>
      <c r="J517">
        <v>0</v>
      </c>
      <c r="K517">
        <v>80</v>
      </c>
      <c r="L517">
        <v>79.957565308</v>
      </c>
      <c r="M517">
        <v>50</v>
      </c>
      <c r="N517">
        <v>45.218330383000001</v>
      </c>
    </row>
    <row r="518" spans="1:14" x14ac:dyDescent="0.25">
      <c r="A518">
        <v>549.00984100000005</v>
      </c>
      <c r="B518" s="1">
        <f>DATE(2011,11,1) + TIME(0,14,10)</f>
        <v>40848.009837962964</v>
      </c>
      <c r="C518">
        <v>1313.2863769999999</v>
      </c>
      <c r="D518">
        <v>1301.0284423999999</v>
      </c>
      <c r="E518">
        <v>1385.6673584</v>
      </c>
      <c r="F518">
        <v>1364.8613281</v>
      </c>
      <c r="G518">
        <v>0</v>
      </c>
      <c r="H518">
        <v>2400</v>
      </c>
      <c r="I518">
        <v>2400</v>
      </c>
      <c r="J518">
        <v>0</v>
      </c>
      <c r="K518">
        <v>80</v>
      </c>
      <c r="L518">
        <v>79.955482482999997</v>
      </c>
      <c r="M518">
        <v>50</v>
      </c>
      <c r="N518">
        <v>45.256664276000002</v>
      </c>
    </row>
    <row r="519" spans="1:14" x14ac:dyDescent="0.25">
      <c r="A519">
        <v>549.02952400000004</v>
      </c>
      <c r="B519" s="1">
        <f>DATE(2011,11,1) + TIME(0,42,30)</f>
        <v>40848.029513888891</v>
      </c>
      <c r="C519">
        <v>1308.3803711</v>
      </c>
      <c r="D519">
        <v>1296.0942382999999</v>
      </c>
      <c r="E519">
        <v>1391.8397216999999</v>
      </c>
      <c r="F519">
        <v>1371.0336914</v>
      </c>
      <c r="G519">
        <v>0</v>
      </c>
      <c r="H519">
        <v>2400</v>
      </c>
      <c r="I519">
        <v>2400</v>
      </c>
      <c r="J519">
        <v>0</v>
      </c>
      <c r="K519">
        <v>80</v>
      </c>
      <c r="L519">
        <v>79.951545714999995</v>
      </c>
      <c r="M519">
        <v>50</v>
      </c>
      <c r="N519">
        <v>45.366313933999997</v>
      </c>
    </row>
    <row r="520" spans="1:14" x14ac:dyDescent="0.25">
      <c r="A520">
        <v>549.088573</v>
      </c>
      <c r="B520" s="1">
        <f>DATE(2011,11,1) + TIME(2,7,32)</f>
        <v>40848.088564814818</v>
      </c>
      <c r="C520">
        <v>1306.4228516000001</v>
      </c>
      <c r="D520">
        <v>1294.1289062000001</v>
      </c>
      <c r="E520">
        <v>1393.6362305</v>
      </c>
      <c r="F520">
        <v>1372.9219971</v>
      </c>
      <c r="G520">
        <v>0</v>
      </c>
      <c r="H520">
        <v>2400</v>
      </c>
      <c r="I520">
        <v>2400</v>
      </c>
      <c r="J520">
        <v>0</v>
      </c>
      <c r="K520">
        <v>80</v>
      </c>
      <c r="L520">
        <v>79.941993713000002</v>
      </c>
      <c r="M520">
        <v>50</v>
      </c>
      <c r="N520">
        <v>45.671894072999997</v>
      </c>
    </row>
    <row r="521" spans="1:14" x14ac:dyDescent="0.25">
      <c r="A521">
        <v>549.22893299999998</v>
      </c>
      <c r="B521" s="1">
        <f>DATE(2011,11,1) + TIME(5,29,39)</f>
        <v>40848.22892361111</v>
      </c>
      <c r="C521">
        <v>1306.0708007999999</v>
      </c>
      <c r="D521">
        <v>1293.7745361</v>
      </c>
      <c r="E521">
        <v>1393.5263672000001</v>
      </c>
      <c r="F521">
        <v>1373.0172118999999</v>
      </c>
      <c r="G521">
        <v>0</v>
      </c>
      <c r="H521">
        <v>2400</v>
      </c>
      <c r="I521">
        <v>2400</v>
      </c>
      <c r="J521">
        <v>0</v>
      </c>
      <c r="K521">
        <v>80</v>
      </c>
      <c r="L521">
        <v>79.922073363999999</v>
      </c>
      <c r="M521">
        <v>50</v>
      </c>
      <c r="N521">
        <v>46.293674469000003</v>
      </c>
    </row>
    <row r="522" spans="1:14" x14ac:dyDescent="0.25">
      <c r="A522">
        <v>549.39171699999997</v>
      </c>
      <c r="B522" s="1">
        <f>DATE(2011,11,1) + TIME(9,24,4)</f>
        <v>40848.391712962963</v>
      </c>
      <c r="C522">
        <v>1306.0360106999999</v>
      </c>
      <c r="D522">
        <v>1293.7387695</v>
      </c>
      <c r="E522">
        <v>1393.2456055</v>
      </c>
      <c r="F522">
        <v>1372.9217529</v>
      </c>
      <c r="G522">
        <v>0</v>
      </c>
      <c r="H522">
        <v>2400</v>
      </c>
      <c r="I522">
        <v>2400</v>
      </c>
      <c r="J522">
        <v>0</v>
      </c>
      <c r="K522">
        <v>80</v>
      </c>
      <c r="L522">
        <v>79.900169372999997</v>
      </c>
      <c r="M522">
        <v>50</v>
      </c>
      <c r="N522">
        <v>46.897724152000002</v>
      </c>
    </row>
    <row r="523" spans="1:14" x14ac:dyDescent="0.25">
      <c r="A523">
        <v>549.58475699999997</v>
      </c>
      <c r="B523" s="1">
        <f>DATE(2011,11,1) + TIME(14,2,2)</f>
        <v>40848.584745370368</v>
      </c>
      <c r="C523">
        <v>1306.0296631000001</v>
      </c>
      <c r="D523">
        <v>1293.7312012</v>
      </c>
      <c r="E523">
        <v>1392.9713135</v>
      </c>
      <c r="F523">
        <v>1372.8227539</v>
      </c>
      <c r="G523">
        <v>0</v>
      </c>
      <c r="H523">
        <v>2400</v>
      </c>
      <c r="I523">
        <v>2400</v>
      </c>
      <c r="J523">
        <v>0</v>
      </c>
      <c r="K523">
        <v>80</v>
      </c>
      <c r="L523">
        <v>79.875640868999994</v>
      </c>
      <c r="M523">
        <v>50</v>
      </c>
      <c r="N523">
        <v>47.479839325</v>
      </c>
    </row>
    <row r="524" spans="1:14" x14ac:dyDescent="0.25">
      <c r="A524">
        <v>549.82053199999996</v>
      </c>
      <c r="B524" s="1">
        <f>DATE(2011,11,1) + TIME(19,41,34)</f>
        <v>40848.820532407408</v>
      </c>
      <c r="C524">
        <v>1306.0252685999999</v>
      </c>
      <c r="D524">
        <v>1293.7255858999999</v>
      </c>
      <c r="E524">
        <v>1392.7102050999999</v>
      </c>
      <c r="F524">
        <v>1372.7257079999999</v>
      </c>
      <c r="G524">
        <v>0</v>
      </c>
      <c r="H524">
        <v>2400</v>
      </c>
      <c r="I524">
        <v>2400</v>
      </c>
      <c r="J524">
        <v>0</v>
      </c>
      <c r="K524">
        <v>80</v>
      </c>
      <c r="L524">
        <v>79.847518921000002</v>
      </c>
      <c r="M524">
        <v>50</v>
      </c>
      <c r="N524">
        <v>48.034225464000002</v>
      </c>
    </row>
    <row r="525" spans="1:14" x14ac:dyDescent="0.25">
      <c r="A525">
        <v>550.12033499999995</v>
      </c>
      <c r="B525" s="1">
        <f>DATE(2011,11,2) + TIME(2,53,16)</f>
        <v>40849.120324074072</v>
      </c>
      <c r="C525">
        <v>1306.0201416</v>
      </c>
      <c r="D525">
        <v>1293.7191161999999</v>
      </c>
      <c r="E525">
        <v>1392.4630127</v>
      </c>
      <c r="F525">
        <v>1372.6292725000001</v>
      </c>
      <c r="G525">
        <v>0</v>
      </c>
      <c r="H525">
        <v>2400</v>
      </c>
      <c r="I525">
        <v>2400</v>
      </c>
      <c r="J525">
        <v>0</v>
      </c>
      <c r="K525">
        <v>80</v>
      </c>
      <c r="L525">
        <v>79.814300536999994</v>
      </c>
      <c r="M525">
        <v>50</v>
      </c>
      <c r="N525">
        <v>48.552474975999999</v>
      </c>
    </row>
    <row r="526" spans="1:14" x14ac:dyDescent="0.25">
      <c r="A526">
        <v>550.52405499999998</v>
      </c>
      <c r="B526" s="1">
        <f>DATE(2011,11,2) + TIME(12,34,38)</f>
        <v>40849.524050925924</v>
      </c>
      <c r="C526">
        <v>1306.0136719</v>
      </c>
      <c r="D526">
        <v>1293.7108154</v>
      </c>
      <c r="E526">
        <v>1392.2313231999999</v>
      </c>
      <c r="F526">
        <v>1372.5322266000001</v>
      </c>
      <c r="G526">
        <v>0</v>
      </c>
      <c r="H526">
        <v>2400</v>
      </c>
      <c r="I526">
        <v>2400</v>
      </c>
      <c r="J526">
        <v>0</v>
      </c>
      <c r="K526">
        <v>80</v>
      </c>
      <c r="L526">
        <v>79.773445128999995</v>
      </c>
      <c r="M526">
        <v>50</v>
      </c>
      <c r="N526">
        <v>49.022041321000003</v>
      </c>
    </row>
    <row r="527" spans="1:14" x14ac:dyDescent="0.25">
      <c r="A527">
        <v>551.085373</v>
      </c>
      <c r="B527" s="1">
        <f>DATE(2011,11,3) + TIME(2,2,56)</f>
        <v>40850.085370370369</v>
      </c>
      <c r="C527">
        <v>1306.0047606999999</v>
      </c>
      <c r="D527">
        <v>1293.6999512</v>
      </c>
      <c r="E527">
        <v>1392.0242920000001</v>
      </c>
      <c r="F527">
        <v>1372.4351807</v>
      </c>
      <c r="G527">
        <v>0</v>
      </c>
      <c r="H527">
        <v>2400</v>
      </c>
      <c r="I527">
        <v>2400</v>
      </c>
      <c r="J527">
        <v>0</v>
      </c>
      <c r="K527">
        <v>80</v>
      </c>
      <c r="L527">
        <v>79.721908568999993</v>
      </c>
      <c r="M527">
        <v>50</v>
      </c>
      <c r="N527">
        <v>49.411365508999999</v>
      </c>
    </row>
    <row r="528" spans="1:14" x14ac:dyDescent="0.25">
      <c r="A528">
        <v>551.66694600000005</v>
      </c>
      <c r="B528" s="1">
        <f>DATE(2011,11,3) + TIME(16,0,24)</f>
        <v>40850.666944444441</v>
      </c>
      <c r="C528">
        <v>1305.9915771000001</v>
      </c>
      <c r="D528">
        <v>1293.6853027</v>
      </c>
      <c r="E528">
        <v>1391.8702393000001</v>
      </c>
      <c r="F528">
        <v>1372.3455810999999</v>
      </c>
      <c r="G528">
        <v>0</v>
      </c>
      <c r="H528">
        <v>2400</v>
      </c>
      <c r="I528">
        <v>2400</v>
      </c>
      <c r="J528">
        <v>0</v>
      </c>
      <c r="K528">
        <v>80</v>
      </c>
      <c r="L528">
        <v>79.665946959999999</v>
      </c>
      <c r="M528">
        <v>50</v>
      </c>
      <c r="N528">
        <v>49.648422240999999</v>
      </c>
    </row>
    <row r="529" spans="1:14" x14ac:dyDescent="0.25">
      <c r="A529">
        <v>552.35178800000006</v>
      </c>
      <c r="B529" s="1">
        <f>DATE(2011,11,4) + TIME(8,26,34)</f>
        <v>40851.351782407408</v>
      </c>
      <c r="C529">
        <v>1305.9781493999999</v>
      </c>
      <c r="D529">
        <v>1293.6697998</v>
      </c>
      <c r="E529">
        <v>1391.7474365</v>
      </c>
      <c r="F529">
        <v>1372.2662353999999</v>
      </c>
      <c r="G529">
        <v>0</v>
      </c>
      <c r="H529">
        <v>2400</v>
      </c>
      <c r="I529">
        <v>2400</v>
      </c>
      <c r="J529">
        <v>0</v>
      </c>
      <c r="K529">
        <v>80</v>
      </c>
      <c r="L529">
        <v>79.602485657000003</v>
      </c>
      <c r="M529">
        <v>50</v>
      </c>
      <c r="N529">
        <v>49.801349639999998</v>
      </c>
    </row>
    <row r="530" spans="1:14" x14ac:dyDescent="0.25">
      <c r="A530">
        <v>553.18678299999999</v>
      </c>
      <c r="B530" s="1">
        <f>DATE(2011,11,5) + TIME(4,28,58)</f>
        <v>40852.186782407407</v>
      </c>
      <c r="C530">
        <v>1305.9625243999999</v>
      </c>
      <c r="D530">
        <v>1293.6516113</v>
      </c>
      <c r="E530">
        <v>1391.6422118999999</v>
      </c>
      <c r="F530">
        <v>1372.1892089999999</v>
      </c>
      <c r="G530">
        <v>0</v>
      </c>
      <c r="H530">
        <v>2400</v>
      </c>
      <c r="I530">
        <v>2400</v>
      </c>
      <c r="J530">
        <v>0</v>
      </c>
      <c r="K530">
        <v>80</v>
      </c>
      <c r="L530">
        <v>79.528900145999998</v>
      </c>
      <c r="M530">
        <v>50</v>
      </c>
      <c r="N530">
        <v>49.894428253000001</v>
      </c>
    </row>
    <row r="531" spans="1:14" x14ac:dyDescent="0.25">
      <c r="A531">
        <v>554.24529399999994</v>
      </c>
      <c r="B531" s="1">
        <f>DATE(2011,11,6) + TIME(5,53,13)</f>
        <v>40853.245289351849</v>
      </c>
      <c r="C531">
        <v>1305.9434814000001</v>
      </c>
      <c r="D531">
        <v>1293.6296387</v>
      </c>
      <c r="E531">
        <v>1391.5466309000001</v>
      </c>
      <c r="F531">
        <v>1372.1115723</v>
      </c>
      <c r="G531">
        <v>0</v>
      </c>
      <c r="H531">
        <v>2400</v>
      </c>
      <c r="I531">
        <v>2400</v>
      </c>
      <c r="J531">
        <v>0</v>
      </c>
      <c r="K531">
        <v>80</v>
      </c>
      <c r="L531">
        <v>79.441215514999996</v>
      </c>
      <c r="M531">
        <v>50</v>
      </c>
      <c r="N531">
        <v>49.946556090999998</v>
      </c>
    </row>
    <row r="532" spans="1:14" x14ac:dyDescent="0.25">
      <c r="A532">
        <v>555.40876600000001</v>
      </c>
      <c r="B532" s="1">
        <f>DATE(2011,11,7) + TIME(9,48,37)</f>
        <v>40854.408761574072</v>
      </c>
      <c r="C532">
        <v>1305.9188231999999</v>
      </c>
      <c r="D532">
        <v>1293.6020507999999</v>
      </c>
      <c r="E532">
        <v>1391.4544678</v>
      </c>
      <c r="F532">
        <v>1372.0310059000001</v>
      </c>
      <c r="G532">
        <v>0</v>
      </c>
      <c r="H532">
        <v>2400</v>
      </c>
      <c r="I532">
        <v>2400</v>
      </c>
      <c r="J532">
        <v>0</v>
      </c>
      <c r="K532">
        <v>80</v>
      </c>
      <c r="L532">
        <v>79.340988159000005</v>
      </c>
      <c r="M532">
        <v>50</v>
      </c>
      <c r="N532">
        <v>49.970649719000001</v>
      </c>
    </row>
    <row r="533" spans="1:14" x14ac:dyDescent="0.25">
      <c r="A533">
        <v>556.67183599999998</v>
      </c>
      <c r="B533" s="1">
        <f>DATE(2011,11,8) + TIME(16,7,26)</f>
        <v>40855.6718287037</v>
      </c>
      <c r="C533">
        <v>1305.8917236</v>
      </c>
      <c r="D533">
        <v>1293.5715332</v>
      </c>
      <c r="E533">
        <v>1391.3740233999999</v>
      </c>
      <c r="F533">
        <v>1371.9591064000001</v>
      </c>
      <c r="G533">
        <v>0</v>
      </c>
      <c r="H533">
        <v>2400</v>
      </c>
      <c r="I533">
        <v>2400</v>
      </c>
      <c r="J533">
        <v>0</v>
      </c>
      <c r="K533">
        <v>80</v>
      </c>
      <c r="L533">
        <v>79.231330872000001</v>
      </c>
      <c r="M533">
        <v>50</v>
      </c>
      <c r="N533">
        <v>49.981201171999999</v>
      </c>
    </row>
    <row r="534" spans="1:14" x14ac:dyDescent="0.25">
      <c r="A534">
        <v>558.14095299999997</v>
      </c>
      <c r="B534" s="1">
        <f>DATE(2011,11,10) + TIME(3,22,58)</f>
        <v>40857.140949074077</v>
      </c>
      <c r="C534">
        <v>1305.8624268000001</v>
      </c>
      <c r="D534">
        <v>1293.5382079999999</v>
      </c>
      <c r="E534">
        <v>1391.3029785000001</v>
      </c>
      <c r="F534">
        <v>1371.8948975000001</v>
      </c>
      <c r="G534">
        <v>0</v>
      </c>
      <c r="H534">
        <v>2400</v>
      </c>
      <c r="I534">
        <v>2400</v>
      </c>
      <c r="J534">
        <v>0</v>
      </c>
      <c r="K534">
        <v>80</v>
      </c>
      <c r="L534">
        <v>79.110717773000005</v>
      </c>
      <c r="M534">
        <v>50</v>
      </c>
      <c r="N534">
        <v>49.985755920000003</v>
      </c>
    </row>
    <row r="535" spans="1:14" x14ac:dyDescent="0.25">
      <c r="A535">
        <v>559.94813299999998</v>
      </c>
      <c r="B535" s="1">
        <f>DATE(2011,11,11) + TIME(22,45,18)</f>
        <v>40858.948125000003</v>
      </c>
      <c r="C535">
        <v>1305.8283690999999</v>
      </c>
      <c r="D535">
        <v>1293.4993896000001</v>
      </c>
      <c r="E535">
        <v>1391.2344971</v>
      </c>
      <c r="F535">
        <v>1371.8330077999999</v>
      </c>
      <c r="G535">
        <v>0</v>
      </c>
      <c r="H535">
        <v>2400</v>
      </c>
      <c r="I535">
        <v>2400</v>
      </c>
      <c r="J535">
        <v>0</v>
      </c>
      <c r="K535">
        <v>80</v>
      </c>
      <c r="L535">
        <v>78.973327636999997</v>
      </c>
      <c r="M535">
        <v>50</v>
      </c>
      <c r="N535">
        <v>49.987609863000003</v>
      </c>
    </row>
    <row r="536" spans="1:14" x14ac:dyDescent="0.25">
      <c r="A536">
        <v>561.81295299999999</v>
      </c>
      <c r="B536" s="1">
        <f>DATE(2011,11,13) + TIME(19,30,39)</f>
        <v>40860.812951388885</v>
      </c>
      <c r="C536">
        <v>1305.7855225000001</v>
      </c>
      <c r="D536">
        <v>1293.4517822</v>
      </c>
      <c r="E536">
        <v>1391.1644286999999</v>
      </c>
      <c r="F536">
        <v>1371.7700195</v>
      </c>
      <c r="G536">
        <v>0</v>
      </c>
      <c r="H536">
        <v>2400</v>
      </c>
      <c r="I536">
        <v>2400</v>
      </c>
      <c r="J536">
        <v>0</v>
      </c>
      <c r="K536">
        <v>80</v>
      </c>
      <c r="L536">
        <v>78.820198059000006</v>
      </c>
      <c r="M536">
        <v>50</v>
      </c>
      <c r="N536">
        <v>49.988239288000003</v>
      </c>
    </row>
    <row r="537" spans="1:14" x14ac:dyDescent="0.25">
      <c r="A537">
        <v>563.89154499999995</v>
      </c>
      <c r="B537" s="1">
        <f>DATE(2011,11,15) + TIME(21,23,49)</f>
        <v>40862.891539351855</v>
      </c>
      <c r="C537">
        <v>1305.7413329999999</v>
      </c>
      <c r="D537">
        <v>1293.4018555</v>
      </c>
      <c r="E537">
        <v>1391.1049805</v>
      </c>
      <c r="F537">
        <v>1371.7166748</v>
      </c>
      <c r="G537">
        <v>0</v>
      </c>
      <c r="H537">
        <v>2400</v>
      </c>
      <c r="I537">
        <v>2400</v>
      </c>
      <c r="J537">
        <v>0</v>
      </c>
      <c r="K537">
        <v>80</v>
      </c>
      <c r="L537">
        <v>78.658126831000004</v>
      </c>
      <c r="M537">
        <v>50</v>
      </c>
      <c r="N537">
        <v>49.988468169999997</v>
      </c>
    </row>
    <row r="538" spans="1:14" x14ac:dyDescent="0.25">
      <c r="A538">
        <v>566.09856400000001</v>
      </c>
      <c r="B538" s="1">
        <f>DATE(2011,11,18) + TIME(2,21,55)</f>
        <v>40865.098553240743</v>
      </c>
      <c r="C538">
        <v>1305.6914062000001</v>
      </c>
      <c r="D538">
        <v>1293.3457031</v>
      </c>
      <c r="E538">
        <v>1391.0487060999999</v>
      </c>
      <c r="F538">
        <v>1371.6668701000001</v>
      </c>
      <c r="G538">
        <v>0</v>
      </c>
      <c r="H538">
        <v>2400</v>
      </c>
      <c r="I538">
        <v>2400</v>
      </c>
      <c r="J538">
        <v>0</v>
      </c>
      <c r="K538">
        <v>80</v>
      </c>
      <c r="L538">
        <v>78.486320496000005</v>
      </c>
      <c r="M538">
        <v>50</v>
      </c>
      <c r="N538">
        <v>49.988559723000002</v>
      </c>
    </row>
    <row r="539" spans="1:14" x14ac:dyDescent="0.25">
      <c r="A539">
        <v>568.343974</v>
      </c>
      <c r="B539" s="1">
        <f>DATE(2011,11,20) + TIME(8,15,19)</f>
        <v>40867.343969907408</v>
      </c>
      <c r="C539">
        <v>1305.6376952999999</v>
      </c>
      <c r="D539">
        <v>1293.2852783000001</v>
      </c>
      <c r="E539">
        <v>1390.9980469</v>
      </c>
      <c r="F539">
        <v>1371.6220702999999</v>
      </c>
      <c r="G539">
        <v>0</v>
      </c>
      <c r="H539">
        <v>2400</v>
      </c>
      <c r="I539">
        <v>2400</v>
      </c>
      <c r="J539">
        <v>0</v>
      </c>
      <c r="K539">
        <v>80</v>
      </c>
      <c r="L539">
        <v>78.309997558999996</v>
      </c>
      <c r="M539">
        <v>50</v>
      </c>
      <c r="N539">
        <v>49.988605499000002</v>
      </c>
    </row>
    <row r="540" spans="1:14" x14ac:dyDescent="0.25">
      <c r="A540">
        <v>570.625135</v>
      </c>
      <c r="B540" s="1">
        <f>DATE(2011,11,22) + TIME(15,0,11)</f>
        <v>40869.625127314815</v>
      </c>
      <c r="C540">
        <v>1305.5822754000001</v>
      </c>
      <c r="D540">
        <v>1293.2226562000001</v>
      </c>
      <c r="E540">
        <v>1390.9536132999999</v>
      </c>
      <c r="F540">
        <v>1371.5831298999999</v>
      </c>
      <c r="G540">
        <v>0</v>
      </c>
      <c r="H540">
        <v>2400</v>
      </c>
      <c r="I540">
        <v>2400</v>
      </c>
      <c r="J540">
        <v>0</v>
      </c>
      <c r="K540">
        <v>80</v>
      </c>
      <c r="L540">
        <v>78.134078978999995</v>
      </c>
      <c r="M540">
        <v>50</v>
      </c>
      <c r="N540">
        <v>49.988643646</v>
      </c>
    </row>
    <row r="541" spans="1:14" x14ac:dyDescent="0.25">
      <c r="A541">
        <v>572.95467699999995</v>
      </c>
      <c r="B541" s="1">
        <f>DATE(2011,11,24) + TIME(22,54,44)</f>
        <v>40871.954675925925</v>
      </c>
      <c r="C541">
        <v>1305.5249022999999</v>
      </c>
      <c r="D541">
        <v>1293.1577147999999</v>
      </c>
      <c r="E541">
        <v>1390.9141846</v>
      </c>
      <c r="F541">
        <v>1371.5487060999999</v>
      </c>
      <c r="G541">
        <v>0</v>
      </c>
      <c r="H541">
        <v>2400</v>
      </c>
      <c r="I541">
        <v>2400</v>
      </c>
      <c r="J541">
        <v>0</v>
      </c>
      <c r="K541">
        <v>80</v>
      </c>
      <c r="L541">
        <v>77.959716796999999</v>
      </c>
      <c r="M541">
        <v>50</v>
      </c>
      <c r="N541">
        <v>49.988674164000003</v>
      </c>
    </row>
    <row r="542" spans="1:14" x14ac:dyDescent="0.25">
      <c r="A542">
        <v>575.34400700000003</v>
      </c>
      <c r="B542" s="1">
        <f>DATE(2011,11,27) + TIME(8,15,22)</f>
        <v>40874.344004629631</v>
      </c>
      <c r="C542">
        <v>1305.465332</v>
      </c>
      <c r="D542">
        <v>1293.0899658000001</v>
      </c>
      <c r="E542">
        <v>1390.8786620999999</v>
      </c>
      <c r="F542">
        <v>1371.5179443</v>
      </c>
      <c r="G542">
        <v>0</v>
      </c>
      <c r="H542">
        <v>2400</v>
      </c>
      <c r="I542">
        <v>2400</v>
      </c>
      <c r="J542">
        <v>0</v>
      </c>
      <c r="K542">
        <v>80</v>
      </c>
      <c r="L542">
        <v>77.786506653000004</v>
      </c>
      <c r="M542">
        <v>50</v>
      </c>
      <c r="N542">
        <v>49.988708496000001</v>
      </c>
    </row>
    <row r="543" spans="1:14" x14ac:dyDescent="0.25">
      <c r="A543">
        <v>577.80493899999999</v>
      </c>
      <c r="B543" s="1">
        <f>DATE(2011,11,29) + TIME(19,19,6)</f>
        <v>40876.804930555554</v>
      </c>
      <c r="C543">
        <v>1305.402832</v>
      </c>
      <c r="D543">
        <v>1293.0186768000001</v>
      </c>
      <c r="E543">
        <v>1390.8463135</v>
      </c>
      <c r="F543">
        <v>1371.4899902</v>
      </c>
      <c r="G543">
        <v>0</v>
      </c>
      <c r="H543">
        <v>2400</v>
      </c>
      <c r="I543">
        <v>2400</v>
      </c>
      <c r="J543">
        <v>0</v>
      </c>
      <c r="K543">
        <v>80</v>
      </c>
      <c r="L543">
        <v>77.613784789999997</v>
      </c>
      <c r="M543">
        <v>50</v>
      </c>
      <c r="N543">
        <v>49.988742827999999</v>
      </c>
    </row>
    <row r="544" spans="1:14" x14ac:dyDescent="0.25">
      <c r="A544">
        <v>579</v>
      </c>
      <c r="B544" s="1">
        <f>DATE(2011,12,1) + TIME(0,0,0)</f>
        <v>40878</v>
      </c>
      <c r="C544">
        <v>1305.3350829999999</v>
      </c>
      <c r="D544">
        <v>1292.9449463000001</v>
      </c>
      <c r="E544">
        <v>1390.8162841999999</v>
      </c>
      <c r="F544">
        <v>1371.4639893000001</v>
      </c>
      <c r="G544">
        <v>0</v>
      </c>
      <c r="H544">
        <v>2400</v>
      </c>
      <c r="I544">
        <v>2400</v>
      </c>
      <c r="J544">
        <v>0</v>
      </c>
      <c r="K544">
        <v>80</v>
      </c>
      <c r="L544">
        <v>77.479156493999994</v>
      </c>
      <c r="M544">
        <v>50</v>
      </c>
      <c r="N544">
        <v>49.988758087000001</v>
      </c>
    </row>
    <row r="545" spans="1:14" x14ac:dyDescent="0.25">
      <c r="A545">
        <v>581.54492700000003</v>
      </c>
      <c r="B545" s="1">
        <f>DATE(2011,12,3) + TIME(13,4,41)</f>
        <v>40880.544918981483</v>
      </c>
      <c r="C545">
        <v>1305.3037108999999</v>
      </c>
      <c r="D545">
        <v>1292.9029541</v>
      </c>
      <c r="E545">
        <v>1390.8032227000001</v>
      </c>
      <c r="F545">
        <v>1371.4528809000001</v>
      </c>
      <c r="G545">
        <v>0</v>
      </c>
      <c r="H545">
        <v>2400</v>
      </c>
      <c r="I545">
        <v>2400</v>
      </c>
      <c r="J545">
        <v>0</v>
      </c>
      <c r="K545">
        <v>80</v>
      </c>
      <c r="L545">
        <v>77.346092224000003</v>
      </c>
      <c r="M545">
        <v>50</v>
      </c>
      <c r="N545">
        <v>49.988792418999999</v>
      </c>
    </row>
    <row r="546" spans="1:14" x14ac:dyDescent="0.25">
      <c r="A546">
        <v>584.14752499999997</v>
      </c>
      <c r="B546" s="1">
        <f>DATE(2011,12,6) + TIME(3,32,26)</f>
        <v>40883.147523148145</v>
      </c>
      <c r="C546">
        <v>1305.2326660000001</v>
      </c>
      <c r="D546">
        <v>1292.8223877</v>
      </c>
      <c r="E546">
        <v>1390.7767334</v>
      </c>
      <c r="F546">
        <v>1371.4301757999999</v>
      </c>
      <c r="G546">
        <v>0</v>
      </c>
      <c r="H546">
        <v>2400</v>
      </c>
      <c r="I546">
        <v>2400</v>
      </c>
      <c r="J546">
        <v>0</v>
      </c>
      <c r="K546">
        <v>80</v>
      </c>
      <c r="L546">
        <v>77.184532165999997</v>
      </c>
      <c r="M546">
        <v>50</v>
      </c>
      <c r="N546">
        <v>49.988830565999997</v>
      </c>
    </row>
    <row r="547" spans="1:14" x14ac:dyDescent="0.25">
      <c r="A547">
        <v>586.80416200000002</v>
      </c>
      <c r="B547" s="1">
        <f>DATE(2011,12,8) + TIME(19,17,59)</f>
        <v>40885.804155092592</v>
      </c>
      <c r="C547">
        <v>1305.1575928</v>
      </c>
      <c r="D547">
        <v>1292.7353516000001</v>
      </c>
      <c r="E547">
        <v>1390.7520752</v>
      </c>
      <c r="F547">
        <v>1371.4091797000001</v>
      </c>
      <c r="G547">
        <v>0</v>
      </c>
      <c r="H547">
        <v>2400</v>
      </c>
      <c r="I547">
        <v>2400</v>
      </c>
      <c r="J547">
        <v>0</v>
      </c>
      <c r="K547">
        <v>80</v>
      </c>
      <c r="L547">
        <v>77.016410828000005</v>
      </c>
      <c r="M547">
        <v>50</v>
      </c>
      <c r="N547">
        <v>49.988864898999999</v>
      </c>
    </row>
    <row r="548" spans="1:14" x14ac:dyDescent="0.25">
      <c r="A548">
        <v>589.52108299999998</v>
      </c>
      <c r="B548" s="1">
        <f>DATE(2011,12,11) + TIME(12,30,21)</f>
        <v>40888.52107638889</v>
      </c>
      <c r="C548">
        <v>1305.0782471</v>
      </c>
      <c r="D548">
        <v>1292.6423339999999</v>
      </c>
      <c r="E548">
        <v>1390.729126</v>
      </c>
      <c r="F548">
        <v>1371.3896483999999</v>
      </c>
      <c r="G548">
        <v>0</v>
      </c>
      <c r="H548">
        <v>2400</v>
      </c>
      <c r="I548">
        <v>2400</v>
      </c>
      <c r="J548">
        <v>0</v>
      </c>
      <c r="K548">
        <v>80</v>
      </c>
      <c r="L548">
        <v>76.847343445000007</v>
      </c>
      <c r="M548">
        <v>50</v>
      </c>
      <c r="N548">
        <v>49.988903045999997</v>
      </c>
    </row>
    <row r="549" spans="1:14" x14ac:dyDescent="0.25">
      <c r="A549">
        <v>592.26283699999999</v>
      </c>
      <c r="B549" s="1">
        <f>DATE(2011,12,14) + TIME(6,18,29)</f>
        <v>40891.262835648151</v>
      </c>
      <c r="C549">
        <v>1304.9938964999999</v>
      </c>
      <c r="D549">
        <v>1292.5428466999999</v>
      </c>
      <c r="E549">
        <v>1390.7076416</v>
      </c>
      <c r="F549">
        <v>1371.371582</v>
      </c>
      <c r="G549">
        <v>0</v>
      </c>
      <c r="H549">
        <v>2400</v>
      </c>
      <c r="I549">
        <v>2400</v>
      </c>
      <c r="J549">
        <v>0</v>
      </c>
      <c r="K549">
        <v>80</v>
      </c>
      <c r="L549">
        <v>76.679023743000002</v>
      </c>
      <c r="M549">
        <v>50</v>
      </c>
      <c r="N549">
        <v>49.988937378000003</v>
      </c>
    </row>
    <row r="550" spans="1:14" x14ac:dyDescent="0.25">
      <c r="A550">
        <v>595.04334500000004</v>
      </c>
      <c r="B550" s="1">
        <f>DATE(2011,12,17) + TIME(1,2,24)</f>
        <v>40894.043333333335</v>
      </c>
      <c r="C550">
        <v>1304.9053954999999</v>
      </c>
      <c r="D550">
        <v>1292.4372559000001</v>
      </c>
      <c r="E550">
        <v>1390.6878661999999</v>
      </c>
      <c r="F550">
        <v>1371.3548584</v>
      </c>
      <c r="G550">
        <v>0</v>
      </c>
      <c r="H550">
        <v>2400</v>
      </c>
      <c r="I550">
        <v>2400</v>
      </c>
      <c r="J550">
        <v>0</v>
      </c>
      <c r="K550">
        <v>80</v>
      </c>
      <c r="L550">
        <v>76.512710571</v>
      </c>
      <c r="M550">
        <v>50</v>
      </c>
      <c r="N550">
        <v>49.988975525000001</v>
      </c>
    </row>
    <row r="551" spans="1:14" x14ac:dyDescent="0.25">
      <c r="A551">
        <v>597.87519899999995</v>
      </c>
      <c r="B551" s="1">
        <f>DATE(2011,12,19) + TIME(21,0,17)</f>
        <v>40896.875196759262</v>
      </c>
      <c r="C551">
        <v>1304.8118896000001</v>
      </c>
      <c r="D551">
        <v>1292.3245850000001</v>
      </c>
      <c r="E551">
        <v>1390.6694336</v>
      </c>
      <c r="F551">
        <v>1371.3392334</v>
      </c>
      <c r="G551">
        <v>0</v>
      </c>
      <c r="H551">
        <v>2400</v>
      </c>
      <c r="I551">
        <v>2400</v>
      </c>
      <c r="J551">
        <v>0</v>
      </c>
      <c r="K551">
        <v>80</v>
      </c>
      <c r="L551">
        <v>76.347961425999998</v>
      </c>
      <c r="M551">
        <v>50</v>
      </c>
      <c r="N551">
        <v>49.989013671999999</v>
      </c>
    </row>
    <row r="552" spans="1:14" x14ac:dyDescent="0.25">
      <c r="A552">
        <v>600.75147900000002</v>
      </c>
      <c r="B552" s="1">
        <f>DATE(2011,12,22) + TIME(18,2,7)</f>
        <v>40899.751469907409</v>
      </c>
      <c r="C552">
        <v>1304.7125243999999</v>
      </c>
      <c r="D552">
        <v>1292.2038574000001</v>
      </c>
      <c r="E552">
        <v>1390.6519774999999</v>
      </c>
      <c r="F552">
        <v>1371.3245850000001</v>
      </c>
      <c r="G552">
        <v>0</v>
      </c>
      <c r="H552">
        <v>2400</v>
      </c>
      <c r="I552">
        <v>2400</v>
      </c>
      <c r="J552">
        <v>0</v>
      </c>
      <c r="K552">
        <v>80</v>
      </c>
      <c r="L552">
        <v>76.184272766000007</v>
      </c>
      <c r="M552">
        <v>50</v>
      </c>
      <c r="N552">
        <v>49.989051818999997</v>
      </c>
    </row>
    <row r="553" spans="1:14" x14ac:dyDescent="0.25">
      <c r="A553">
        <v>603.662553</v>
      </c>
      <c r="B553" s="1">
        <f>DATE(2011,12,25) + TIME(15,54,4)</f>
        <v>40902.662546296298</v>
      </c>
      <c r="C553">
        <v>1304.6069336</v>
      </c>
      <c r="D553">
        <v>1292.0744629000001</v>
      </c>
      <c r="E553">
        <v>1390.6356201000001</v>
      </c>
      <c r="F553">
        <v>1371.3109131000001</v>
      </c>
      <c r="G553">
        <v>0</v>
      </c>
      <c r="H553">
        <v>2400</v>
      </c>
      <c r="I553">
        <v>2400</v>
      </c>
      <c r="J553">
        <v>0</v>
      </c>
      <c r="K553">
        <v>80</v>
      </c>
      <c r="L553">
        <v>76.021705627000003</v>
      </c>
      <c r="M553">
        <v>50</v>
      </c>
      <c r="N553">
        <v>49.989086151000002</v>
      </c>
    </row>
    <row r="554" spans="1:14" x14ac:dyDescent="0.25">
      <c r="A554">
        <v>606.62214900000004</v>
      </c>
      <c r="B554" s="1">
        <f>DATE(2011,12,28) + TIME(14,55,53)</f>
        <v>40905.622141203705</v>
      </c>
      <c r="C554">
        <v>1304.4953613</v>
      </c>
      <c r="D554">
        <v>1291.9361572</v>
      </c>
      <c r="E554">
        <v>1390.6203613</v>
      </c>
      <c r="F554">
        <v>1371.2982178</v>
      </c>
      <c r="G554">
        <v>0</v>
      </c>
      <c r="H554">
        <v>2400</v>
      </c>
      <c r="I554">
        <v>2400</v>
      </c>
      <c r="J554">
        <v>0</v>
      </c>
      <c r="K554">
        <v>80</v>
      </c>
      <c r="L554">
        <v>75.860221863000007</v>
      </c>
      <c r="M554">
        <v>50</v>
      </c>
      <c r="N554">
        <v>49.989124298</v>
      </c>
    </row>
    <row r="555" spans="1:14" x14ac:dyDescent="0.25">
      <c r="A555">
        <v>609.63811199999998</v>
      </c>
      <c r="B555" s="1">
        <f>DATE(2011,12,31) + TIME(15,18,52)</f>
        <v>40908.638101851851</v>
      </c>
      <c r="C555">
        <v>1304.3765868999999</v>
      </c>
      <c r="D555">
        <v>1291.7878418</v>
      </c>
      <c r="E555">
        <v>1390.6058350000001</v>
      </c>
      <c r="F555">
        <v>1371.2861327999999</v>
      </c>
      <c r="G555">
        <v>0</v>
      </c>
      <c r="H555">
        <v>2400</v>
      </c>
      <c r="I555">
        <v>2400</v>
      </c>
      <c r="J555">
        <v>0</v>
      </c>
      <c r="K555">
        <v>80</v>
      </c>
      <c r="L555">
        <v>75.699119568</v>
      </c>
      <c r="M555">
        <v>50</v>
      </c>
      <c r="N555">
        <v>49.989166259999998</v>
      </c>
    </row>
    <row r="556" spans="1:14" x14ac:dyDescent="0.25">
      <c r="A556">
        <v>610</v>
      </c>
      <c r="B556" s="1">
        <f>DATE(2012,1,1) + TIME(0,0,0)</f>
        <v>40909</v>
      </c>
      <c r="C556">
        <v>1304.2542725000001</v>
      </c>
      <c r="D556">
        <v>1291.6484375</v>
      </c>
      <c r="E556">
        <v>1390.5917969</v>
      </c>
      <c r="F556">
        <v>1371.2744141000001</v>
      </c>
      <c r="G556">
        <v>0</v>
      </c>
      <c r="H556">
        <v>2400</v>
      </c>
      <c r="I556">
        <v>2400</v>
      </c>
      <c r="J556">
        <v>0</v>
      </c>
      <c r="K556">
        <v>80</v>
      </c>
      <c r="L556">
        <v>75.638069153000004</v>
      </c>
      <c r="M556">
        <v>50</v>
      </c>
      <c r="N556">
        <v>49.989170074</v>
      </c>
    </row>
    <row r="557" spans="1:14" x14ac:dyDescent="0.25">
      <c r="A557">
        <v>613.05362100000002</v>
      </c>
      <c r="B557" s="1">
        <f>DATE(2012,1,4) + TIME(1,17,12)</f>
        <v>40912.053611111114</v>
      </c>
      <c r="C557">
        <v>1304.2312012</v>
      </c>
      <c r="D557">
        <v>1291.6016846</v>
      </c>
      <c r="E557">
        <v>1390.5905762</v>
      </c>
      <c r="F557">
        <v>1371.2734375</v>
      </c>
      <c r="G557">
        <v>0</v>
      </c>
      <c r="H557">
        <v>2400</v>
      </c>
      <c r="I557">
        <v>2400</v>
      </c>
      <c r="J557">
        <v>0</v>
      </c>
      <c r="K557">
        <v>80</v>
      </c>
      <c r="L557">
        <v>75.509628296000002</v>
      </c>
      <c r="M557">
        <v>50</v>
      </c>
      <c r="N557">
        <v>49.989208220999998</v>
      </c>
    </row>
    <row r="558" spans="1:14" x14ac:dyDescent="0.25">
      <c r="A558">
        <v>616.14383699999996</v>
      </c>
      <c r="B558" s="1">
        <f>DATE(2012,1,7) + TIME(3,27,7)</f>
        <v>40915.143831018519</v>
      </c>
      <c r="C558">
        <v>1304.0988769999999</v>
      </c>
      <c r="D558">
        <v>1291.4350586</v>
      </c>
      <c r="E558">
        <v>1390.5777588000001</v>
      </c>
      <c r="F558">
        <v>1371.2628173999999</v>
      </c>
      <c r="G558">
        <v>0</v>
      </c>
      <c r="H558">
        <v>2400</v>
      </c>
      <c r="I558">
        <v>2400</v>
      </c>
      <c r="J558">
        <v>0</v>
      </c>
      <c r="K558">
        <v>80</v>
      </c>
      <c r="L558">
        <v>75.356071471999996</v>
      </c>
      <c r="M558">
        <v>50</v>
      </c>
      <c r="N558">
        <v>49.989246368000003</v>
      </c>
    </row>
    <row r="559" spans="1:14" x14ac:dyDescent="0.25">
      <c r="A559">
        <v>619.28157799999997</v>
      </c>
      <c r="B559" s="1">
        <f>DATE(2012,1,10) + TIME(6,45,28)</f>
        <v>40918.281574074077</v>
      </c>
      <c r="C559">
        <v>1303.9569091999999</v>
      </c>
      <c r="D559">
        <v>1291.2530518000001</v>
      </c>
      <c r="E559">
        <v>1390.5656738</v>
      </c>
      <c r="F559">
        <v>1371.2528076000001</v>
      </c>
      <c r="G559">
        <v>0</v>
      </c>
      <c r="H559">
        <v>2400</v>
      </c>
      <c r="I559">
        <v>2400</v>
      </c>
      <c r="J559">
        <v>0</v>
      </c>
      <c r="K559">
        <v>80</v>
      </c>
      <c r="L559">
        <v>75.196769713999998</v>
      </c>
      <c r="M559">
        <v>50</v>
      </c>
      <c r="N559">
        <v>49.989284515000001</v>
      </c>
    </row>
    <row r="560" spans="1:14" x14ac:dyDescent="0.25">
      <c r="A560">
        <v>622.46519000000001</v>
      </c>
      <c r="B560" s="1">
        <f>DATE(2012,1,13) + TIME(11,9,52)</f>
        <v>40921.465185185189</v>
      </c>
      <c r="C560">
        <v>1303.8059082</v>
      </c>
      <c r="D560">
        <v>1291.0576172000001</v>
      </c>
      <c r="E560">
        <v>1390.5541992000001</v>
      </c>
      <c r="F560">
        <v>1371.2432861</v>
      </c>
      <c r="G560">
        <v>0</v>
      </c>
      <c r="H560">
        <v>2400</v>
      </c>
      <c r="I560">
        <v>2400</v>
      </c>
      <c r="J560">
        <v>0</v>
      </c>
      <c r="K560">
        <v>80</v>
      </c>
      <c r="L560">
        <v>75.035362243999998</v>
      </c>
      <c r="M560">
        <v>50</v>
      </c>
      <c r="N560">
        <v>49.989326476999999</v>
      </c>
    </row>
    <row r="561" spans="1:14" x14ac:dyDescent="0.25">
      <c r="A561">
        <v>625.69111099999998</v>
      </c>
      <c r="B561" s="1">
        <f>DATE(2012,1,16) + TIME(16,35,12)</f>
        <v>40924.691111111111</v>
      </c>
      <c r="C561">
        <v>1303.6462402</v>
      </c>
      <c r="D561">
        <v>1290.848999</v>
      </c>
      <c r="E561">
        <v>1390.5432129000001</v>
      </c>
      <c r="F561">
        <v>1371.234375</v>
      </c>
      <c r="G561">
        <v>0</v>
      </c>
      <c r="H561">
        <v>2400</v>
      </c>
      <c r="I561">
        <v>2400</v>
      </c>
      <c r="J561">
        <v>0</v>
      </c>
      <c r="K561">
        <v>80</v>
      </c>
      <c r="L561">
        <v>74.872383118000002</v>
      </c>
      <c r="M561">
        <v>50</v>
      </c>
      <c r="N561">
        <v>49.989364623999997</v>
      </c>
    </row>
    <row r="562" spans="1:14" x14ac:dyDescent="0.25">
      <c r="A562">
        <v>628.97434099999998</v>
      </c>
      <c r="B562" s="1">
        <f>DATE(2012,1,19) + TIME(23,23,3)</f>
        <v>40927.974340277775</v>
      </c>
      <c r="C562">
        <v>1303.4775391000001</v>
      </c>
      <c r="D562">
        <v>1290.6270752</v>
      </c>
      <c r="E562">
        <v>1390.5328368999999</v>
      </c>
      <c r="F562">
        <v>1371.2258300999999</v>
      </c>
      <c r="G562">
        <v>0</v>
      </c>
      <c r="H562">
        <v>2400</v>
      </c>
      <c r="I562">
        <v>2400</v>
      </c>
      <c r="J562">
        <v>0</v>
      </c>
      <c r="K562">
        <v>80</v>
      </c>
      <c r="L562">
        <v>74.707435607999997</v>
      </c>
      <c r="M562">
        <v>50</v>
      </c>
      <c r="N562">
        <v>49.989406586000001</v>
      </c>
    </row>
    <row r="563" spans="1:14" x14ac:dyDescent="0.25">
      <c r="A563">
        <v>632.306511</v>
      </c>
      <c r="B563" s="1">
        <f>DATE(2012,1,23) + TIME(7,21,22)</f>
        <v>40931.306504629632</v>
      </c>
      <c r="C563">
        <v>1303.2991943</v>
      </c>
      <c r="D563">
        <v>1290.3907471</v>
      </c>
      <c r="E563">
        <v>1390.5229492000001</v>
      </c>
      <c r="F563">
        <v>1371.2177733999999</v>
      </c>
      <c r="G563">
        <v>0</v>
      </c>
      <c r="H563">
        <v>2400</v>
      </c>
      <c r="I563">
        <v>2400</v>
      </c>
      <c r="J563">
        <v>0</v>
      </c>
      <c r="K563">
        <v>80</v>
      </c>
      <c r="L563">
        <v>74.539604186999995</v>
      </c>
      <c r="M563">
        <v>50</v>
      </c>
      <c r="N563">
        <v>49.989444732999999</v>
      </c>
    </row>
    <row r="564" spans="1:14" x14ac:dyDescent="0.25">
      <c r="A564">
        <v>635.67641400000002</v>
      </c>
      <c r="B564" s="1">
        <f>DATE(2012,1,26) + TIME(16,14,2)</f>
        <v>40934.676412037035</v>
      </c>
      <c r="C564">
        <v>1303.1112060999999</v>
      </c>
      <c r="D564">
        <v>1290.1400146000001</v>
      </c>
      <c r="E564">
        <v>1390.5135498</v>
      </c>
      <c r="F564">
        <v>1371.2100829999999</v>
      </c>
      <c r="G564">
        <v>0</v>
      </c>
      <c r="H564">
        <v>2400</v>
      </c>
      <c r="I564">
        <v>2400</v>
      </c>
      <c r="J564">
        <v>0</v>
      </c>
      <c r="K564">
        <v>80</v>
      </c>
      <c r="L564">
        <v>74.368568420000003</v>
      </c>
      <c r="M564">
        <v>50</v>
      </c>
      <c r="N564">
        <v>49.989486694</v>
      </c>
    </row>
    <row r="565" spans="1:14" x14ac:dyDescent="0.25">
      <c r="A565">
        <v>639.09753899999998</v>
      </c>
      <c r="B565" s="1">
        <f>DATE(2012,1,30) + TIME(2,20,27)</f>
        <v>40938.097534722219</v>
      </c>
      <c r="C565">
        <v>1302.9140625</v>
      </c>
      <c r="D565">
        <v>1289.8753661999999</v>
      </c>
      <c r="E565">
        <v>1390.5045166</v>
      </c>
      <c r="F565">
        <v>1371.2028809000001</v>
      </c>
      <c r="G565">
        <v>0</v>
      </c>
      <c r="H565">
        <v>2400</v>
      </c>
      <c r="I565">
        <v>2400</v>
      </c>
      <c r="J565">
        <v>0</v>
      </c>
      <c r="K565">
        <v>80</v>
      </c>
      <c r="L565">
        <v>74.193908691000004</v>
      </c>
      <c r="M565">
        <v>50</v>
      </c>
      <c r="N565">
        <v>49.989524840999998</v>
      </c>
    </row>
    <row r="566" spans="1:14" x14ac:dyDescent="0.25">
      <c r="A566">
        <v>641</v>
      </c>
      <c r="B566" s="1">
        <f>DATE(2012,2,1) + TIME(0,0,0)</f>
        <v>40940</v>
      </c>
      <c r="C566">
        <v>1302.7105713000001</v>
      </c>
      <c r="D566">
        <v>1289.6054687999999</v>
      </c>
      <c r="E566">
        <v>1390.4957274999999</v>
      </c>
      <c r="F566">
        <v>1371.1956786999999</v>
      </c>
      <c r="G566">
        <v>0</v>
      </c>
      <c r="H566">
        <v>2400</v>
      </c>
      <c r="I566">
        <v>2400</v>
      </c>
      <c r="J566">
        <v>0</v>
      </c>
      <c r="K566">
        <v>80</v>
      </c>
      <c r="L566">
        <v>74.039634704999997</v>
      </c>
      <c r="M566">
        <v>50</v>
      </c>
      <c r="N566">
        <v>49.989547729000002</v>
      </c>
    </row>
    <row r="567" spans="1:14" x14ac:dyDescent="0.25">
      <c r="A567">
        <v>644.46434599999998</v>
      </c>
      <c r="B567" s="1">
        <f>DATE(2012,2,4) + TIME(11,8,39)</f>
        <v>40943.46434027778</v>
      </c>
      <c r="C567">
        <v>1302.5793457</v>
      </c>
      <c r="D567">
        <v>1289.4177245999999</v>
      </c>
      <c r="E567">
        <v>1390.4914550999999</v>
      </c>
      <c r="F567">
        <v>1371.1922606999999</v>
      </c>
      <c r="G567">
        <v>0</v>
      </c>
      <c r="H567">
        <v>2400</v>
      </c>
      <c r="I567">
        <v>2400</v>
      </c>
      <c r="J567">
        <v>0</v>
      </c>
      <c r="K567">
        <v>80</v>
      </c>
      <c r="L567">
        <v>73.902244568</v>
      </c>
      <c r="M567">
        <v>50</v>
      </c>
      <c r="N567">
        <v>49.989589690999999</v>
      </c>
    </row>
    <row r="568" spans="1:14" x14ac:dyDescent="0.25">
      <c r="A568">
        <v>648.03026299999999</v>
      </c>
      <c r="B568" s="1">
        <f>DATE(2012,2,8) + TIME(0,43,34)</f>
        <v>40947.03025462963</v>
      </c>
      <c r="C568">
        <v>1302.3666992000001</v>
      </c>
      <c r="D568">
        <v>1289.1311035000001</v>
      </c>
      <c r="E568">
        <v>1390.4833983999999</v>
      </c>
      <c r="F568">
        <v>1371.1857910000001</v>
      </c>
      <c r="G568">
        <v>0</v>
      </c>
      <c r="H568">
        <v>2400</v>
      </c>
      <c r="I568">
        <v>2400</v>
      </c>
      <c r="J568">
        <v>0</v>
      </c>
      <c r="K568">
        <v>80</v>
      </c>
      <c r="L568">
        <v>73.723808289000004</v>
      </c>
      <c r="M568">
        <v>50</v>
      </c>
      <c r="N568">
        <v>49.989627837999997</v>
      </c>
    </row>
    <row r="569" spans="1:14" x14ac:dyDescent="0.25">
      <c r="A569">
        <v>651.63951899999995</v>
      </c>
      <c r="B569" s="1">
        <f>DATE(2012,2,11) + TIME(15,20,54)</f>
        <v>40950.639513888891</v>
      </c>
      <c r="C569">
        <v>1302.1354980000001</v>
      </c>
      <c r="D569">
        <v>1288.8151855000001</v>
      </c>
      <c r="E569">
        <v>1390.4755858999999</v>
      </c>
      <c r="F569">
        <v>1371.1795654</v>
      </c>
      <c r="G569">
        <v>0</v>
      </c>
      <c r="H569">
        <v>2400</v>
      </c>
      <c r="I569">
        <v>2400</v>
      </c>
      <c r="J569">
        <v>0</v>
      </c>
      <c r="K569">
        <v>80</v>
      </c>
      <c r="L569">
        <v>73.529830933</v>
      </c>
      <c r="M569">
        <v>50</v>
      </c>
      <c r="N569">
        <v>49.989669800000001</v>
      </c>
    </row>
    <row r="570" spans="1:14" x14ac:dyDescent="0.25">
      <c r="A570">
        <v>655.29628300000002</v>
      </c>
      <c r="B570" s="1">
        <f>DATE(2012,2,15) + TIME(7,6,38)</f>
        <v>40954.296273148146</v>
      </c>
      <c r="C570">
        <v>1301.8936768000001</v>
      </c>
      <c r="D570">
        <v>1288.4820557</v>
      </c>
      <c r="E570">
        <v>1390.4681396000001</v>
      </c>
      <c r="F570">
        <v>1371.1735839999999</v>
      </c>
      <c r="G570">
        <v>0</v>
      </c>
      <c r="H570">
        <v>2400</v>
      </c>
      <c r="I570">
        <v>2400</v>
      </c>
      <c r="J570">
        <v>0</v>
      </c>
      <c r="K570">
        <v>80</v>
      </c>
      <c r="L570">
        <v>73.326652526999993</v>
      </c>
      <c r="M570">
        <v>50</v>
      </c>
      <c r="N570">
        <v>49.989711761000002</v>
      </c>
    </row>
    <row r="571" spans="1:14" x14ac:dyDescent="0.25">
      <c r="A571">
        <v>659.01232800000002</v>
      </c>
      <c r="B571" s="1">
        <f>DATE(2012,2,19) + TIME(0,17,45)</f>
        <v>40958.012326388889</v>
      </c>
      <c r="C571">
        <v>1301.6423339999999</v>
      </c>
      <c r="D571">
        <v>1288.1337891000001</v>
      </c>
      <c r="E571">
        <v>1390.4608154</v>
      </c>
      <c r="F571">
        <v>1371.1678466999999</v>
      </c>
      <c r="G571">
        <v>0</v>
      </c>
      <c r="H571">
        <v>2400</v>
      </c>
      <c r="I571">
        <v>2400</v>
      </c>
      <c r="J571">
        <v>0</v>
      </c>
      <c r="K571">
        <v>80</v>
      </c>
      <c r="L571">
        <v>73.114440918</v>
      </c>
      <c r="M571">
        <v>50</v>
      </c>
      <c r="N571">
        <v>49.989753723</v>
      </c>
    </row>
    <row r="572" spans="1:14" x14ac:dyDescent="0.25">
      <c r="A572">
        <v>662.78384900000003</v>
      </c>
      <c r="B572" s="1">
        <f>DATE(2012,2,22) + TIME(18,48,44)</f>
        <v>40961.783842592595</v>
      </c>
      <c r="C572">
        <v>1301.3811035000001</v>
      </c>
      <c r="D572">
        <v>1287.7701416</v>
      </c>
      <c r="E572">
        <v>1390.4537353999999</v>
      </c>
      <c r="F572">
        <v>1371.1622314000001</v>
      </c>
      <c r="G572">
        <v>0</v>
      </c>
      <c r="H572">
        <v>2400</v>
      </c>
      <c r="I572">
        <v>2400</v>
      </c>
      <c r="J572">
        <v>0</v>
      </c>
      <c r="K572">
        <v>80</v>
      </c>
      <c r="L572">
        <v>72.892036438000005</v>
      </c>
      <c r="M572">
        <v>50</v>
      </c>
      <c r="N572">
        <v>49.989795684999997</v>
      </c>
    </row>
    <row r="573" spans="1:14" x14ac:dyDescent="0.25">
      <c r="A573">
        <v>666.59976099999994</v>
      </c>
      <c r="B573" s="1">
        <f>DATE(2012,2,26) + TIME(14,23,39)</f>
        <v>40965.599756944444</v>
      </c>
      <c r="C573">
        <v>1301.1104736</v>
      </c>
      <c r="D573">
        <v>1287.3916016000001</v>
      </c>
      <c r="E573">
        <v>1390.4468993999999</v>
      </c>
      <c r="F573">
        <v>1371.1568603999999</v>
      </c>
      <c r="G573">
        <v>0</v>
      </c>
      <c r="H573">
        <v>2400</v>
      </c>
      <c r="I573">
        <v>2400</v>
      </c>
      <c r="J573">
        <v>0</v>
      </c>
      <c r="K573">
        <v>80</v>
      </c>
      <c r="L573">
        <v>72.658615112000007</v>
      </c>
      <c r="M573">
        <v>50</v>
      </c>
      <c r="N573">
        <v>49.989837645999998</v>
      </c>
    </row>
    <row r="574" spans="1:14" x14ac:dyDescent="0.25">
      <c r="A574">
        <v>670</v>
      </c>
      <c r="B574" s="1">
        <f>DATE(2012,3,1) + TIME(0,0,0)</f>
        <v>40969</v>
      </c>
      <c r="C574">
        <v>1300.8322754000001</v>
      </c>
      <c r="D574">
        <v>1287.0020752</v>
      </c>
      <c r="E574">
        <v>1390.4400635</v>
      </c>
      <c r="F574">
        <v>1371.1514893000001</v>
      </c>
      <c r="G574">
        <v>0</v>
      </c>
      <c r="H574">
        <v>2400</v>
      </c>
      <c r="I574">
        <v>2400</v>
      </c>
      <c r="J574">
        <v>0</v>
      </c>
      <c r="K574">
        <v>80</v>
      </c>
      <c r="L574">
        <v>72.419349670000003</v>
      </c>
      <c r="M574">
        <v>50</v>
      </c>
      <c r="N574">
        <v>49.989871979</v>
      </c>
    </row>
    <row r="575" spans="1:14" x14ac:dyDescent="0.25">
      <c r="A575">
        <v>673.86138600000004</v>
      </c>
      <c r="B575" s="1">
        <f>DATE(2012,3,4) + TIME(20,40,23)</f>
        <v>40972.861377314817</v>
      </c>
      <c r="C575">
        <v>1300.5745850000001</v>
      </c>
      <c r="D575">
        <v>1286.6352539</v>
      </c>
      <c r="E575">
        <v>1390.4343262</v>
      </c>
      <c r="F575">
        <v>1371.1470947</v>
      </c>
      <c r="G575">
        <v>0</v>
      </c>
      <c r="H575">
        <v>2400</v>
      </c>
      <c r="I575">
        <v>2400</v>
      </c>
      <c r="J575">
        <v>0</v>
      </c>
      <c r="K575">
        <v>80</v>
      </c>
      <c r="L575">
        <v>72.183044433999996</v>
      </c>
      <c r="M575">
        <v>50</v>
      </c>
      <c r="N575">
        <v>49.989913940000001</v>
      </c>
    </row>
    <row r="576" spans="1:14" x14ac:dyDescent="0.25">
      <c r="A576">
        <v>677.84425699999997</v>
      </c>
      <c r="B576" s="1">
        <f>DATE(2012,3,8) + TIME(20,15,43)</f>
        <v>40976.844247685185</v>
      </c>
      <c r="C576">
        <v>1300.2872314000001</v>
      </c>
      <c r="D576">
        <v>1286.229126</v>
      </c>
      <c r="E576">
        <v>1390.4278564000001</v>
      </c>
      <c r="F576">
        <v>1371.1420897999999</v>
      </c>
      <c r="G576">
        <v>0</v>
      </c>
      <c r="H576">
        <v>2400</v>
      </c>
      <c r="I576">
        <v>2400</v>
      </c>
      <c r="J576">
        <v>0</v>
      </c>
      <c r="K576">
        <v>80</v>
      </c>
      <c r="L576">
        <v>71.918693542</v>
      </c>
      <c r="M576">
        <v>50</v>
      </c>
      <c r="N576">
        <v>49.989955901999998</v>
      </c>
    </row>
    <row r="577" spans="1:14" x14ac:dyDescent="0.25">
      <c r="A577">
        <v>681.88917400000003</v>
      </c>
      <c r="B577" s="1">
        <f>DATE(2012,3,12) + TIME(21,20,24)</f>
        <v>40980.889166666668</v>
      </c>
      <c r="C577">
        <v>1299.9853516000001</v>
      </c>
      <c r="D577">
        <v>1285.7998047000001</v>
      </c>
      <c r="E577">
        <v>1390.4213867000001</v>
      </c>
      <c r="F577">
        <v>1371.1369629000001</v>
      </c>
      <c r="G577">
        <v>0</v>
      </c>
      <c r="H577">
        <v>2400</v>
      </c>
      <c r="I577">
        <v>2400</v>
      </c>
      <c r="J577">
        <v>0</v>
      </c>
      <c r="K577">
        <v>80</v>
      </c>
      <c r="L577">
        <v>71.633689880000006</v>
      </c>
      <c r="M577">
        <v>50</v>
      </c>
      <c r="N577">
        <v>49.989997864000003</v>
      </c>
    </row>
    <row r="578" spans="1:14" x14ac:dyDescent="0.25">
      <c r="A578">
        <v>686.00919999999996</v>
      </c>
      <c r="B578" s="1">
        <f>DATE(2012,3,17) + TIME(0,13,14)</f>
        <v>40985.009189814817</v>
      </c>
      <c r="C578">
        <v>1299.6746826000001</v>
      </c>
      <c r="D578">
        <v>1285.3557129000001</v>
      </c>
      <c r="E578">
        <v>1390.4149170000001</v>
      </c>
      <c r="F578">
        <v>1371.1319579999999</v>
      </c>
      <c r="G578">
        <v>0</v>
      </c>
      <c r="H578">
        <v>2400</v>
      </c>
      <c r="I578">
        <v>2400</v>
      </c>
      <c r="J578">
        <v>0</v>
      </c>
      <c r="K578">
        <v>80</v>
      </c>
      <c r="L578">
        <v>71.331207274999997</v>
      </c>
      <c r="M578">
        <v>50</v>
      </c>
      <c r="N578">
        <v>49.990039824999997</v>
      </c>
    </row>
    <row r="579" spans="1:14" x14ac:dyDescent="0.25">
      <c r="A579">
        <v>690.21387200000004</v>
      </c>
      <c r="B579" s="1">
        <f>DATE(2012,3,21) + TIME(5,7,58)</f>
        <v>40989.213865740741</v>
      </c>
      <c r="C579">
        <v>1299.3555908000001</v>
      </c>
      <c r="D579">
        <v>1284.8975829999999</v>
      </c>
      <c r="E579">
        <v>1390.4084473</v>
      </c>
      <c r="F579">
        <v>1371.1269531</v>
      </c>
      <c r="G579">
        <v>0</v>
      </c>
      <c r="H579">
        <v>2400</v>
      </c>
      <c r="I579">
        <v>2400</v>
      </c>
      <c r="J579">
        <v>0</v>
      </c>
      <c r="K579">
        <v>80</v>
      </c>
      <c r="L579">
        <v>71.010124207000004</v>
      </c>
      <c r="M579">
        <v>50</v>
      </c>
      <c r="N579">
        <v>49.990085602000001</v>
      </c>
    </row>
    <row r="580" spans="1:14" x14ac:dyDescent="0.25">
      <c r="A580">
        <v>694.48289</v>
      </c>
      <c r="B580" s="1">
        <f>DATE(2012,3,25) + TIME(11,35,21)</f>
        <v>40993.482881944445</v>
      </c>
      <c r="C580">
        <v>1299.0281981999999</v>
      </c>
      <c r="D580">
        <v>1284.4256591999999</v>
      </c>
      <c r="E580">
        <v>1390.4019774999999</v>
      </c>
      <c r="F580">
        <v>1371.1218262</v>
      </c>
      <c r="G580">
        <v>0</v>
      </c>
      <c r="H580">
        <v>2400</v>
      </c>
      <c r="I580">
        <v>2400</v>
      </c>
      <c r="J580">
        <v>0</v>
      </c>
      <c r="K580">
        <v>80</v>
      </c>
      <c r="L580">
        <v>70.669258118000002</v>
      </c>
      <c r="M580">
        <v>50</v>
      </c>
      <c r="N580">
        <v>49.990127563000001</v>
      </c>
    </row>
    <row r="581" spans="1:14" x14ac:dyDescent="0.25">
      <c r="A581">
        <v>698.83027100000004</v>
      </c>
      <c r="B581" s="1">
        <f>DATE(2012,3,29) + TIME(19,55,35)</f>
        <v>40997.830266203702</v>
      </c>
      <c r="C581">
        <v>1298.6943358999999</v>
      </c>
      <c r="D581">
        <v>1283.9421387</v>
      </c>
      <c r="E581">
        <v>1390.3952637</v>
      </c>
      <c r="F581">
        <v>1371.1166992000001</v>
      </c>
      <c r="G581">
        <v>0</v>
      </c>
      <c r="H581">
        <v>2400</v>
      </c>
      <c r="I581">
        <v>2400</v>
      </c>
      <c r="J581">
        <v>0</v>
      </c>
      <c r="K581">
        <v>80</v>
      </c>
      <c r="L581">
        <v>70.308616638000004</v>
      </c>
      <c r="M581">
        <v>50</v>
      </c>
      <c r="N581">
        <v>49.990169524999999</v>
      </c>
    </row>
    <row r="582" spans="1:14" x14ac:dyDescent="0.25">
      <c r="A582">
        <v>701</v>
      </c>
      <c r="B582" s="1">
        <f>DATE(2012,4,1) + TIME(0,0,0)</f>
        <v>41000</v>
      </c>
      <c r="C582">
        <v>1298.3597411999999</v>
      </c>
      <c r="D582">
        <v>1283.4680175999999</v>
      </c>
      <c r="E582">
        <v>1390.3883057</v>
      </c>
      <c r="F582">
        <v>1371.1112060999999</v>
      </c>
      <c r="G582">
        <v>0</v>
      </c>
      <c r="H582">
        <v>2400</v>
      </c>
      <c r="I582">
        <v>2400</v>
      </c>
      <c r="J582">
        <v>0</v>
      </c>
      <c r="K582">
        <v>80</v>
      </c>
      <c r="L582">
        <v>69.979377747000001</v>
      </c>
      <c r="M582">
        <v>50</v>
      </c>
      <c r="N582">
        <v>49.990192413000003</v>
      </c>
    </row>
    <row r="583" spans="1:14" x14ac:dyDescent="0.25">
      <c r="A583">
        <v>705.44164699999999</v>
      </c>
      <c r="B583" s="1">
        <f>DATE(2012,4,5) + TIME(10,35,58)</f>
        <v>41004.441643518519</v>
      </c>
      <c r="C583">
        <v>1298.1639404</v>
      </c>
      <c r="D583">
        <v>1283.1604004000001</v>
      </c>
      <c r="E583">
        <v>1390.3852539</v>
      </c>
      <c r="F583">
        <v>1371.1087646000001</v>
      </c>
      <c r="G583">
        <v>0</v>
      </c>
      <c r="H583">
        <v>2400</v>
      </c>
      <c r="I583">
        <v>2400</v>
      </c>
      <c r="J583">
        <v>0</v>
      </c>
      <c r="K583">
        <v>80</v>
      </c>
      <c r="L583">
        <v>69.707519531000003</v>
      </c>
      <c r="M583">
        <v>50</v>
      </c>
      <c r="N583">
        <v>49.990234375</v>
      </c>
    </row>
    <row r="584" spans="1:14" x14ac:dyDescent="0.25">
      <c r="A584">
        <v>710.02819399999998</v>
      </c>
      <c r="B584" s="1">
        <f>DATE(2012,4,10) + TIME(0,40,35)</f>
        <v>41009.028182870374</v>
      </c>
      <c r="C584">
        <v>1297.8339844</v>
      </c>
      <c r="D584">
        <v>1282.6850586</v>
      </c>
      <c r="E584">
        <v>1390.3782959</v>
      </c>
      <c r="F584">
        <v>1371.1033935999999</v>
      </c>
      <c r="G584">
        <v>0</v>
      </c>
      <c r="H584">
        <v>2400</v>
      </c>
      <c r="I584">
        <v>2400</v>
      </c>
      <c r="J584">
        <v>0</v>
      </c>
      <c r="K584">
        <v>80</v>
      </c>
      <c r="L584">
        <v>69.312416076999995</v>
      </c>
      <c r="M584">
        <v>50</v>
      </c>
      <c r="N584">
        <v>49.990280151</v>
      </c>
    </row>
    <row r="585" spans="1:14" x14ac:dyDescent="0.25">
      <c r="A585">
        <v>714.68926199999999</v>
      </c>
      <c r="B585" s="1">
        <f>DATE(2012,4,14) + TIME(16,32,32)</f>
        <v>41013.689259259256</v>
      </c>
      <c r="C585">
        <v>1297.4803466999999</v>
      </c>
      <c r="D585">
        <v>1282.166626</v>
      </c>
      <c r="E585">
        <v>1390.3710937999999</v>
      </c>
      <c r="F585">
        <v>1371.0976562000001</v>
      </c>
      <c r="G585">
        <v>0</v>
      </c>
      <c r="H585">
        <v>2400</v>
      </c>
      <c r="I585">
        <v>2400</v>
      </c>
      <c r="J585">
        <v>0</v>
      </c>
      <c r="K585">
        <v>80</v>
      </c>
      <c r="L585">
        <v>68.873916625999996</v>
      </c>
      <c r="M585">
        <v>50</v>
      </c>
      <c r="N585">
        <v>49.990325927999997</v>
      </c>
    </row>
    <row r="586" spans="1:14" x14ac:dyDescent="0.25">
      <c r="A586">
        <v>719.44393100000002</v>
      </c>
      <c r="B586" s="1">
        <f>DATE(2012,4,19) + TIME(10,39,15)</f>
        <v>41018.443923611114</v>
      </c>
      <c r="C586">
        <v>1297.1202393000001</v>
      </c>
      <c r="D586">
        <v>1281.6350098</v>
      </c>
      <c r="E586">
        <v>1390.3637695</v>
      </c>
      <c r="F586">
        <v>1371.0917969</v>
      </c>
      <c r="G586">
        <v>0</v>
      </c>
      <c r="H586">
        <v>2400</v>
      </c>
      <c r="I586">
        <v>2400</v>
      </c>
      <c r="J586">
        <v>0</v>
      </c>
      <c r="K586">
        <v>80</v>
      </c>
      <c r="L586">
        <v>68.410072326999995</v>
      </c>
      <c r="M586">
        <v>50</v>
      </c>
      <c r="N586">
        <v>49.990367888999998</v>
      </c>
    </row>
    <row r="587" spans="1:14" x14ac:dyDescent="0.25">
      <c r="A587">
        <v>724.30959199999995</v>
      </c>
      <c r="B587" s="1">
        <f>DATE(2012,4,24) + TIME(7,25,48)</f>
        <v>41023.309583333335</v>
      </c>
      <c r="C587">
        <v>1296.7557373</v>
      </c>
      <c r="D587">
        <v>1281.0943603999999</v>
      </c>
      <c r="E587">
        <v>1390.3562012</v>
      </c>
      <c r="F587">
        <v>1371.0856934000001</v>
      </c>
      <c r="G587">
        <v>0</v>
      </c>
      <c r="H587">
        <v>2400</v>
      </c>
      <c r="I587">
        <v>2400</v>
      </c>
      <c r="J587">
        <v>0</v>
      </c>
      <c r="K587">
        <v>80</v>
      </c>
      <c r="L587">
        <v>67.920677185000002</v>
      </c>
      <c r="M587">
        <v>50</v>
      </c>
      <c r="N587">
        <v>49.990413666000002</v>
      </c>
    </row>
    <row r="588" spans="1:14" x14ac:dyDescent="0.25">
      <c r="A588">
        <v>729.27796499999999</v>
      </c>
      <c r="B588" s="1">
        <f>DATE(2012,4,29) + TIME(6,40,16)</f>
        <v>41028.277962962966</v>
      </c>
      <c r="C588">
        <v>1296.3869629000001</v>
      </c>
      <c r="D588">
        <v>1280.5450439000001</v>
      </c>
      <c r="E588">
        <v>1390.3482666</v>
      </c>
      <c r="F588">
        <v>1371.0793457</v>
      </c>
      <c r="G588">
        <v>0</v>
      </c>
      <c r="H588">
        <v>2400</v>
      </c>
      <c r="I588">
        <v>2400</v>
      </c>
      <c r="J588">
        <v>0</v>
      </c>
      <c r="K588">
        <v>80</v>
      </c>
      <c r="L588">
        <v>67.406028747999997</v>
      </c>
      <c r="M588">
        <v>50</v>
      </c>
      <c r="N588">
        <v>49.990459442000002</v>
      </c>
    </row>
    <row r="589" spans="1:14" x14ac:dyDescent="0.25">
      <c r="A589">
        <v>731</v>
      </c>
      <c r="B589" s="1">
        <f>DATE(2012,5,1) + TIME(0,0,0)</f>
        <v>41030</v>
      </c>
      <c r="C589">
        <v>1296.0222168</v>
      </c>
      <c r="D589">
        <v>1280.0263672000001</v>
      </c>
      <c r="E589">
        <v>1390.3395995999999</v>
      </c>
      <c r="F589">
        <v>1371.0723877</v>
      </c>
      <c r="G589">
        <v>0</v>
      </c>
      <c r="H589">
        <v>2400</v>
      </c>
      <c r="I589">
        <v>2400</v>
      </c>
      <c r="J589">
        <v>0</v>
      </c>
      <c r="K589">
        <v>80</v>
      </c>
      <c r="L589">
        <v>66.975921631000006</v>
      </c>
      <c r="M589">
        <v>50</v>
      </c>
      <c r="N589">
        <v>49.990474700999997</v>
      </c>
    </row>
    <row r="590" spans="1:14" x14ac:dyDescent="0.25">
      <c r="A590">
        <v>731.000001</v>
      </c>
      <c r="B590" s="1">
        <f>DATE(2012,5,1) + TIME(0,0,0)</f>
        <v>41030</v>
      </c>
      <c r="C590">
        <v>1313.668457</v>
      </c>
      <c r="D590">
        <v>1296.9799805</v>
      </c>
      <c r="E590">
        <v>1370.1977539</v>
      </c>
      <c r="F590">
        <v>1351.1263428</v>
      </c>
      <c r="G590">
        <v>2400</v>
      </c>
      <c r="H590">
        <v>0</v>
      </c>
      <c r="I590">
        <v>0</v>
      </c>
      <c r="J590">
        <v>2400</v>
      </c>
      <c r="K590">
        <v>80</v>
      </c>
      <c r="L590">
        <v>66.976066588999998</v>
      </c>
      <c r="M590">
        <v>50</v>
      </c>
      <c r="N590">
        <v>49.990364075000002</v>
      </c>
    </row>
    <row r="591" spans="1:14" x14ac:dyDescent="0.25">
      <c r="A591">
        <v>731.00000399999999</v>
      </c>
      <c r="B591" s="1">
        <f>DATE(2012,5,1) + TIME(0,0,0)</f>
        <v>41030</v>
      </c>
      <c r="C591">
        <v>1315.9769286999999</v>
      </c>
      <c r="D591">
        <v>1299.4472656</v>
      </c>
      <c r="E591">
        <v>1367.8648682</v>
      </c>
      <c r="F591">
        <v>1348.7932129000001</v>
      </c>
      <c r="G591">
        <v>2400</v>
      </c>
      <c r="H591">
        <v>0</v>
      </c>
      <c r="I591">
        <v>0</v>
      </c>
      <c r="J591">
        <v>2400</v>
      </c>
      <c r="K591">
        <v>80</v>
      </c>
      <c r="L591">
        <v>66.976455688000001</v>
      </c>
      <c r="M591">
        <v>50</v>
      </c>
      <c r="N591">
        <v>49.990070342999999</v>
      </c>
    </row>
    <row r="592" spans="1:14" x14ac:dyDescent="0.25">
      <c r="A592">
        <v>731.00001299999997</v>
      </c>
      <c r="B592" s="1">
        <f>DATE(2012,5,1) + TIME(0,0,1)</f>
        <v>41030.000011574077</v>
      </c>
      <c r="C592">
        <v>1320.9576416</v>
      </c>
      <c r="D592">
        <v>1304.6248779</v>
      </c>
      <c r="E592">
        <v>1362.6322021000001</v>
      </c>
      <c r="F592">
        <v>1343.5600586</v>
      </c>
      <c r="G592">
        <v>2400</v>
      </c>
      <c r="H592">
        <v>0</v>
      </c>
      <c r="I592">
        <v>0</v>
      </c>
      <c r="J592">
        <v>2400</v>
      </c>
      <c r="K592">
        <v>80</v>
      </c>
      <c r="L592">
        <v>66.977310181000007</v>
      </c>
      <c r="M592">
        <v>50</v>
      </c>
      <c r="N592">
        <v>49.989410399999997</v>
      </c>
    </row>
    <row r="593" spans="1:14" x14ac:dyDescent="0.25">
      <c r="A593">
        <v>731.00004000000001</v>
      </c>
      <c r="B593" s="1">
        <f>DATE(2012,5,1) + TIME(0,0,3)</f>
        <v>41030.000034722223</v>
      </c>
      <c r="C593">
        <v>1328.8601074000001</v>
      </c>
      <c r="D593">
        <v>1312.5887451000001</v>
      </c>
      <c r="E593">
        <v>1353.8897704999999</v>
      </c>
      <c r="F593">
        <v>1334.817749</v>
      </c>
      <c r="G593">
        <v>2400</v>
      </c>
      <c r="H593">
        <v>0</v>
      </c>
      <c r="I593">
        <v>0</v>
      </c>
      <c r="J593">
        <v>2400</v>
      </c>
      <c r="K593">
        <v>80</v>
      </c>
      <c r="L593">
        <v>66.978851317999997</v>
      </c>
      <c r="M593">
        <v>50</v>
      </c>
      <c r="N593">
        <v>49.988307953000003</v>
      </c>
    </row>
    <row r="594" spans="1:14" x14ac:dyDescent="0.25">
      <c r="A594">
        <v>731.00012100000004</v>
      </c>
      <c r="B594" s="1">
        <f>DATE(2012,5,1) + TIME(0,0,10)</f>
        <v>41030.000115740739</v>
      </c>
      <c r="C594">
        <v>1338.1683350000001</v>
      </c>
      <c r="D594">
        <v>1321.8248291</v>
      </c>
      <c r="E594">
        <v>1343.2215576000001</v>
      </c>
      <c r="F594">
        <v>1324.151001</v>
      </c>
      <c r="G594">
        <v>2400</v>
      </c>
      <c r="H594">
        <v>0</v>
      </c>
      <c r="I594">
        <v>0</v>
      </c>
      <c r="J594">
        <v>2400</v>
      </c>
      <c r="K594">
        <v>80</v>
      </c>
      <c r="L594">
        <v>66.981513977000006</v>
      </c>
      <c r="M594">
        <v>50</v>
      </c>
      <c r="N594">
        <v>49.986961364999999</v>
      </c>
    </row>
    <row r="595" spans="1:14" x14ac:dyDescent="0.25">
      <c r="A595">
        <v>731.00036399999999</v>
      </c>
      <c r="B595" s="1">
        <f>DATE(2012,5,1) + TIME(0,0,31)</f>
        <v>41030.000358796293</v>
      </c>
      <c r="C595">
        <v>1347.7219238</v>
      </c>
      <c r="D595">
        <v>1331.2935791</v>
      </c>
      <c r="E595">
        <v>1332.2453613</v>
      </c>
      <c r="F595">
        <v>1313.1782227000001</v>
      </c>
      <c r="G595">
        <v>2400</v>
      </c>
      <c r="H595">
        <v>0</v>
      </c>
      <c r="I595">
        <v>0</v>
      </c>
      <c r="J595">
        <v>2400</v>
      </c>
      <c r="K595">
        <v>80</v>
      </c>
      <c r="L595">
        <v>66.987037658999995</v>
      </c>
      <c r="M595">
        <v>50</v>
      </c>
      <c r="N595">
        <v>49.985568999999998</v>
      </c>
    </row>
    <row r="596" spans="1:14" x14ac:dyDescent="0.25">
      <c r="A596">
        <v>731.00109299999997</v>
      </c>
      <c r="B596" s="1">
        <f>DATE(2012,5,1) + TIME(0,1,34)</f>
        <v>41030.001087962963</v>
      </c>
      <c r="C596">
        <v>1357.449707</v>
      </c>
      <c r="D596">
        <v>1340.9357910000001</v>
      </c>
      <c r="E596">
        <v>1321.3016356999999</v>
      </c>
      <c r="F596">
        <v>1302.2388916</v>
      </c>
      <c r="G596">
        <v>2400</v>
      </c>
      <c r="H596">
        <v>0</v>
      </c>
      <c r="I596">
        <v>0</v>
      </c>
      <c r="J596">
        <v>2400</v>
      </c>
      <c r="K596">
        <v>80</v>
      </c>
      <c r="L596">
        <v>67.001121521000002</v>
      </c>
      <c r="M596">
        <v>50</v>
      </c>
      <c r="N596">
        <v>49.984161377</v>
      </c>
    </row>
    <row r="597" spans="1:14" x14ac:dyDescent="0.25">
      <c r="A597">
        <v>731.00328000000002</v>
      </c>
      <c r="B597" s="1">
        <f>DATE(2012,5,1) + TIME(0,4,43)</f>
        <v>41030.003275462965</v>
      </c>
      <c r="C597">
        <v>1367.4381103999999</v>
      </c>
      <c r="D597">
        <v>1350.8367920000001</v>
      </c>
      <c r="E597">
        <v>1310.4887695</v>
      </c>
      <c r="F597">
        <v>1291.4244385</v>
      </c>
      <c r="G597">
        <v>2400</v>
      </c>
      <c r="H597">
        <v>0</v>
      </c>
      <c r="I597">
        <v>0</v>
      </c>
      <c r="J597">
        <v>2400</v>
      </c>
      <c r="K597">
        <v>80</v>
      </c>
      <c r="L597">
        <v>67.040901184000006</v>
      </c>
      <c r="M597">
        <v>50</v>
      </c>
      <c r="N597">
        <v>49.982711792000003</v>
      </c>
    </row>
    <row r="598" spans="1:14" x14ac:dyDescent="0.25">
      <c r="A598">
        <v>731.00984100000005</v>
      </c>
      <c r="B598" s="1">
        <f>DATE(2012,5,1) + TIME(0,14,10)</f>
        <v>41030.009837962964</v>
      </c>
      <c r="C598">
        <v>1376.7359618999999</v>
      </c>
      <c r="D598">
        <v>1360.0780029</v>
      </c>
      <c r="E598">
        <v>1300.7990723</v>
      </c>
      <c r="F598">
        <v>1281.7214355000001</v>
      </c>
      <c r="G598">
        <v>2400</v>
      </c>
      <c r="H598">
        <v>0</v>
      </c>
      <c r="I598">
        <v>0</v>
      </c>
      <c r="J598">
        <v>2400</v>
      </c>
      <c r="K598">
        <v>80</v>
      </c>
      <c r="L598">
        <v>67.157012938999998</v>
      </c>
      <c r="M598">
        <v>50</v>
      </c>
      <c r="N598">
        <v>49.981227875000002</v>
      </c>
    </row>
    <row r="599" spans="1:14" x14ac:dyDescent="0.25">
      <c r="A599">
        <v>731.02952400000004</v>
      </c>
      <c r="B599" s="1">
        <f>DATE(2012,5,1) + TIME(0,42,30)</f>
        <v>41030.029513888891</v>
      </c>
      <c r="C599">
        <v>1383.065918</v>
      </c>
      <c r="D599">
        <v>1366.4444579999999</v>
      </c>
      <c r="E599">
        <v>1294.5661620999999</v>
      </c>
      <c r="F599">
        <v>1275.4768065999999</v>
      </c>
      <c r="G599">
        <v>2400</v>
      </c>
      <c r="H599">
        <v>0</v>
      </c>
      <c r="I599">
        <v>0</v>
      </c>
      <c r="J599">
        <v>2400</v>
      </c>
      <c r="K599">
        <v>80</v>
      </c>
      <c r="L599">
        <v>67.494224548000005</v>
      </c>
      <c r="M599">
        <v>50</v>
      </c>
      <c r="N599">
        <v>49.979656218999999</v>
      </c>
    </row>
    <row r="600" spans="1:14" x14ac:dyDescent="0.25">
      <c r="A600">
        <v>731.06284800000003</v>
      </c>
      <c r="B600" s="1">
        <f>DATE(2012,5,1) + TIME(1,30,30)</f>
        <v>41030.062847222223</v>
      </c>
      <c r="C600">
        <v>1385.1773682</v>
      </c>
      <c r="D600">
        <v>1368.6701660000001</v>
      </c>
      <c r="E600">
        <v>1292.7145995999999</v>
      </c>
      <c r="F600">
        <v>1273.6217041</v>
      </c>
      <c r="G600">
        <v>2400</v>
      </c>
      <c r="H600">
        <v>0</v>
      </c>
      <c r="I600">
        <v>0</v>
      </c>
      <c r="J600">
        <v>2400</v>
      </c>
      <c r="K600">
        <v>80</v>
      </c>
      <c r="L600">
        <v>68.039466857999997</v>
      </c>
      <c r="M600">
        <v>50</v>
      </c>
      <c r="N600">
        <v>49.978092193999998</v>
      </c>
    </row>
    <row r="601" spans="1:14" x14ac:dyDescent="0.25">
      <c r="A601">
        <v>731.09727599999997</v>
      </c>
      <c r="B601" s="1">
        <f>DATE(2012,5,1) + TIME(2,20,4)</f>
        <v>41030.097268518519</v>
      </c>
      <c r="C601">
        <v>1385.5925293</v>
      </c>
      <c r="D601">
        <v>1369.1953125</v>
      </c>
      <c r="E601">
        <v>1292.3901367000001</v>
      </c>
      <c r="F601">
        <v>1273.2965088000001</v>
      </c>
      <c r="G601">
        <v>2400</v>
      </c>
      <c r="H601">
        <v>0</v>
      </c>
      <c r="I601">
        <v>0</v>
      </c>
      <c r="J601">
        <v>2400</v>
      </c>
      <c r="K601">
        <v>80</v>
      </c>
      <c r="L601">
        <v>68.577613830999994</v>
      </c>
      <c r="M601">
        <v>50</v>
      </c>
      <c r="N601">
        <v>49.976688385000003</v>
      </c>
    </row>
    <row r="602" spans="1:14" x14ac:dyDescent="0.25">
      <c r="A602">
        <v>731.13283899999999</v>
      </c>
      <c r="B602" s="1">
        <f>DATE(2012,5,1) + TIME(3,11,17)</f>
        <v>41030.132835648146</v>
      </c>
      <c r="C602">
        <v>1385.5850829999999</v>
      </c>
      <c r="D602">
        <v>1369.2966309000001</v>
      </c>
      <c r="E602">
        <v>1292.3500977000001</v>
      </c>
      <c r="F602">
        <v>1273.2562256000001</v>
      </c>
      <c r="G602">
        <v>2400</v>
      </c>
      <c r="H602">
        <v>0</v>
      </c>
      <c r="I602">
        <v>0</v>
      </c>
      <c r="J602">
        <v>2400</v>
      </c>
      <c r="K602">
        <v>80</v>
      </c>
      <c r="L602">
        <v>69.107978821000003</v>
      </c>
      <c r="M602">
        <v>50</v>
      </c>
      <c r="N602">
        <v>49.975288390999999</v>
      </c>
    </row>
    <row r="603" spans="1:14" x14ac:dyDescent="0.25">
      <c r="A603">
        <v>731.16960400000005</v>
      </c>
      <c r="B603" s="1">
        <f>DATE(2012,5,1) + TIME(4,4,13)</f>
        <v>41030.169594907406</v>
      </c>
      <c r="C603">
        <v>1385.4659423999999</v>
      </c>
      <c r="D603">
        <v>1369.2833252</v>
      </c>
      <c r="E603">
        <v>1292.3538818</v>
      </c>
      <c r="F603">
        <v>1273.2598877</v>
      </c>
      <c r="G603">
        <v>2400</v>
      </c>
      <c r="H603">
        <v>0</v>
      </c>
      <c r="I603">
        <v>0</v>
      </c>
      <c r="J603">
        <v>2400</v>
      </c>
      <c r="K603">
        <v>80</v>
      </c>
      <c r="L603">
        <v>69.630287170000003</v>
      </c>
      <c r="M603">
        <v>50</v>
      </c>
      <c r="N603">
        <v>49.973861694</v>
      </c>
    </row>
    <row r="604" spans="1:14" x14ac:dyDescent="0.25">
      <c r="A604">
        <v>731.20765800000004</v>
      </c>
      <c r="B604" s="1">
        <f>DATE(2012,5,1) + TIME(4,59,1)</f>
        <v>41030.207650462966</v>
      </c>
      <c r="C604">
        <v>1385.3172606999999</v>
      </c>
      <c r="D604">
        <v>1369.2371826000001</v>
      </c>
      <c r="E604">
        <v>1292.3596190999999</v>
      </c>
      <c r="F604">
        <v>1273.2655029</v>
      </c>
      <c r="G604">
        <v>2400</v>
      </c>
      <c r="H604">
        <v>0</v>
      </c>
      <c r="I604">
        <v>0</v>
      </c>
      <c r="J604">
        <v>2400</v>
      </c>
      <c r="K604">
        <v>80</v>
      </c>
      <c r="L604">
        <v>70.144317627000007</v>
      </c>
      <c r="M604">
        <v>50</v>
      </c>
      <c r="N604">
        <v>49.972404480000002</v>
      </c>
    </row>
    <row r="605" spans="1:14" x14ac:dyDescent="0.25">
      <c r="A605">
        <v>731.24710100000004</v>
      </c>
      <c r="B605" s="1">
        <f>DATE(2012,5,1) + TIME(5,55,49)</f>
        <v>41030.247094907405</v>
      </c>
      <c r="C605">
        <v>1385.1625977000001</v>
      </c>
      <c r="D605">
        <v>1369.1817627</v>
      </c>
      <c r="E605">
        <v>1292.3626709</v>
      </c>
      <c r="F605">
        <v>1273.2685547000001</v>
      </c>
      <c r="G605">
        <v>2400</v>
      </c>
      <c r="H605">
        <v>0</v>
      </c>
      <c r="I605">
        <v>0</v>
      </c>
      <c r="J605">
        <v>2400</v>
      </c>
      <c r="K605">
        <v>80</v>
      </c>
      <c r="L605">
        <v>70.649787903000004</v>
      </c>
      <c r="M605">
        <v>50</v>
      </c>
      <c r="N605">
        <v>49.970912933000001</v>
      </c>
    </row>
    <row r="606" spans="1:14" x14ac:dyDescent="0.25">
      <c r="A606">
        <v>731.28804300000002</v>
      </c>
      <c r="B606" s="1">
        <f>DATE(2012,5,1) + TIME(6,54,46)</f>
        <v>41030.288032407407</v>
      </c>
      <c r="C606">
        <v>1385.0089111</v>
      </c>
      <c r="D606">
        <v>1369.1245117000001</v>
      </c>
      <c r="E606">
        <v>1292.3640137</v>
      </c>
      <c r="F606">
        <v>1273.2697754000001</v>
      </c>
      <c r="G606">
        <v>2400</v>
      </c>
      <c r="H606">
        <v>0</v>
      </c>
      <c r="I606">
        <v>0</v>
      </c>
      <c r="J606">
        <v>2400</v>
      </c>
      <c r="K606">
        <v>80</v>
      </c>
      <c r="L606">
        <v>71.146842957000004</v>
      </c>
      <c r="M606">
        <v>50</v>
      </c>
      <c r="N606">
        <v>49.969379425</v>
      </c>
    </row>
    <row r="607" spans="1:14" x14ac:dyDescent="0.25">
      <c r="A607">
        <v>731.33060899999998</v>
      </c>
      <c r="B607" s="1">
        <f>DATE(2012,5,1) + TIME(7,56,4)</f>
        <v>41030.330601851849</v>
      </c>
      <c r="C607">
        <v>1384.8585204999999</v>
      </c>
      <c r="D607">
        <v>1369.0672606999999</v>
      </c>
      <c r="E607">
        <v>1292.364624</v>
      </c>
      <c r="F607">
        <v>1273.2701416</v>
      </c>
      <c r="G607">
        <v>2400</v>
      </c>
      <c r="H607">
        <v>0</v>
      </c>
      <c r="I607">
        <v>0</v>
      </c>
      <c r="J607">
        <v>2400</v>
      </c>
      <c r="K607">
        <v>80</v>
      </c>
      <c r="L607">
        <v>71.635337829999997</v>
      </c>
      <c r="M607">
        <v>50</v>
      </c>
      <c r="N607">
        <v>49.96780777</v>
      </c>
    </row>
    <row r="608" spans="1:14" x14ac:dyDescent="0.25">
      <c r="A608">
        <v>731.37494000000004</v>
      </c>
      <c r="B608" s="1">
        <f>DATE(2012,5,1) + TIME(8,59,54)</f>
        <v>41030.374930555554</v>
      </c>
      <c r="C608">
        <v>1384.7119141000001</v>
      </c>
      <c r="D608">
        <v>1369.0109863</v>
      </c>
      <c r="E608">
        <v>1292.3647461</v>
      </c>
      <c r="F608">
        <v>1273.2702637</v>
      </c>
      <c r="G608">
        <v>2400</v>
      </c>
      <c r="H608">
        <v>0</v>
      </c>
      <c r="I608">
        <v>0</v>
      </c>
      <c r="J608">
        <v>2400</v>
      </c>
      <c r="K608">
        <v>80</v>
      </c>
      <c r="L608">
        <v>72.115119934000006</v>
      </c>
      <c r="M608">
        <v>50</v>
      </c>
      <c r="N608">
        <v>49.966186522999998</v>
      </c>
    </row>
    <row r="609" spans="1:14" x14ac:dyDescent="0.25">
      <c r="A609">
        <v>731.42119200000002</v>
      </c>
      <c r="B609" s="1">
        <f>DATE(2012,5,1) + TIME(10,6,30)</f>
        <v>41030.421180555553</v>
      </c>
      <c r="C609">
        <v>1384.5693358999999</v>
      </c>
      <c r="D609">
        <v>1368.9558105000001</v>
      </c>
      <c r="E609">
        <v>1292.3648682</v>
      </c>
      <c r="F609">
        <v>1273.2701416</v>
      </c>
      <c r="G609">
        <v>2400</v>
      </c>
      <c r="H609">
        <v>0</v>
      </c>
      <c r="I609">
        <v>0</v>
      </c>
      <c r="J609">
        <v>2400</v>
      </c>
      <c r="K609">
        <v>80</v>
      </c>
      <c r="L609">
        <v>72.586013793999996</v>
      </c>
      <c r="M609">
        <v>50</v>
      </c>
      <c r="N609">
        <v>49.964519500999998</v>
      </c>
    </row>
    <row r="610" spans="1:14" x14ac:dyDescent="0.25">
      <c r="A610">
        <v>731.46954400000004</v>
      </c>
      <c r="B610" s="1">
        <f>DATE(2012,5,1) + TIME(11,16,8)</f>
        <v>41030.469537037039</v>
      </c>
      <c r="C610">
        <v>1384.4304199000001</v>
      </c>
      <c r="D610">
        <v>1368.9016113</v>
      </c>
      <c r="E610">
        <v>1292.3648682</v>
      </c>
      <c r="F610">
        <v>1273.2700195</v>
      </c>
      <c r="G610">
        <v>2400</v>
      </c>
      <c r="H610">
        <v>0</v>
      </c>
      <c r="I610">
        <v>0</v>
      </c>
      <c r="J610">
        <v>2400</v>
      </c>
      <c r="K610">
        <v>80</v>
      </c>
      <c r="L610">
        <v>73.047813415999997</v>
      </c>
      <c r="M610">
        <v>50</v>
      </c>
      <c r="N610">
        <v>49.962799072000003</v>
      </c>
    </row>
    <row r="611" spans="1:14" x14ac:dyDescent="0.25">
      <c r="A611">
        <v>731.520218</v>
      </c>
      <c r="B611" s="1">
        <f>DATE(2012,5,1) + TIME(12,29,6)</f>
        <v>41030.520208333335</v>
      </c>
      <c r="C611">
        <v>1384.2951660000001</v>
      </c>
      <c r="D611">
        <v>1368.8482666</v>
      </c>
      <c r="E611">
        <v>1292.3647461</v>
      </c>
      <c r="F611">
        <v>1273.2697754000001</v>
      </c>
      <c r="G611">
        <v>2400</v>
      </c>
      <c r="H611">
        <v>0</v>
      </c>
      <c r="I611">
        <v>0</v>
      </c>
      <c r="J611">
        <v>2400</v>
      </c>
      <c r="K611">
        <v>80</v>
      </c>
      <c r="L611">
        <v>73.500419617000006</v>
      </c>
      <c r="M611">
        <v>50</v>
      </c>
      <c r="N611">
        <v>49.961017609000002</v>
      </c>
    </row>
    <row r="612" spans="1:14" x14ac:dyDescent="0.25">
      <c r="A612">
        <v>731.57345399999997</v>
      </c>
      <c r="B612" s="1">
        <f>DATE(2012,5,1) + TIME(13,45,46)</f>
        <v>41030.573449074072</v>
      </c>
      <c r="C612">
        <v>1384.1632079999999</v>
      </c>
      <c r="D612">
        <v>1368.7957764</v>
      </c>
      <c r="E612">
        <v>1292.3647461</v>
      </c>
      <c r="F612">
        <v>1273.2696533000001</v>
      </c>
      <c r="G612">
        <v>2400</v>
      </c>
      <c r="H612">
        <v>0</v>
      </c>
      <c r="I612">
        <v>0</v>
      </c>
      <c r="J612">
        <v>2400</v>
      </c>
      <c r="K612">
        <v>80</v>
      </c>
      <c r="L612">
        <v>73.943626404</v>
      </c>
      <c r="M612">
        <v>50</v>
      </c>
      <c r="N612">
        <v>49.959171294999997</v>
      </c>
    </row>
    <row r="613" spans="1:14" x14ac:dyDescent="0.25">
      <c r="A613">
        <v>731.62950599999999</v>
      </c>
      <c r="B613" s="1">
        <f>DATE(2012,5,1) + TIME(15,6,29)</f>
        <v>41030.629502314812</v>
      </c>
      <c r="C613">
        <v>1384.034668</v>
      </c>
      <c r="D613">
        <v>1368.7438964999999</v>
      </c>
      <c r="E613">
        <v>1292.364624</v>
      </c>
      <c r="F613">
        <v>1273.2694091999999</v>
      </c>
      <c r="G613">
        <v>2400</v>
      </c>
      <c r="H613">
        <v>0</v>
      </c>
      <c r="I613">
        <v>0</v>
      </c>
      <c r="J613">
        <v>2400</v>
      </c>
      <c r="K613">
        <v>80</v>
      </c>
      <c r="L613">
        <v>74.376968383999994</v>
      </c>
      <c r="M613">
        <v>50</v>
      </c>
      <c r="N613">
        <v>49.957252502000003</v>
      </c>
    </row>
    <row r="614" spans="1:14" x14ac:dyDescent="0.25">
      <c r="A614">
        <v>731.68868699999996</v>
      </c>
      <c r="B614" s="1">
        <f>DATE(2012,5,1) + TIME(16,31,42)</f>
        <v>41030.688680555555</v>
      </c>
      <c r="C614">
        <v>1383.9090576000001</v>
      </c>
      <c r="D614">
        <v>1368.6926269999999</v>
      </c>
      <c r="E614">
        <v>1292.3645019999999</v>
      </c>
      <c r="F614">
        <v>1273.2691649999999</v>
      </c>
      <c r="G614">
        <v>2400</v>
      </c>
      <c r="H614">
        <v>0</v>
      </c>
      <c r="I614">
        <v>0</v>
      </c>
      <c r="J614">
        <v>2400</v>
      </c>
      <c r="K614">
        <v>80</v>
      </c>
      <c r="L614">
        <v>74.800125121999997</v>
      </c>
      <c r="M614">
        <v>50</v>
      </c>
      <c r="N614">
        <v>49.955253601000003</v>
      </c>
    </row>
    <row r="615" spans="1:14" x14ac:dyDescent="0.25">
      <c r="A615">
        <v>731.75136599999996</v>
      </c>
      <c r="B615" s="1">
        <f>DATE(2012,5,1) + TIME(18,1,58)</f>
        <v>41030.75136574074</v>
      </c>
      <c r="C615">
        <v>1383.7863769999999</v>
      </c>
      <c r="D615">
        <v>1368.6417236</v>
      </c>
      <c r="E615">
        <v>1292.3643798999999</v>
      </c>
      <c r="F615">
        <v>1273.2687988</v>
      </c>
      <c r="G615">
        <v>2400</v>
      </c>
      <c r="H615">
        <v>0</v>
      </c>
      <c r="I615">
        <v>0</v>
      </c>
      <c r="J615">
        <v>2400</v>
      </c>
      <c r="K615">
        <v>80</v>
      </c>
      <c r="L615">
        <v>75.212585449000002</v>
      </c>
      <c r="M615">
        <v>50</v>
      </c>
      <c r="N615">
        <v>49.953163146999998</v>
      </c>
    </row>
    <row r="616" spans="1:14" x14ac:dyDescent="0.25">
      <c r="A616">
        <v>731.81797700000004</v>
      </c>
      <c r="B616" s="1">
        <f>DATE(2012,5,1) + TIME(19,37,53)</f>
        <v>41030.817974537036</v>
      </c>
      <c r="C616">
        <v>1383.6662598</v>
      </c>
      <c r="D616">
        <v>1368.5910644999999</v>
      </c>
      <c r="E616">
        <v>1292.3642577999999</v>
      </c>
      <c r="F616">
        <v>1273.2684326000001</v>
      </c>
      <c r="G616">
        <v>2400</v>
      </c>
      <c r="H616">
        <v>0</v>
      </c>
      <c r="I616">
        <v>0</v>
      </c>
      <c r="J616">
        <v>2400</v>
      </c>
      <c r="K616">
        <v>80</v>
      </c>
      <c r="L616">
        <v>75.613937378000003</v>
      </c>
      <c r="M616">
        <v>50</v>
      </c>
      <c r="N616">
        <v>49.950977324999997</v>
      </c>
    </row>
    <row r="617" spans="1:14" x14ac:dyDescent="0.25">
      <c r="A617">
        <v>731.88902399999995</v>
      </c>
      <c r="B617" s="1">
        <f>DATE(2012,5,1) + TIME(21,20,11)</f>
        <v>41030.889016203706</v>
      </c>
      <c r="C617">
        <v>1383.5487060999999</v>
      </c>
      <c r="D617">
        <v>1368.5404053</v>
      </c>
      <c r="E617">
        <v>1292.3640137</v>
      </c>
      <c r="F617">
        <v>1273.2680664</v>
      </c>
      <c r="G617">
        <v>2400</v>
      </c>
      <c r="H617">
        <v>0</v>
      </c>
      <c r="I617">
        <v>0</v>
      </c>
      <c r="J617">
        <v>2400</v>
      </c>
      <c r="K617">
        <v>80</v>
      </c>
      <c r="L617">
        <v>76.003807068</v>
      </c>
      <c r="M617">
        <v>50</v>
      </c>
      <c r="N617">
        <v>49.948677062999998</v>
      </c>
    </row>
    <row r="618" spans="1:14" x14ac:dyDescent="0.25">
      <c r="A618">
        <v>731.96514500000001</v>
      </c>
      <c r="B618" s="1">
        <f>DATE(2012,5,1) + TIME(23,9,48)</f>
        <v>41030.965138888889</v>
      </c>
      <c r="C618">
        <v>1383.4332274999999</v>
      </c>
      <c r="D618">
        <v>1368.489624</v>
      </c>
      <c r="E618">
        <v>1292.3638916</v>
      </c>
      <c r="F618">
        <v>1273.2677002</v>
      </c>
      <c r="G618">
        <v>2400</v>
      </c>
      <c r="H618">
        <v>0</v>
      </c>
      <c r="I618">
        <v>0</v>
      </c>
      <c r="J618">
        <v>2400</v>
      </c>
      <c r="K618">
        <v>80</v>
      </c>
      <c r="L618">
        <v>76.381767272999994</v>
      </c>
      <c r="M618">
        <v>50</v>
      </c>
      <c r="N618">
        <v>49.946247100999997</v>
      </c>
    </row>
    <row r="619" spans="1:14" x14ac:dyDescent="0.25">
      <c r="A619">
        <v>732.0471</v>
      </c>
      <c r="B619" s="1">
        <f>DATE(2012,5,2) + TIME(1,7,49)</f>
        <v>41031.047094907408</v>
      </c>
      <c r="C619">
        <v>1383.3197021000001</v>
      </c>
      <c r="D619">
        <v>1368.4385986</v>
      </c>
      <c r="E619">
        <v>1292.3636475000001</v>
      </c>
      <c r="F619">
        <v>1273.2673339999999</v>
      </c>
      <c r="G619">
        <v>2400</v>
      </c>
      <c r="H619">
        <v>0</v>
      </c>
      <c r="I619">
        <v>0</v>
      </c>
      <c r="J619">
        <v>2400</v>
      </c>
      <c r="K619">
        <v>80</v>
      </c>
      <c r="L619">
        <v>76.747276306000003</v>
      </c>
      <c r="M619">
        <v>50</v>
      </c>
      <c r="N619">
        <v>49.94367218</v>
      </c>
    </row>
    <row r="620" spans="1:14" x14ac:dyDescent="0.25">
      <c r="A620">
        <v>732.13582899999994</v>
      </c>
      <c r="B620" s="1">
        <f>DATE(2012,5,2) + TIME(3,15,35)</f>
        <v>41031.135821759257</v>
      </c>
      <c r="C620">
        <v>1383.2078856999999</v>
      </c>
      <c r="D620">
        <v>1368.3868408000001</v>
      </c>
      <c r="E620">
        <v>1292.3634033000001</v>
      </c>
      <c r="F620">
        <v>1273.2668457</v>
      </c>
      <c r="G620">
        <v>2400</v>
      </c>
      <c r="H620">
        <v>0</v>
      </c>
      <c r="I620">
        <v>0</v>
      </c>
      <c r="J620">
        <v>2400</v>
      </c>
      <c r="K620">
        <v>80</v>
      </c>
      <c r="L620">
        <v>77.099693298000005</v>
      </c>
      <c r="M620">
        <v>50</v>
      </c>
      <c r="N620">
        <v>49.940929412999999</v>
      </c>
    </row>
    <row r="621" spans="1:14" x14ac:dyDescent="0.25">
      <c r="A621">
        <v>732.23250800000005</v>
      </c>
      <c r="B621" s="1">
        <f>DATE(2012,5,2) + TIME(5,34,48)</f>
        <v>41031.232499999998</v>
      </c>
      <c r="C621">
        <v>1383.0975341999999</v>
      </c>
      <c r="D621">
        <v>1368.3343506000001</v>
      </c>
      <c r="E621">
        <v>1292.3631591999999</v>
      </c>
      <c r="F621">
        <v>1273.2663574000001</v>
      </c>
      <c r="G621">
        <v>2400</v>
      </c>
      <c r="H621">
        <v>0</v>
      </c>
      <c r="I621">
        <v>0</v>
      </c>
      <c r="J621">
        <v>2400</v>
      </c>
      <c r="K621">
        <v>80</v>
      </c>
      <c r="L621">
        <v>77.438308715999995</v>
      </c>
      <c r="M621">
        <v>50</v>
      </c>
      <c r="N621">
        <v>49.937992096000002</v>
      </c>
    </row>
    <row r="622" spans="1:14" x14ac:dyDescent="0.25">
      <c r="A622">
        <v>732.33869900000002</v>
      </c>
      <c r="B622" s="1">
        <f>DATE(2012,5,2) + TIME(8,7,43)</f>
        <v>41031.338692129626</v>
      </c>
      <c r="C622">
        <v>1382.9880370999999</v>
      </c>
      <c r="D622">
        <v>1368.2806396000001</v>
      </c>
      <c r="E622">
        <v>1292.362793</v>
      </c>
      <c r="F622">
        <v>1273.2658690999999</v>
      </c>
      <c r="G622">
        <v>2400</v>
      </c>
      <c r="H622">
        <v>0</v>
      </c>
      <c r="I622">
        <v>0</v>
      </c>
      <c r="J622">
        <v>2400</v>
      </c>
      <c r="K622">
        <v>80</v>
      </c>
      <c r="L622">
        <v>77.762481688999998</v>
      </c>
      <c r="M622">
        <v>50</v>
      </c>
      <c r="N622">
        <v>49.934818268000001</v>
      </c>
    </row>
    <row r="623" spans="1:14" x14ac:dyDescent="0.25">
      <c r="A623">
        <v>732.45633599999996</v>
      </c>
      <c r="B623" s="1">
        <f>DATE(2012,5,2) + TIME(10,57,7)</f>
        <v>41031.456331018519</v>
      </c>
      <c r="C623">
        <v>1382.8792725000001</v>
      </c>
      <c r="D623">
        <v>1368.2253418</v>
      </c>
      <c r="E623">
        <v>1292.3625488</v>
      </c>
      <c r="F623">
        <v>1273.2652588000001</v>
      </c>
      <c r="G623">
        <v>2400</v>
      </c>
      <c r="H623">
        <v>0</v>
      </c>
      <c r="I623">
        <v>0</v>
      </c>
      <c r="J623">
        <v>2400</v>
      </c>
      <c r="K623">
        <v>80</v>
      </c>
      <c r="L623">
        <v>78.071166992000002</v>
      </c>
      <c r="M623">
        <v>50</v>
      </c>
      <c r="N623">
        <v>49.931369781000001</v>
      </c>
    </row>
    <row r="624" spans="1:14" x14ac:dyDescent="0.25">
      <c r="A624">
        <v>732.58800699999995</v>
      </c>
      <c r="B624" s="1">
        <f>DATE(2012,5,2) + TIME(14,6,43)</f>
        <v>41031.587997685187</v>
      </c>
      <c r="C624">
        <v>1382.7705077999999</v>
      </c>
      <c r="D624">
        <v>1368.1680908000001</v>
      </c>
      <c r="E624">
        <v>1292.3621826000001</v>
      </c>
      <c r="F624">
        <v>1273.2645264</v>
      </c>
      <c r="G624">
        <v>2400</v>
      </c>
      <c r="H624">
        <v>0</v>
      </c>
      <c r="I624">
        <v>0</v>
      </c>
      <c r="J624">
        <v>2400</v>
      </c>
      <c r="K624">
        <v>80</v>
      </c>
      <c r="L624">
        <v>78.363243103000002</v>
      </c>
      <c r="M624">
        <v>50</v>
      </c>
      <c r="N624">
        <v>49.927585602000001</v>
      </c>
    </row>
    <row r="625" spans="1:14" x14ac:dyDescent="0.25">
      <c r="A625">
        <v>732.73710500000004</v>
      </c>
      <c r="B625" s="1">
        <f>DATE(2012,5,2) + TIME(17,41,25)</f>
        <v>41031.73709490741</v>
      </c>
      <c r="C625">
        <v>1382.6616211</v>
      </c>
      <c r="D625">
        <v>1368.1082764</v>
      </c>
      <c r="E625">
        <v>1292.3616943</v>
      </c>
      <c r="F625">
        <v>1273.2637939000001</v>
      </c>
      <c r="G625">
        <v>2400</v>
      </c>
      <c r="H625">
        <v>0</v>
      </c>
      <c r="I625">
        <v>0</v>
      </c>
      <c r="J625">
        <v>2400</v>
      </c>
      <c r="K625">
        <v>80</v>
      </c>
      <c r="L625">
        <v>78.637207031000003</v>
      </c>
      <c r="M625">
        <v>50</v>
      </c>
      <c r="N625">
        <v>49.923397064</v>
      </c>
    </row>
    <row r="626" spans="1:14" x14ac:dyDescent="0.25">
      <c r="A626">
        <v>732.88621599999999</v>
      </c>
      <c r="B626" s="1">
        <f>DATE(2012,5,2) + TIME(21,16,9)</f>
        <v>41031.88621527778</v>
      </c>
      <c r="C626">
        <v>1382.5639647999999</v>
      </c>
      <c r="D626">
        <v>1368.0512695</v>
      </c>
      <c r="E626">
        <v>1292.3612060999999</v>
      </c>
      <c r="F626">
        <v>1273.2630615</v>
      </c>
      <c r="G626">
        <v>2400</v>
      </c>
      <c r="H626">
        <v>0</v>
      </c>
      <c r="I626">
        <v>0</v>
      </c>
      <c r="J626">
        <v>2400</v>
      </c>
      <c r="K626">
        <v>80</v>
      </c>
      <c r="L626">
        <v>78.864181518999999</v>
      </c>
      <c r="M626">
        <v>50</v>
      </c>
      <c r="N626">
        <v>49.919208527000002</v>
      </c>
    </row>
    <row r="627" spans="1:14" x14ac:dyDescent="0.25">
      <c r="A627">
        <v>733.03730399999995</v>
      </c>
      <c r="B627" s="1">
        <f>DATE(2012,5,3) + TIME(0,53,43)</f>
        <v>41032.037303240744</v>
      </c>
      <c r="C627">
        <v>1382.473999</v>
      </c>
      <c r="D627">
        <v>1367.9967041</v>
      </c>
      <c r="E627">
        <v>1292.3605957</v>
      </c>
      <c r="F627">
        <v>1273.262207</v>
      </c>
      <c r="G627">
        <v>2400</v>
      </c>
      <c r="H627">
        <v>0</v>
      </c>
      <c r="I627">
        <v>0</v>
      </c>
      <c r="J627">
        <v>2400</v>
      </c>
      <c r="K627">
        <v>80</v>
      </c>
      <c r="L627">
        <v>79.054252625000004</v>
      </c>
      <c r="M627">
        <v>50</v>
      </c>
      <c r="N627">
        <v>49.914989470999998</v>
      </c>
    </row>
    <row r="628" spans="1:14" x14ac:dyDescent="0.25">
      <c r="A628">
        <v>733.191102</v>
      </c>
      <c r="B628" s="1">
        <f>DATE(2012,5,3) + TIME(4,35,11)</f>
        <v>41032.191099537034</v>
      </c>
      <c r="C628">
        <v>1382.3903809000001</v>
      </c>
      <c r="D628">
        <v>1367.9442139</v>
      </c>
      <c r="E628">
        <v>1292.3601074000001</v>
      </c>
      <c r="F628">
        <v>1273.2613524999999</v>
      </c>
      <c r="G628">
        <v>2400</v>
      </c>
      <c r="H628">
        <v>0</v>
      </c>
      <c r="I628">
        <v>0</v>
      </c>
      <c r="J628">
        <v>2400</v>
      </c>
      <c r="K628">
        <v>80</v>
      </c>
      <c r="L628">
        <v>79.213676453000005</v>
      </c>
      <c r="M628">
        <v>50</v>
      </c>
      <c r="N628">
        <v>49.910713196000003</v>
      </c>
    </row>
    <row r="629" spans="1:14" x14ac:dyDescent="0.25">
      <c r="A629">
        <v>733.34840399999996</v>
      </c>
      <c r="B629" s="1">
        <f>DATE(2012,5,3) + TIME(8,21,42)</f>
        <v>41032.348402777781</v>
      </c>
      <c r="C629">
        <v>1382.3120117000001</v>
      </c>
      <c r="D629">
        <v>1367.8933105000001</v>
      </c>
      <c r="E629">
        <v>1292.3596190999999</v>
      </c>
      <c r="F629">
        <v>1273.2604980000001</v>
      </c>
      <c r="G629">
        <v>2400</v>
      </c>
      <c r="H629">
        <v>0</v>
      </c>
      <c r="I629">
        <v>0</v>
      </c>
      <c r="J629">
        <v>2400</v>
      </c>
      <c r="K629">
        <v>80</v>
      </c>
      <c r="L629">
        <v>79.347503661999994</v>
      </c>
      <c r="M629">
        <v>50</v>
      </c>
      <c r="N629">
        <v>49.906364441000001</v>
      </c>
    </row>
    <row r="630" spans="1:14" x14ac:dyDescent="0.25">
      <c r="A630">
        <v>733.51009799999997</v>
      </c>
      <c r="B630" s="1">
        <f>DATE(2012,5,3) + TIME(12,14,32)</f>
        <v>41032.510092592594</v>
      </c>
      <c r="C630">
        <v>1382.2379149999999</v>
      </c>
      <c r="D630">
        <v>1367.8438721</v>
      </c>
      <c r="E630">
        <v>1292.3590088000001</v>
      </c>
      <c r="F630">
        <v>1273.2596435999999</v>
      </c>
      <c r="G630">
        <v>2400</v>
      </c>
      <c r="H630">
        <v>0</v>
      </c>
      <c r="I630">
        <v>0</v>
      </c>
      <c r="J630">
        <v>2400</v>
      </c>
      <c r="K630">
        <v>80</v>
      </c>
      <c r="L630">
        <v>79.459869385000005</v>
      </c>
      <c r="M630">
        <v>50</v>
      </c>
      <c r="N630">
        <v>49.901920318999998</v>
      </c>
    </row>
    <row r="631" spans="1:14" x14ac:dyDescent="0.25">
      <c r="A631">
        <v>733.67691500000001</v>
      </c>
      <c r="B631" s="1">
        <f>DATE(2012,5,3) + TIME(16,14,45)</f>
        <v>41032.67690972222</v>
      </c>
      <c r="C631">
        <v>1382.1673584</v>
      </c>
      <c r="D631">
        <v>1367.7954102000001</v>
      </c>
      <c r="E631">
        <v>1292.3583983999999</v>
      </c>
      <c r="F631">
        <v>1273.2587891000001</v>
      </c>
      <c r="G631">
        <v>2400</v>
      </c>
      <c r="H631">
        <v>0</v>
      </c>
      <c r="I631">
        <v>0</v>
      </c>
      <c r="J631">
        <v>2400</v>
      </c>
      <c r="K631">
        <v>80</v>
      </c>
      <c r="L631">
        <v>79.554023743000002</v>
      </c>
      <c r="M631">
        <v>50</v>
      </c>
      <c r="N631">
        <v>49.897373199</v>
      </c>
    </row>
    <row r="632" spans="1:14" x14ac:dyDescent="0.25">
      <c r="A632">
        <v>733.84975599999996</v>
      </c>
      <c r="B632" s="1">
        <f>DATE(2012,5,3) + TIME(20,23,38)</f>
        <v>41032.849745370368</v>
      </c>
      <c r="C632">
        <v>1382.0997314000001</v>
      </c>
      <c r="D632">
        <v>1367.7478027</v>
      </c>
      <c r="E632">
        <v>1292.3577881000001</v>
      </c>
      <c r="F632">
        <v>1273.2578125</v>
      </c>
      <c r="G632">
        <v>2400</v>
      </c>
      <c r="H632">
        <v>0</v>
      </c>
      <c r="I632">
        <v>0</v>
      </c>
      <c r="J632">
        <v>2400</v>
      </c>
      <c r="K632">
        <v>80</v>
      </c>
      <c r="L632">
        <v>79.632751464999998</v>
      </c>
      <c r="M632">
        <v>50</v>
      </c>
      <c r="N632">
        <v>49.892692566000001</v>
      </c>
    </row>
    <row r="633" spans="1:14" x14ac:dyDescent="0.25">
      <c r="A633">
        <v>734.02960700000006</v>
      </c>
      <c r="B633" s="1">
        <f>DATE(2012,5,4) + TIME(0,42,38)</f>
        <v>41033.029606481483</v>
      </c>
      <c r="C633">
        <v>1382.0344238</v>
      </c>
      <c r="D633">
        <v>1367.7008057</v>
      </c>
      <c r="E633">
        <v>1292.3571777</v>
      </c>
      <c r="F633">
        <v>1273.2568358999999</v>
      </c>
      <c r="G633">
        <v>2400</v>
      </c>
      <c r="H633">
        <v>0</v>
      </c>
      <c r="I633">
        <v>0</v>
      </c>
      <c r="J633">
        <v>2400</v>
      </c>
      <c r="K633">
        <v>80</v>
      </c>
      <c r="L633">
        <v>79.698371886999993</v>
      </c>
      <c r="M633">
        <v>50</v>
      </c>
      <c r="N633">
        <v>49.887859343999999</v>
      </c>
    </row>
    <row r="634" spans="1:14" x14ac:dyDescent="0.25">
      <c r="A634">
        <v>734.21758199999999</v>
      </c>
      <c r="B634" s="1">
        <f>DATE(2012,5,4) + TIME(5,13,19)</f>
        <v>41033.217581018522</v>
      </c>
      <c r="C634">
        <v>1381.9709473</v>
      </c>
      <c r="D634">
        <v>1367.6541748</v>
      </c>
      <c r="E634">
        <v>1292.3565673999999</v>
      </c>
      <c r="F634">
        <v>1273.2558594</v>
      </c>
      <c r="G634">
        <v>2400</v>
      </c>
      <c r="H634">
        <v>0</v>
      </c>
      <c r="I634">
        <v>0</v>
      </c>
      <c r="J634">
        <v>2400</v>
      </c>
      <c r="K634">
        <v>80</v>
      </c>
      <c r="L634">
        <v>79.752838135000005</v>
      </c>
      <c r="M634">
        <v>50</v>
      </c>
      <c r="N634">
        <v>49.882854461999997</v>
      </c>
    </row>
    <row r="635" spans="1:14" x14ac:dyDescent="0.25">
      <c r="A635">
        <v>734.41491900000005</v>
      </c>
      <c r="B635" s="1">
        <f>DATE(2012,5,4) + TIME(9,57,28)</f>
        <v>41033.414907407408</v>
      </c>
      <c r="C635">
        <v>1381.9088135</v>
      </c>
      <c r="D635">
        <v>1367.6077881000001</v>
      </c>
      <c r="E635">
        <v>1292.3558350000001</v>
      </c>
      <c r="F635">
        <v>1273.2547606999999</v>
      </c>
      <c r="G635">
        <v>2400</v>
      </c>
      <c r="H635">
        <v>0</v>
      </c>
      <c r="I635">
        <v>0</v>
      </c>
      <c r="J635">
        <v>2400</v>
      </c>
      <c r="K635">
        <v>80</v>
      </c>
      <c r="L635">
        <v>79.797821045000006</v>
      </c>
      <c r="M635">
        <v>50</v>
      </c>
      <c r="N635">
        <v>49.877643585000001</v>
      </c>
    </row>
    <row r="636" spans="1:14" x14ac:dyDescent="0.25">
      <c r="A636">
        <v>734.62314300000003</v>
      </c>
      <c r="B636" s="1">
        <f>DATE(2012,5,4) + TIME(14,57,19)</f>
        <v>41033.623136574075</v>
      </c>
      <c r="C636">
        <v>1381.8476562000001</v>
      </c>
      <c r="D636">
        <v>1367.5614014</v>
      </c>
      <c r="E636">
        <v>1292.3551024999999</v>
      </c>
      <c r="F636">
        <v>1273.2536620999999</v>
      </c>
      <c r="G636">
        <v>2400</v>
      </c>
      <c r="H636">
        <v>0</v>
      </c>
      <c r="I636">
        <v>0</v>
      </c>
      <c r="J636">
        <v>2400</v>
      </c>
      <c r="K636">
        <v>80</v>
      </c>
      <c r="L636">
        <v>79.834747313999998</v>
      </c>
      <c r="M636">
        <v>50</v>
      </c>
      <c r="N636">
        <v>49.872196197999997</v>
      </c>
    </row>
    <row r="637" spans="1:14" x14ac:dyDescent="0.25">
      <c r="A637">
        <v>734.84403299999997</v>
      </c>
      <c r="B637" s="1">
        <f>DATE(2012,5,4) + TIME(20,15,24)</f>
        <v>41033.844027777777</v>
      </c>
      <c r="C637">
        <v>1381.7871094</v>
      </c>
      <c r="D637">
        <v>1367.5148925999999</v>
      </c>
      <c r="E637">
        <v>1292.3543701000001</v>
      </c>
      <c r="F637">
        <v>1273.2525635</v>
      </c>
      <c r="G637">
        <v>2400</v>
      </c>
      <c r="H637">
        <v>0</v>
      </c>
      <c r="I637">
        <v>0</v>
      </c>
      <c r="J637">
        <v>2400</v>
      </c>
      <c r="K637">
        <v>80</v>
      </c>
      <c r="L637">
        <v>79.864845275999997</v>
      </c>
      <c r="M637">
        <v>50</v>
      </c>
      <c r="N637">
        <v>49.866474152000002</v>
      </c>
    </row>
    <row r="638" spans="1:14" x14ac:dyDescent="0.25">
      <c r="A638">
        <v>735.07973100000004</v>
      </c>
      <c r="B638" s="1">
        <f>DATE(2012,5,5) + TIME(1,54,48)</f>
        <v>41034.079722222225</v>
      </c>
      <c r="C638">
        <v>1381.7265625</v>
      </c>
      <c r="D638">
        <v>1367.4677733999999</v>
      </c>
      <c r="E638">
        <v>1292.3535156</v>
      </c>
      <c r="F638">
        <v>1273.2512207</v>
      </c>
      <c r="G638">
        <v>2400</v>
      </c>
      <c r="H638">
        <v>0</v>
      </c>
      <c r="I638">
        <v>0</v>
      </c>
      <c r="J638">
        <v>2400</v>
      </c>
      <c r="K638">
        <v>80</v>
      </c>
      <c r="L638">
        <v>79.889175414999997</v>
      </c>
      <c r="M638">
        <v>50</v>
      </c>
      <c r="N638">
        <v>49.860435486</v>
      </c>
    </row>
    <row r="639" spans="1:14" x14ac:dyDescent="0.25">
      <c r="A639">
        <v>735.33091000000002</v>
      </c>
      <c r="B639" s="1">
        <f>DATE(2012,5,5) + TIME(7,56,30)</f>
        <v>41034.33090277778</v>
      </c>
      <c r="C639">
        <v>1381.6657714999999</v>
      </c>
      <c r="D639">
        <v>1367.4200439000001</v>
      </c>
      <c r="E639">
        <v>1292.3526611</v>
      </c>
      <c r="F639">
        <v>1273.25</v>
      </c>
      <c r="G639">
        <v>2400</v>
      </c>
      <c r="H639">
        <v>0</v>
      </c>
      <c r="I639">
        <v>0</v>
      </c>
      <c r="J639">
        <v>2400</v>
      </c>
      <c r="K639">
        <v>80</v>
      </c>
      <c r="L639">
        <v>79.908523560000006</v>
      </c>
      <c r="M639">
        <v>50</v>
      </c>
      <c r="N639">
        <v>49.854061127000001</v>
      </c>
    </row>
    <row r="640" spans="1:14" x14ac:dyDescent="0.25">
      <c r="A640">
        <v>735.59827700000005</v>
      </c>
      <c r="B640" s="1">
        <f>DATE(2012,5,5) + TIME(14,21,31)</f>
        <v>41034.598275462966</v>
      </c>
      <c r="C640">
        <v>1381.6047363</v>
      </c>
      <c r="D640">
        <v>1367.3717041</v>
      </c>
      <c r="E640">
        <v>1292.3516846</v>
      </c>
      <c r="F640">
        <v>1273.2485352000001</v>
      </c>
      <c r="G640">
        <v>2400</v>
      </c>
      <c r="H640">
        <v>0</v>
      </c>
      <c r="I640">
        <v>0</v>
      </c>
      <c r="J640">
        <v>2400</v>
      </c>
      <c r="K640">
        <v>80</v>
      </c>
      <c r="L640">
        <v>79.923690796000002</v>
      </c>
      <c r="M640">
        <v>50</v>
      </c>
      <c r="N640">
        <v>49.847332000999998</v>
      </c>
    </row>
    <row r="641" spans="1:14" x14ac:dyDescent="0.25">
      <c r="A641">
        <v>735.88468999999998</v>
      </c>
      <c r="B641" s="1">
        <f>DATE(2012,5,5) + TIME(21,13,57)</f>
        <v>41034.884687500002</v>
      </c>
      <c r="C641">
        <v>1381.5432129000001</v>
      </c>
      <c r="D641">
        <v>1367.3227539</v>
      </c>
      <c r="E641">
        <v>1292.3507079999999</v>
      </c>
      <c r="F641">
        <v>1273.2470702999999</v>
      </c>
      <c r="G641">
        <v>2400</v>
      </c>
      <c r="H641">
        <v>0</v>
      </c>
      <c r="I641">
        <v>0</v>
      </c>
      <c r="J641">
        <v>2400</v>
      </c>
      <c r="K641">
        <v>80</v>
      </c>
      <c r="L641">
        <v>79.935447693</v>
      </c>
      <c r="M641">
        <v>50</v>
      </c>
      <c r="N641">
        <v>49.840194701999998</v>
      </c>
    </row>
    <row r="642" spans="1:14" x14ac:dyDescent="0.25">
      <c r="A642">
        <v>736.19352900000001</v>
      </c>
      <c r="B642" s="1">
        <f>DATE(2012,5,6) + TIME(4,38,40)</f>
        <v>41035.193518518521</v>
      </c>
      <c r="C642">
        <v>1381.480957</v>
      </c>
      <c r="D642">
        <v>1367.2729492000001</v>
      </c>
      <c r="E642">
        <v>1292.3496094</v>
      </c>
      <c r="F642">
        <v>1273.2453613</v>
      </c>
      <c r="G642">
        <v>2400</v>
      </c>
      <c r="H642">
        <v>0</v>
      </c>
      <c r="I642">
        <v>0</v>
      </c>
      <c r="J642">
        <v>2400</v>
      </c>
      <c r="K642">
        <v>80</v>
      </c>
      <c r="L642">
        <v>79.944465636999993</v>
      </c>
      <c r="M642">
        <v>50</v>
      </c>
      <c r="N642">
        <v>49.832584380999997</v>
      </c>
    </row>
    <row r="643" spans="1:14" x14ac:dyDescent="0.25">
      <c r="A643">
        <v>736.50571400000001</v>
      </c>
      <c r="B643" s="1">
        <f>DATE(2012,5,6) + TIME(12,8,13)</f>
        <v>41035.505706018521</v>
      </c>
      <c r="C643">
        <v>1381.4176024999999</v>
      </c>
      <c r="D643">
        <v>1367.222168</v>
      </c>
      <c r="E643">
        <v>1292.3483887</v>
      </c>
      <c r="F643">
        <v>1273.2436522999999</v>
      </c>
      <c r="G643">
        <v>2400</v>
      </c>
      <c r="H643">
        <v>0</v>
      </c>
      <c r="I643">
        <v>0</v>
      </c>
      <c r="J643">
        <v>2400</v>
      </c>
      <c r="K643">
        <v>80</v>
      </c>
      <c r="L643">
        <v>79.950950622999997</v>
      </c>
      <c r="M643">
        <v>50</v>
      </c>
      <c r="N643">
        <v>49.824832915999998</v>
      </c>
    </row>
    <row r="644" spans="1:14" x14ac:dyDescent="0.25">
      <c r="A644">
        <v>736.82076199999995</v>
      </c>
      <c r="B644" s="1">
        <f>DATE(2012,5,6) + TIME(19,41,53)</f>
        <v>41035.820752314816</v>
      </c>
      <c r="C644">
        <v>1381.3568115</v>
      </c>
      <c r="D644">
        <v>1367.1733397999999</v>
      </c>
      <c r="E644">
        <v>1292.347168</v>
      </c>
      <c r="F644">
        <v>1273.2419434000001</v>
      </c>
      <c r="G644">
        <v>2400</v>
      </c>
      <c r="H644">
        <v>0</v>
      </c>
      <c r="I644">
        <v>0</v>
      </c>
      <c r="J644">
        <v>2400</v>
      </c>
      <c r="K644">
        <v>80</v>
      </c>
      <c r="L644">
        <v>79.955612183</v>
      </c>
      <c r="M644">
        <v>50</v>
      </c>
      <c r="N644">
        <v>49.816970824999999</v>
      </c>
    </row>
    <row r="645" spans="1:14" x14ac:dyDescent="0.25">
      <c r="A645">
        <v>737.14071300000001</v>
      </c>
      <c r="B645" s="1">
        <f>DATE(2012,5,7) + TIME(3,22,37)</f>
        <v>41036.140706018516</v>
      </c>
      <c r="C645">
        <v>1381.2983397999999</v>
      </c>
      <c r="D645">
        <v>1367.1263428</v>
      </c>
      <c r="E645">
        <v>1292.3459473</v>
      </c>
      <c r="F645">
        <v>1273.2401123</v>
      </c>
      <c r="G645">
        <v>2400</v>
      </c>
      <c r="H645">
        <v>0</v>
      </c>
      <c r="I645">
        <v>0</v>
      </c>
      <c r="J645">
        <v>2400</v>
      </c>
      <c r="K645">
        <v>80</v>
      </c>
      <c r="L645">
        <v>79.958984375</v>
      </c>
      <c r="M645">
        <v>50</v>
      </c>
      <c r="N645">
        <v>49.808986664000003</v>
      </c>
    </row>
    <row r="646" spans="1:14" x14ac:dyDescent="0.25">
      <c r="A646">
        <v>737.46732299999996</v>
      </c>
      <c r="B646" s="1">
        <f>DATE(2012,5,7) + TIME(11,12,56)</f>
        <v>41036.467314814814</v>
      </c>
      <c r="C646">
        <v>1381.2418213000001</v>
      </c>
      <c r="D646">
        <v>1367.0809326000001</v>
      </c>
      <c r="E646">
        <v>1292.3446045000001</v>
      </c>
      <c r="F646">
        <v>1273.2382812000001</v>
      </c>
      <c r="G646">
        <v>2400</v>
      </c>
      <c r="H646">
        <v>0</v>
      </c>
      <c r="I646">
        <v>0</v>
      </c>
      <c r="J646">
        <v>2400</v>
      </c>
      <c r="K646">
        <v>80</v>
      </c>
      <c r="L646">
        <v>79.961441039999997</v>
      </c>
      <c r="M646">
        <v>50</v>
      </c>
      <c r="N646">
        <v>49.800857544000003</v>
      </c>
    </row>
    <row r="647" spans="1:14" x14ac:dyDescent="0.25">
      <c r="A647">
        <v>737.80247799999995</v>
      </c>
      <c r="B647" s="1">
        <f>DATE(2012,5,7) + TIME(19,15,34)</f>
        <v>41036.802476851852</v>
      </c>
      <c r="C647">
        <v>1381.1865233999999</v>
      </c>
      <c r="D647">
        <v>1367.0366211</v>
      </c>
      <c r="E647">
        <v>1292.3433838000001</v>
      </c>
      <c r="F647">
        <v>1273.2364502</v>
      </c>
      <c r="G647">
        <v>2400</v>
      </c>
      <c r="H647">
        <v>0</v>
      </c>
      <c r="I647">
        <v>0</v>
      </c>
      <c r="J647">
        <v>2400</v>
      </c>
      <c r="K647">
        <v>80</v>
      </c>
      <c r="L647">
        <v>79.963241577000005</v>
      </c>
      <c r="M647">
        <v>50</v>
      </c>
      <c r="N647">
        <v>49.792560577000003</v>
      </c>
    </row>
    <row r="648" spans="1:14" x14ac:dyDescent="0.25">
      <c r="A648">
        <v>738.14814999999999</v>
      </c>
      <c r="B648" s="1">
        <f>DATE(2012,5,8) + TIME(3,33,20)</f>
        <v>41037.148148148146</v>
      </c>
      <c r="C648">
        <v>1381.1322021000001</v>
      </c>
      <c r="D648">
        <v>1366.9930420000001</v>
      </c>
      <c r="E648">
        <v>1292.3420410000001</v>
      </c>
      <c r="F648">
        <v>1273.2344971</v>
      </c>
      <c r="G648">
        <v>2400</v>
      </c>
      <c r="H648">
        <v>0</v>
      </c>
      <c r="I648">
        <v>0</v>
      </c>
      <c r="J648">
        <v>2400</v>
      </c>
      <c r="K648">
        <v>80</v>
      </c>
      <c r="L648">
        <v>79.964553832999997</v>
      </c>
      <c r="M648">
        <v>50</v>
      </c>
      <c r="N648">
        <v>49.784057617000002</v>
      </c>
    </row>
    <row r="649" spans="1:14" x14ac:dyDescent="0.25">
      <c r="A649">
        <v>738.50646200000006</v>
      </c>
      <c r="B649" s="1">
        <f>DATE(2012,5,8) + TIME(12,9,18)</f>
        <v>41037.506458333337</v>
      </c>
      <c r="C649">
        <v>1381.0784911999999</v>
      </c>
      <c r="D649">
        <v>1366.9500731999999</v>
      </c>
      <c r="E649">
        <v>1292.3406981999999</v>
      </c>
      <c r="F649">
        <v>1273.2325439000001</v>
      </c>
      <c r="G649">
        <v>2400</v>
      </c>
      <c r="H649">
        <v>0</v>
      </c>
      <c r="I649">
        <v>0</v>
      </c>
      <c r="J649">
        <v>2400</v>
      </c>
      <c r="K649">
        <v>80</v>
      </c>
      <c r="L649">
        <v>79.965530396000005</v>
      </c>
      <c r="M649">
        <v>50</v>
      </c>
      <c r="N649">
        <v>49.775310515999998</v>
      </c>
    </row>
    <row r="650" spans="1:14" x14ac:dyDescent="0.25">
      <c r="A650">
        <v>738.87978099999998</v>
      </c>
      <c r="B650" s="1">
        <f>DATE(2012,5,8) + TIME(21,6,53)</f>
        <v>41037.879780092589</v>
      </c>
      <c r="C650">
        <v>1381.0251464999999</v>
      </c>
      <c r="D650">
        <v>1366.9074707</v>
      </c>
      <c r="E650">
        <v>1292.3393555</v>
      </c>
      <c r="F650">
        <v>1273.2304687999999</v>
      </c>
      <c r="G650">
        <v>2400</v>
      </c>
      <c r="H650">
        <v>0</v>
      </c>
      <c r="I650">
        <v>0</v>
      </c>
      <c r="J650">
        <v>2400</v>
      </c>
      <c r="K650">
        <v>80</v>
      </c>
      <c r="L650">
        <v>79.966247558999996</v>
      </c>
      <c r="M650">
        <v>50</v>
      </c>
      <c r="N650">
        <v>49.766281128000003</v>
      </c>
    </row>
    <row r="651" spans="1:14" x14ac:dyDescent="0.25">
      <c r="A651">
        <v>739.27020000000005</v>
      </c>
      <c r="B651" s="1">
        <f>DATE(2012,5,9) + TIME(6,29,5)</f>
        <v>41038.270196759258</v>
      </c>
      <c r="C651">
        <v>1380.9716797000001</v>
      </c>
      <c r="D651">
        <v>1366.8648682</v>
      </c>
      <c r="E651">
        <v>1292.3378906</v>
      </c>
      <c r="F651">
        <v>1273.2282714999999</v>
      </c>
      <c r="G651">
        <v>2400</v>
      </c>
      <c r="H651">
        <v>0</v>
      </c>
      <c r="I651">
        <v>0</v>
      </c>
      <c r="J651">
        <v>2400</v>
      </c>
      <c r="K651">
        <v>80</v>
      </c>
      <c r="L651">
        <v>79.966789246000005</v>
      </c>
      <c r="M651">
        <v>50</v>
      </c>
      <c r="N651">
        <v>49.756919861</v>
      </c>
    </row>
    <row r="652" spans="1:14" x14ac:dyDescent="0.25">
      <c r="A652">
        <v>739.67692899999997</v>
      </c>
      <c r="B652" s="1">
        <f>DATE(2012,5,9) + TIME(16,14,46)</f>
        <v>41038.676921296297</v>
      </c>
      <c r="C652">
        <v>1380.9180908000001</v>
      </c>
      <c r="D652">
        <v>1366.8222656</v>
      </c>
      <c r="E652">
        <v>1292.3363036999999</v>
      </c>
      <c r="F652">
        <v>1273.2260742000001</v>
      </c>
      <c r="G652">
        <v>2400</v>
      </c>
      <c r="H652">
        <v>0</v>
      </c>
      <c r="I652">
        <v>0</v>
      </c>
      <c r="J652">
        <v>2400</v>
      </c>
      <c r="K652">
        <v>80</v>
      </c>
      <c r="L652">
        <v>79.967185974000003</v>
      </c>
      <c r="M652">
        <v>50</v>
      </c>
      <c r="N652">
        <v>49.747238158999998</v>
      </c>
    </row>
    <row r="653" spans="1:14" x14ac:dyDescent="0.25">
      <c r="A653">
        <v>740.10302899999999</v>
      </c>
      <c r="B653" s="1">
        <f>DATE(2012,5,10) + TIME(2,28,21)</f>
        <v>41039.103020833332</v>
      </c>
      <c r="C653">
        <v>1380.8643798999999</v>
      </c>
      <c r="D653">
        <v>1366.7795410000001</v>
      </c>
      <c r="E653">
        <v>1292.3347168</v>
      </c>
      <c r="F653">
        <v>1273.2237548999999</v>
      </c>
      <c r="G653">
        <v>2400</v>
      </c>
      <c r="H653">
        <v>0</v>
      </c>
      <c r="I653">
        <v>0</v>
      </c>
      <c r="J653">
        <v>2400</v>
      </c>
      <c r="K653">
        <v>80</v>
      </c>
      <c r="L653">
        <v>79.967483521000005</v>
      </c>
      <c r="M653">
        <v>50</v>
      </c>
      <c r="N653">
        <v>49.737174988</v>
      </c>
    </row>
    <row r="654" spans="1:14" x14ac:dyDescent="0.25">
      <c r="A654">
        <v>740.55190000000005</v>
      </c>
      <c r="B654" s="1">
        <f>DATE(2012,5,10) + TIME(13,14,44)</f>
        <v>41039.551898148151</v>
      </c>
      <c r="C654">
        <v>1380.8104248</v>
      </c>
      <c r="D654">
        <v>1366.7368164</v>
      </c>
      <c r="E654">
        <v>1292.3331298999999</v>
      </c>
      <c r="F654">
        <v>1273.2213135</v>
      </c>
      <c r="G654">
        <v>2400</v>
      </c>
      <c r="H654">
        <v>0</v>
      </c>
      <c r="I654">
        <v>0</v>
      </c>
      <c r="J654">
        <v>2400</v>
      </c>
      <c r="K654">
        <v>80</v>
      </c>
      <c r="L654">
        <v>79.967704772999994</v>
      </c>
      <c r="M654">
        <v>50</v>
      </c>
      <c r="N654">
        <v>49.726680756</v>
      </c>
    </row>
    <row r="655" spans="1:14" x14ac:dyDescent="0.25">
      <c r="A655">
        <v>741.02761699999996</v>
      </c>
      <c r="B655" s="1">
        <f>DATE(2012,5,11) + TIME(0,39,46)</f>
        <v>41040.027615740742</v>
      </c>
      <c r="C655">
        <v>1380.7557373</v>
      </c>
      <c r="D655">
        <v>1366.6934814000001</v>
      </c>
      <c r="E655">
        <v>1292.3312988</v>
      </c>
      <c r="F655">
        <v>1273.21875</v>
      </c>
      <c r="G655">
        <v>2400</v>
      </c>
      <c r="H655">
        <v>0</v>
      </c>
      <c r="I655">
        <v>0</v>
      </c>
      <c r="J655">
        <v>2400</v>
      </c>
      <c r="K655">
        <v>80</v>
      </c>
      <c r="L655">
        <v>79.967880249000004</v>
      </c>
      <c r="M655">
        <v>50</v>
      </c>
      <c r="N655">
        <v>49.715671538999999</v>
      </c>
    </row>
    <row r="656" spans="1:14" x14ac:dyDescent="0.25">
      <c r="A656">
        <v>741.52880700000003</v>
      </c>
      <c r="B656" s="1">
        <f>DATE(2012,5,11) + TIME(12,41,28)</f>
        <v>41040.528796296298</v>
      </c>
      <c r="C656">
        <v>1380.7000731999999</v>
      </c>
      <c r="D656">
        <v>1366.6495361</v>
      </c>
      <c r="E656">
        <v>1292.3294678</v>
      </c>
      <c r="F656">
        <v>1273.2159423999999</v>
      </c>
      <c r="G656">
        <v>2400</v>
      </c>
      <c r="H656">
        <v>0</v>
      </c>
      <c r="I656">
        <v>0</v>
      </c>
      <c r="J656">
        <v>2400</v>
      </c>
      <c r="K656">
        <v>80</v>
      </c>
      <c r="L656">
        <v>79.968002318999993</v>
      </c>
      <c r="M656">
        <v>50</v>
      </c>
      <c r="N656">
        <v>49.704151154000002</v>
      </c>
    </row>
    <row r="657" spans="1:14" x14ac:dyDescent="0.25">
      <c r="A657">
        <v>742.03343800000005</v>
      </c>
      <c r="B657" s="1">
        <f>DATE(2012,5,12) + TIME(0,48,9)</f>
        <v>41041.033437500002</v>
      </c>
      <c r="C657">
        <v>1380.6437988</v>
      </c>
      <c r="D657">
        <v>1366.6051024999999</v>
      </c>
      <c r="E657">
        <v>1292.3273925999999</v>
      </c>
      <c r="F657">
        <v>1273.2131348</v>
      </c>
      <c r="G657">
        <v>2400</v>
      </c>
      <c r="H657">
        <v>0</v>
      </c>
      <c r="I657">
        <v>0</v>
      </c>
      <c r="J657">
        <v>2400</v>
      </c>
      <c r="K657">
        <v>80</v>
      </c>
      <c r="L657">
        <v>79.968093871999997</v>
      </c>
      <c r="M657">
        <v>50</v>
      </c>
      <c r="N657">
        <v>49.692428589000002</v>
      </c>
    </row>
    <row r="658" spans="1:14" x14ac:dyDescent="0.25">
      <c r="A658">
        <v>742.54448100000002</v>
      </c>
      <c r="B658" s="1">
        <f>DATE(2012,5,12) + TIME(13,4,3)</f>
        <v>41041.544479166667</v>
      </c>
      <c r="C658">
        <v>1380.5892334</v>
      </c>
      <c r="D658">
        <v>1366.5622559000001</v>
      </c>
      <c r="E658">
        <v>1292.3253173999999</v>
      </c>
      <c r="F658">
        <v>1273.2102050999999</v>
      </c>
      <c r="G658">
        <v>2400</v>
      </c>
      <c r="H658">
        <v>0</v>
      </c>
      <c r="I658">
        <v>0</v>
      </c>
      <c r="J658">
        <v>2400</v>
      </c>
      <c r="K658">
        <v>80</v>
      </c>
      <c r="L658">
        <v>79.968162536999998</v>
      </c>
      <c r="M658">
        <v>50</v>
      </c>
      <c r="N658">
        <v>49.680534363</v>
      </c>
    </row>
    <row r="659" spans="1:14" x14ac:dyDescent="0.25">
      <c r="A659">
        <v>743.06511599999999</v>
      </c>
      <c r="B659" s="1">
        <f>DATE(2012,5,13) + TIME(1,33,46)</f>
        <v>41042.065115740741</v>
      </c>
      <c r="C659">
        <v>1380.5362548999999</v>
      </c>
      <c r="D659">
        <v>1366.5206298999999</v>
      </c>
      <c r="E659">
        <v>1292.3233643000001</v>
      </c>
      <c r="F659">
        <v>1273.2072754000001</v>
      </c>
      <c r="G659">
        <v>2400</v>
      </c>
      <c r="H659">
        <v>0</v>
      </c>
      <c r="I659">
        <v>0</v>
      </c>
      <c r="J659">
        <v>2400</v>
      </c>
      <c r="K659">
        <v>80</v>
      </c>
      <c r="L659">
        <v>79.968208313000005</v>
      </c>
      <c r="M659">
        <v>50</v>
      </c>
      <c r="N659">
        <v>49.668449402</v>
      </c>
    </row>
    <row r="660" spans="1:14" x14ac:dyDescent="0.25">
      <c r="A660">
        <v>743.59854499999994</v>
      </c>
      <c r="B660" s="1">
        <f>DATE(2012,5,13) + TIME(14,21,54)</f>
        <v>41042.598541666666</v>
      </c>
      <c r="C660">
        <v>1380.4841309000001</v>
      </c>
      <c r="D660">
        <v>1366.4797363</v>
      </c>
      <c r="E660">
        <v>1292.3212891000001</v>
      </c>
      <c r="F660">
        <v>1273.2042236</v>
      </c>
      <c r="G660">
        <v>2400</v>
      </c>
      <c r="H660">
        <v>0</v>
      </c>
      <c r="I660">
        <v>0</v>
      </c>
      <c r="J660">
        <v>2400</v>
      </c>
      <c r="K660">
        <v>80</v>
      </c>
      <c r="L660">
        <v>79.968246460000003</v>
      </c>
      <c r="M660">
        <v>50</v>
      </c>
      <c r="N660">
        <v>49.656147003000001</v>
      </c>
    </row>
    <row r="661" spans="1:14" x14ac:dyDescent="0.25">
      <c r="A661">
        <v>744.14737100000002</v>
      </c>
      <c r="B661" s="1">
        <f>DATE(2012,5,14) + TIME(3,32,12)</f>
        <v>41043.147361111114</v>
      </c>
      <c r="C661">
        <v>1380.4327393000001</v>
      </c>
      <c r="D661">
        <v>1366.4394531</v>
      </c>
      <c r="E661">
        <v>1292.3190918</v>
      </c>
      <c r="F661">
        <v>1273.2011719</v>
      </c>
      <c r="G661">
        <v>2400</v>
      </c>
      <c r="H661">
        <v>0</v>
      </c>
      <c r="I661">
        <v>0</v>
      </c>
      <c r="J661">
        <v>2400</v>
      </c>
      <c r="K661">
        <v>80</v>
      </c>
      <c r="L661">
        <v>79.968276978000006</v>
      </c>
      <c r="M661">
        <v>50</v>
      </c>
      <c r="N661">
        <v>49.643585205000001</v>
      </c>
    </row>
    <row r="662" spans="1:14" x14ac:dyDescent="0.25">
      <c r="A662">
        <v>744.71451200000001</v>
      </c>
      <c r="B662" s="1">
        <f>DATE(2012,5,14) + TIME(17,8,53)</f>
        <v>41043.714502314811</v>
      </c>
      <c r="C662">
        <v>1380.3815918</v>
      </c>
      <c r="D662">
        <v>1366.3995361</v>
      </c>
      <c r="E662">
        <v>1292.3168945</v>
      </c>
      <c r="F662">
        <v>1273.197876</v>
      </c>
      <c r="G662">
        <v>2400</v>
      </c>
      <c r="H662">
        <v>0</v>
      </c>
      <c r="I662">
        <v>0</v>
      </c>
      <c r="J662">
        <v>2400</v>
      </c>
      <c r="K662">
        <v>80</v>
      </c>
      <c r="L662">
        <v>79.968292235999996</v>
      </c>
      <c r="M662">
        <v>50</v>
      </c>
      <c r="N662">
        <v>49.630718231000003</v>
      </c>
    </row>
    <row r="663" spans="1:14" x14ac:dyDescent="0.25">
      <c r="A663">
        <v>745.30366400000003</v>
      </c>
      <c r="B663" s="1">
        <f>DATE(2012,5,15) + TIME(7,17,16)</f>
        <v>41044.303657407407</v>
      </c>
      <c r="C663">
        <v>1380.3306885</v>
      </c>
      <c r="D663">
        <v>1366.3597411999999</v>
      </c>
      <c r="E663">
        <v>1292.3145752</v>
      </c>
      <c r="F663">
        <v>1273.1945800999999</v>
      </c>
      <c r="G663">
        <v>2400</v>
      </c>
      <c r="H663">
        <v>0</v>
      </c>
      <c r="I663">
        <v>0</v>
      </c>
      <c r="J663">
        <v>2400</v>
      </c>
      <c r="K663">
        <v>80</v>
      </c>
      <c r="L663">
        <v>79.968307495000005</v>
      </c>
      <c r="M663">
        <v>50</v>
      </c>
      <c r="N663">
        <v>49.617481232000003</v>
      </c>
    </row>
    <row r="664" spans="1:14" x14ac:dyDescent="0.25">
      <c r="A664">
        <v>745.915074</v>
      </c>
      <c r="B664" s="1">
        <f>DATE(2012,5,15) + TIME(21,57,42)</f>
        <v>41044.915069444447</v>
      </c>
      <c r="C664">
        <v>1380.2795410000001</v>
      </c>
      <c r="D664">
        <v>1366.3198242000001</v>
      </c>
      <c r="E664">
        <v>1292.3122559000001</v>
      </c>
      <c r="F664">
        <v>1273.1911620999999</v>
      </c>
      <c r="G664">
        <v>2400</v>
      </c>
      <c r="H664">
        <v>0</v>
      </c>
      <c r="I664">
        <v>0</v>
      </c>
      <c r="J664">
        <v>2400</v>
      </c>
      <c r="K664">
        <v>80</v>
      </c>
      <c r="L664">
        <v>79.968315125000004</v>
      </c>
      <c r="M664">
        <v>50</v>
      </c>
      <c r="N664">
        <v>49.603851317999997</v>
      </c>
    </row>
    <row r="665" spans="1:14" x14ac:dyDescent="0.25">
      <c r="A665">
        <v>746.54700100000002</v>
      </c>
      <c r="B665" s="1">
        <f>DATE(2012,5,16) + TIME(13,7,40)</f>
        <v>41045.546990740739</v>
      </c>
      <c r="C665">
        <v>1380.2282714999999</v>
      </c>
      <c r="D665">
        <v>1366.2800293</v>
      </c>
      <c r="E665">
        <v>1292.3098144999999</v>
      </c>
      <c r="F665">
        <v>1273.1876221</v>
      </c>
      <c r="G665">
        <v>2400</v>
      </c>
      <c r="H665">
        <v>0</v>
      </c>
      <c r="I665">
        <v>0</v>
      </c>
      <c r="J665">
        <v>2400</v>
      </c>
      <c r="K665">
        <v>80</v>
      </c>
      <c r="L665">
        <v>79.968315125000004</v>
      </c>
      <c r="M665">
        <v>50</v>
      </c>
      <c r="N665">
        <v>49.589839935000001</v>
      </c>
    </row>
    <row r="666" spans="1:14" x14ac:dyDescent="0.25">
      <c r="A666">
        <v>747.20355900000004</v>
      </c>
      <c r="B666" s="1">
        <f>DATE(2012,5,17) + TIME(4,53,7)</f>
        <v>41046.203553240739</v>
      </c>
      <c r="C666">
        <v>1380.177124</v>
      </c>
      <c r="D666">
        <v>1366.2401123</v>
      </c>
      <c r="E666">
        <v>1292.307251</v>
      </c>
      <c r="F666">
        <v>1273.1838379000001</v>
      </c>
      <c r="G666">
        <v>2400</v>
      </c>
      <c r="H666">
        <v>0</v>
      </c>
      <c r="I666">
        <v>0</v>
      </c>
      <c r="J666">
        <v>2400</v>
      </c>
      <c r="K666">
        <v>80</v>
      </c>
      <c r="L666">
        <v>79.968322753999999</v>
      </c>
      <c r="M666">
        <v>50</v>
      </c>
      <c r="N666">
        <v>49.575393677000001</v>
      </c>
    </row>
    <row r="667" spans="1:14" x14ac:dyDescent="0.25">
      <c r="A667">
        <v>747.88180799999998</v>
      </c>
      <c r="B667" s="1">
        <f>DATE(2012,5,17) + TIME(21,9,48)</f>
        <v>41046.881805555553</v>
      </c>
      <c r="C667">
        <v>1380.1257324000001</v>
      </c>
      <c r="D667">
        <v>1366.2001952999999</v>
      </c>
      <c r="E667">
        <v>1292.3045654</v>
      </c>
      <c r="F667">
        <v>1273.1800536999999</v>
      </c>
      <c r="G667">
        <v>2400</v>
      </c>
      <c r="H667">
        <v>0</v>
      </c>
      <c r="I667">
        <v>0</v>
      </c>
      <c r="J667">
        <v>2400</v>
      </c>
      <c r="K667">
        <v>80</v>
      </c>
      <c r="L667">
        <v>79.968322753999999</v>
      </c>
      <c r="M667">
        <v>50</v>
      </c>
      <c r="N667">
        <v>49.560543060000001</v>
      </c>
    </row>
    <row r="668" spans="1:14" x14ac:dyDescent="0.25">
      <c r="A668">
        <v>748.56894799999998</v>
      </c>
      <c r="B668" s="1">
        <f>DATE(2012,5,18) + TIME(13,39,17)</f>
        <v>41047.56894675926</v>
      </c>
      <c r="C668">
        <v>1380.0744629000001</v>
      </c>
      <c r="D668">
        <v>1366.1604004000001</v>
      </c>
      <c r="E668">
        <v>1292.3017577999999</v>
      </c>
      <c r="F668">
        <v>1273.1760254000001</v>
      </c>
      <c r="G668">
        <v>2400</v>
      </c>
      <c r="H668">
        <v>0</v>
      </c>
      <c r="I668">
        <v>0</v>
      </c>
      <c r="J668">
        <v>2400</v>
      </c>
      <c r="K668">
        <v>80</v>
      </c>
      <c r="L668">
        <v>79.968322753999999</v>
      </c>
      <c r="M668">
        <v>50</v>
      </c>
      <c r="N668">
        <v>49.545444488999998</v>
      </c>
    </row>
    <row r="669" spans="1:14" x14ac:dyDescent="0.25">
      <c r="A669">
        <v>749.26947800000005</v>
      </c>
      <c r="B669" s="1">
        <f>DATE(2012,5,19) + TIME(6,28,2)</f>
        <v>41048.269467592596</v>
      </c>
      <c r="C669">
        <v>1380.0241699000001</v>
      </c>
      <c r="D669">
        <v>1366.1213379000001</v>
      </c>
      <c r="E669">
        <v>1292.2989502</v>
      </c>
      <c r="F669">
        <v>1273.1719971</v>
      </c>
      <c r="G669">
        <v>2400</v>
      </c>
      <c r="H669">
        <v>0</v>
      </c>
      <c r="I669">
        <v>0</v>
      </c>
      <c r="J669">
        <v>2400</v>
      </c>
      <c r="K669">
        <v>80</v>
      </c>
      <c r="L669">
        <v>79.968322753999999</v>
      </c>
      <c r="M669">
        <v>50</v>
      </c>
      <c r="N669">
        <v>49.530105591000002</v>
      </c>
    </row>
    <row r="670" spans="1:14" x14ac:dyDescent="0.25">
      <c r="A670">
        <v>749.98516800000004</v>
      </c>
      <c r="B670" s="1">
        <f>DATE(2012,5,19) + TIME(23,38,38)</f>
        <v>41048.985162037039</v>
      </c>
      <c r="C670">
        <v>1379.9744873</v>
      </c>
      <c r="D670">
        <v>1366.0828856999999</v>
      </c>
      <c r="E670">
        <v>1292.2960204999999</v>
      </c>
      <c r="F670">
        <v>1273.1678466999999</v>
      </c>
      <c r="G670">
        <v>2400</v>
      </c>
      <c r="H670">
        <v>0</v>
      </c>
      <c r="I670">
        <v>0</v>
      </c>
      <c r="J670">
        <v>2400</v>
      </c>
      <c r="K670">
        <v>80</v>
      </c>
      <c r="L670">
        <v>79.968315125000004</v>
      </c>
      <c r="M670">
        <v>50</v>
      </c>
      <c r="N670">
        <v>49.514522552000003</v>
      </c>
    </row>
    <row r="671" spans="1:14" x14ac:dyDescent="0.25">
      <c r="A671">
        <v>750.71736999999996</v>
      </c>
      <c r="B671" s="1">
        <f>DATE(2012,5,20) + TIME(17,13,0)</f>
        <v>41049.717361111114</v>
      </c>
      <c r="C671">
        <v>1379.9254149999999</v>
      </c>
      <c r="D671">
        <v>1366.0449219</v>
      </c>
      <c r="E671">
        <v>1292.2930908000001</v>
      </c>
      <c r="F671">
        <v>1273.1635742000001</v>
      </c>
      <c r="G671">
        <v>2400</v>
      </c>
      <c r="H671">
        <v>0</v>
      </c>
      <c r="I671">
        <v>0</v>
      </c>
      <c r="J671">
        <v>2400</v>
      </c>
      <c r="K671">
        <v>80</v>
      </c>
      <c r="L671">
        <v>79.968315125000004</v>
      </c>
      <c r="M671">
        <v>50</v>
      </c>
      <c r="N671">
        <v>49.498687744000001</v>
      </c>
    </row>
    <row r="672" spans="1:14" x14ac:dyDescent="0.25">
      <c r="A672">
        <v>751.47069899999997</v>
      </c>
      <c r="B672" s="1">
        <f>DATE(2012,5,21) + TIME(11,17,48)</f>
        <v>41050.470694444448</v>
      </c>
      <c r="C672">
        <v>1379.8767089999999</v>
      </c>
      <c r="D672">
        <v>1366.0072021000001</v>
      </c>
      <c r="E672">
        <v>1292.2900391000001</v>
      </c>
      <c r="F672">
        <v>1273.1591797000001</v>
      </c>
      <c r="G672">
        <v>2400</v>
      </c>
      <c r="H672">
        <v>0</v>
      </c>
      <c r="I672">
        <v>0</v>
      </c>
      <c r="J672">
        <v>2400</v>
      </c>
      <c r="K672">
        <v>80</v>
      </c>
      <c r="L672">
        <v>79.968315125000004</v>
      </c>
      <c r="M672">
        <v>50</v>
      </c>
      <c r="N672">
        <v>49.482536316000001</v>
      </c>
    </row>
    <row r="673" spans="1:14" x14ac:dyDescent="0.25">
      <c r="A673">
        <v>752.25001399999996</v>
      </c>
      <c r="B673" s="1">
        <f>DATE(2012,5,22) + TIME(6,0,1)</f>
        <v>41051.250011574077</v>
      </c>
      <c r="C673">
        <v>1379.8280029</v>
      </c>
      <c r="D673">
        <v>1365.9696045000001</v>
      </c>
      <c r="E673">
        <v>1292.2868652</v>
      </c>
      <c r="F673">
        <v>1273.1545410000001</v>
      </c>
      <c r="G673">
        <v>2400</v>
      </c>
      <c r="H673">
        <v>0</v>
      </c>
      <c r="I673">
        <v>0</v>
      </c>
      <c r="J673">
        <v>2400</v>
      </c>
      <c r="K673">
        <v>80</v>
      </c>
      <c r="L673">
        <v>79.968315125000004</v>
      </c>
      <c r="M673">
        <v>50</v>
      </c>
      <c r="N673">
        <v>49.465999603</v>
      </c>
    </row>
    <row r="674" spans="1:14" x14ac:dyDescent="0.25">
      <c r="A674">
        <v>753.06111499999997</v>
      </c>
      <c r="B674" s="1">
        <f>DATE(2012,5,23) + TIME(1,28,0)</f>
        <v>41052.061111111114</v>
      </c>
      <c r="C674">
        <v>1379.7792969</v>
      </c>
      <c r="D674">
        <v>1365.9320068</v>
      </c>
      <c r="E674">
        <v>1292.2835693</v>
      </c>
      <c r="F674">
        <v>1273.1499022999999</v>
      </c>
      <c r="G674">
        <v>2400</v>
      </c>
      <c r="H674">
        <v>0</v>
      </c>
      <c r="I674">
        <v>0</v>
      </c>
      <c r="J674">
        <v>2400</v>
      </c>
      <c r="K674">
        <v>80</v>
      </c>
      <c r="L674">
        <v>79.968315125000004</v>
      </c>
      <c r="M674">
        <v>50</v>
      </c>
      <c r="N674">
        <v>49.448982239000003</v>
      </c>
    </row>
    <row r="675" spans="1:14" x14ac:dyDescent="0.25">
      <c r="A675">
        <v>753.90871500000003</v>
      </c>
      <c r="B675" s="1">
        <f>DATE(2012,5,23) + TIME(21,48,33)</f>
        <v>41052.908715277779</v>
      </c>
      <c r="C675">
        <v>1379.7301024999999</v>
      </c>
      <c r="D675">
        <v>1365.8939209</v>
      </c>
      <c r="E675">
        <v>1292.2801514</v>
      </c>
      <c r="F675">
        <v>1273.1448975000001</v>
      </c>
      <c r="G675">
        <v>2400</v>
      </c>
      <c r="H675">
        <v>0</v>
      </c>
      <c r="I675">
        <v>0</v>
      </c>
      <c r="J675">
        <v>2400</v>
      </c>
      <c r="K675">
        <v>80</v>
      </c>
      <c r="L675">
        <v>79.968307495000005</v>
      </c>
      <c r="M675">
        <v>50</v>
      </c>
      <c r="N675">
        <v>49.431388855000002</v>
      </c>
    </row>
    <row r="676" spans="1:14" x14ac:dyDescent="0.25">
      <c r="A676">
        <v>754.78186200000005</v>
      </c>
      <c r="B676" s="1">
        <f>DATE(2012,5,24) + TIME(18,45,52)</f>
        <v>41053.781851851854</v>
      </c>
      <c r="C676">
        <v>1379.6801757999999</v>
      </c>
      <c r="D676">
        <v>1365.8554687999999</v>
      </c>
      <c r="E676">
        <v>1292.2766113</v>
      </c>
      <c r="F676">
        <v>1273.1397704999999</v>
      </c>
      <c r="G676">
        <v>2400</v>
      </c>
      <c r="H676">
        <v>0</v>
      </c>
      <c r="I676">
        <v>0</v>
      </c>
      <c r="J676">
        <v>2400</v>
      </c>
      <c r="K676">
        <v>80</v>
      </c>
      <c r="L676">
        <v>79.968307495000005</v>
      </c>
      <c r="M676">
        <v>50</v>
      </c>
      <c r="N676">
        <v>49.413295746000003</v>
      </c>
    </row>
    <row r="677" spans="1:14" x14ac:dyDescent="0.25">
      <c r="A677">
        <v>755.66501000000005</v>
      </c>
      <c r="B677" s="1">
        <f>DATE(2012,5,25) + TIME(15,57,36)</f>
        <v>41054.665000000001</v>
      </c>
      <c r="C677">
        <v>1379.630249</v>
      </c>
      <c r="D677">
        <v>1365.8170166</v>
      </c>
      <c r="E677">
        <v>1292.2728271000001</v>
      </c>
      <c r="F677">
        <v>1273.1343993999999</v>
      </c>
      <c r="G677">
        <v>2400</v>
      </c>
      <c r="H677">
        <v>0</v>
      </c>
      <c r="I677">
        <v>0</v>
      </c>
      <c r="J677">
        <v>2400</v>
      </c>
      <c r="K677">
        <v>80</v>
      </c>
      <c r="L677">
        <v>79.968307495000005</v>
      </c>
      <c r="M677">
        <v>50</v>
      </c>
      <c r="N677">
        <v>49.394893646</v>
      </c>
    </row>
    <row r="678" spans="1:14" x14ac:dyDescent="0.25">
      <c r="A678">
        <v>756.56098199999997</v>
      </c>
      <c r="B678" s="1">
        <f>DATE(2012,5,26) + TIME(13,27,48)</f>
        <v>41055.560972222222</v>
      </c>
      <c r="C678">
        <v>1379.5812988</v>
      </c>
      <c r="D678">
        <v>1365.7792969</v>
      </c>
      <c r="E678">
        <v>1292.269043</v>
      </c>
      <c r="F678">
        <v>1273.1289062000001</v>
      </c>
      <c r="G678">
        <v>2400</v>
      </c>
      <c r="H678">
        <v>0</v>
      </c>
      <c r="I678">
        <v>0</v>
      </c>
      <c r="J678">
        <v>2400</v>
      </c>
      <c r="K678">
        <v>80</v>
      </c>
      <c r="L678">
        <v>79.968307495000005</v>
      </c>
      <c r="M678">
        <v>50</v>
      </c>
      <c r="N678">
        <v>49.376262664999999</v>
      </c>
    </row>
    <row r="679" spans="1:14" x14ac:dyDescent="0.25">
      <c r="A679">
        <v>757.47557400000005</v>
      </c>
      <c r="B679" s="1">
        <f>DATE(2012,5,27) + TIME(11,24,49)</f>
        <v>41056.47556712963</v>
      </c>
      <c r="C679">
        <v>1379.5330810999999</v>
      </c>
      <c r="D679">
        <v>1365.7420654</v>
      </c>
      <c r="E679">
        <v>1292.2651367000001</v>
      </c>
      <c r="F679">
        <v>1273.1232910000001</v>
      </c>
      <c r="G679">
        <v>2400</v>
      </c>
      <c r="H679">
        <v>0</v>
      </c>
      <c r="I679">
        <v>0</v>
      </c>
      <c r="J679">
        <v>2400</v>
      </c>
      <c r="K679">
        <v>80</v>
      </c>
      <c r="L679">
        <v>79.968315125000004</v>
      </c>
      <c r="M679">
        <v>50</v>
      </c>
      <c r="N679">
        <v>49.357383728000002</v>
      </c>
    </row>
    <row r="680" spans="1:14" x14ac:dyDescent="0.25">
      <c r="A680">
        <v>758.41460800000004</v>
      </c>
      <c r="B680" s="1">
        <f>DATE(2012,5,28) + TIME(9,57,2)</f>
        <v>41057.414606481485</v>
      </c>
      <c r="C680">
        <v>1379.4853516000001</v>
      </c>
      <c r="D680">
        <v>1365.7052002</v>
      </c>
      <c r="E680">
        <v>1292.2611084</v>
      </c>
      <c r="F680">
        <v>1273.1175536999999</v>
      </c>
      <c r="G680">
        <v>2400</v>
      </c>
      <c r="H680">
        <v>0</v>
      </c>
      <c r="I680">
        <v>0</v>
      </c>
      <c r="J680">
        <v>2400</v>
      </c>
      <c r="K680">
        <v>80</v>
      </c>
      <c r="L680">
        <v>79.968315125000004</v>
      </c>
      <c r="M680">
        <v>50</v>
      </c>
      <c r="N680">
        <v>49.338188170999999</v>
      </c>
    </row>
    <row r="681" spans="1:14" x14ac:dyDescent="0.25">
      <c r="A681">
        <v>759.38297</v>
      </c>
      <c r="B681" s="1">
        <f>DATE(2012,5,29) + TIME(9,11,28)</f>
        <v>41058.382962962962</v>
      </c>
      <c r="C681">
        <v>1379.4376221</v>
      </c>
      <c r="D681">
        <v>1365.668457</v>
      </c>
      <c r="E681">
        <v>1292.2569579999999</v>
      </c>
      <c r="F681">
        <v>1273.1115723</v>
      </c>
      <c r="G681">
        <v>2400</v>
      </c>
      <c r="H681">
        <v>0</v>
      </c>
      <c r="I681">
        <v>0</v>
      </c>
      <c r="J681">
        <v>2400</v>
      </c>
      <c r="K681">
        <v>80</v>
      </c>
      <c r="L681">
        <v>79.968315125000004</v>
      </c>
      <c r="M681">
        <v>50</v>
      </c>
      <c r="N681">
        <v>49.318595885999997</v>
      </c>
    </row>
    <row r="682" spans="1:14" x14ac:dyDescent="0.25">
      <c r="A682">
        <v>760.37912100000005</v>
      </c>
      <c r="B682" s="1">
        <f>DATE(2012,5,30) + TIME(9,5,56)</f>
        <v>41059.379120370373</v>
      </c>
      <c r="C682">
        <v>1379.3897704999999</v>
      </c>
      <c r="D682">
        <v>1365.6315918</v>
      </c>
      <c r="E682">
        <v>1292.2526855000001</v>
      </c>
      <c r="F682">
        <v>1273.1052245999999</v>
      </c>
      <c r="G682">
        <v>2400</v>
      </c>
      <c r="H682">
        <v>0</v>
      </c>
      <c r="I682">
        <v>0</v>
      </c>
      <c r="J682">
        <v>2400</v>
      </c>
      <c r="K682">
        <v>80</v>
      </c>
      <c r="L682">
        <v>79.968322753999999</v>
      </c>
      <c r="M682">
        <v>50</v>
      </c>
      <c r="N682">
        <v>49.298572540000002</v>
      </c>
    </row>
    <row r="683" spans="1:14" x14ac:dyDescent="0.25">
      <c r="A683">
        <v>761.41000799999995</v>
      </c>
      <c r="B683" s="1">
        <f>DATE(2012,5,31) + TIME(9,50,24)</f>
        <v>41060.410000000003</v>
      </c>
      <c r="C683">
        <v>1379.3419189000001</v>
      </c>
      <c r="D683">
        <v>1365.5947266000001</v>
      </c>
      <c r="E683">
        <v>1292.2481689000001</v>
      </c>
      <c r="F683">
        <v>1273.0987548999999</v>
      </c>
      <c r="G683">
        <v>2400</v>
      </c>
      <c r="H683">
        <v>0</v>
      </c>
      <c r="I683">
        <v>0</v>
      </c>
      <c r="J683">
        <v>2400</v>
      </c>
      <c r="K683">
        <v>80</v>
      </c>
      <c r="L683">
        <v>79.968322753999999</v>
      </c>
      <c r="M683">
        <v>50</v>
      </c>
      <c r="N683">
        <v>49.278049469000003</v>
      </c>
    </row>
    <row r="684" spans="1:14" x14ac:dyDescent="0.25">
      <c r="A684">
        <v>762</v>
      </c>
      <c r="B684" s="1">
        <f>DATE(2012,6,1) + TIME(0,0,0)</f>
        <v>41061</v>
      </c>
      <c r="C684">
        <v>1379.2937012</v>
      </c>
      <c r="D684">
        <v>1365.5576172000001</v>
      </c>
      <c r="E684">
        <v>1292.2429199000001</v>
      </c>
      <c r="F684">
        <v>1273.0924072</v>
      </c>
      <c r="G684">
        <v>2400</v>
      </c>
      <c r="H684">
        <v>0</v>
      </c>
      <c r="I684">
        <v>0</v>
      </c>
      <c r="J684">
        <v>2400</v>
      </c>
      <c r="K684">
        <v>80</v>
      </c>
      <c r="L684">
        <v>79.968322753999999</v>
      </c>
      <c r="M684">
        <v>50</v>
      </c>
      <c r="N684">
        <v>49.262523651000002</v>
      </c>
    </row>
    <row r="685" spans="1:14" x14ac:dyDescent="0.25">
      <c r="A685">
        <v>763.06987900000001</v>
      </c>
      <c r="B685" s="1">
        <f>DATE(2012,6,2) + TIME(1,40,37)</f>
        <v>41062.069872685184</v>
      </c>
      <c r="C685">
        <v>1379.2667236</v>
      </c>
      <c r="D685">
        <v>1365.5368652</v>
      </c>
      <c r="E685">
        <v>1292.2409668</v>
      </c>
      <c r="F685">
        <v>1273.0878906</v>
      </c>
      <c r="G685">
        <v>2400</v>
      </c>
      <c r="H685">
        <v>0</v>
      </c>
      <c r="I685">
        <v>0</v>
      </c>
      <c r="J685">
        <v>2400</v>
      </c>
      <c r="K685">
        <v>80</v>
      </c>
      <c r="L685">
        <v>79.968330382999994</v>
      </c>
      <c r="M685">
        <v>50</v>
      </c>
      <c r="N685">
        <v>49.243423462000003</v>
      </c>
    </row>
    <row r="686" spans="1:14" x14ac:dyDescent="0.25">
      <c r="A686">
        <v>764.15698299999997</v>
      </c>
      <c r="B686" s="1">
        <f>DATE(2012,6,3) + TIME(3,46,3)</f>
        <v>41063.15697916667</v>
      </c>
      <c r="C686">
        <v>1379.2188721</v>
      </c>
      <c r="D686">
        <v>1365.5</v>
      </c>
      <c r="E686">
        <v>1292.2358397999999</v>
      </c>
      <c r="F686">
        <v>1273.0808105000001</v>
      </c>
      <c r="G686">
        <v>2400</v>
      </c>
      <c r="H686">
        <v>0</v>
      </c>
      <c r="I686">
        <v>0</v>
      </c>
      <c r="J686">
        <v>2400</v>
      </c>
      <c r="K686">
        <v>80</v>
      </c>
      <c r="L686">
        <v>79.968338012999993</v>
      </c>
      <c r="M686">
        <v>50</v>
      </c>
      <c r="N686">
        <v>49.222812652999998</v>
      </c>
    </row>
    <row r="687" spans="1:14" x14ac:dyDescent="0.25">
      <c r="A687">
        <v>765.25541699999997</v>
      </c>
      <c r="B687" s="1">
        <f>DATE(2012,6,4) + TIME(6,7,48)</f>
        <v>41064.255416666667</v>
      </c>
      <c r="C687">
        <v>1379.1715088000001</v>
      </c>
      <c r="D687">
        <v>1365.463501</v>
      </c>
      <c r="E687">
        <v>1292.2307129000001</v>
      </c>
      <c r="F687">
        <v>1273.0734863</v>
      </c>
      <c r="G687">
        <v>2400</v>
      </c>
      <c r="H687">
        <v>0</v>
      </c>
      <c r="I687">
        <v>0</v>
      </c>
      <c r="J687">
        <v>2400</v>
      </c>
      <c r="K687">
        <v>80</v>
      </c>
      <c r="L687">
        <v>79.968345642000003</v>
      </c>
      <c r="M687">
        <v>50</v>
      </c>
      <c r="N687">
        <v>49.201450348000002</v>
      </c>
    </row>
    <row r="688" spans="1:14" x14ac:dyDescent="0.25">
      <c r="A688">
        <v>766.37194599999998</v>
      </c>
      <c r="B688" s="1">
        <f>DATE(2012,6,5) + TIME(8,55,36)</f>
        <v>41065.371944444443</v>
      </c>
      <c r="C688">
        <v>1379.125</v>
      </c>
      <c r="D688">
        <v>1365.4274902</v>
      </c>
      <c r="E688">
        <v>1292.2254639</v>
      </c>
      <c r="F688">
        <v>1273.0657959</v>
      </c>
      <c r="G688">
        <v>2400</v>
      </c>
      <c r="H688">
        <v>0</v>
      </c>
      <c r="I688">
        <v>0</v>
      </c>
      <c r="J688">
        <v>2400</v>
      </c>
      <c r="K688">
        <v>80</v>
      </c>
      <c r="L688">
        <v>79.968353270999998</v>
      </c>
      <c r="M688">
        <v>50</v>
      </c>
      <c r="N688">
        <v>49.179637909</v>
      </c>
    </row>
    <row r="689" spans="1:14" x14ac:dyDescent="0.25">
      <c r="A689">
        <v>767.51347399999997</v>
      </c>
      <c r="B689" s="1">
        <f>DATE(2012,6,6) + TIME(12,19,24)</f>
        <v>41066.513472222221</v>
      </c>
      <c r="C689">
        <v>1379.0788574000001</v>
      </c>
      <c r="D689">
        <v>1365.3919678</v>
      </c>
      <c r="E689">
        <v>1292.2200928</v>
      </c>
      <c r="F689">
        <v>1273.0579834</v>
      </c>
      <c r="G689">
        <v>2400</v>
      </c>
      <c r="H689">
        <v>0</v>
      </c>
      <c r="I689">
        <v>0</v>
      </c>
      <c r="J689">
        <v>2400</v>
      </c>
      <c r="K689">
        <v>80</v>
      </c>
      <c r="L689">
        <v>79.968360900999997</v>
      </c>
      <c r="M689">
        <v>50</v>
      </c>
      <c r="N689">
        <v>49.157432556000003</v>
      </c>
    </row>
    <row r="690" spans="1:14" x14ac:dyDescent="0.25">
      <c r="A690">
        <v>768.68713000000002</v>
      </c>
      <c r="B690" s="1">
        <f>DATE(2012,6,7) + TIME(16,29,28)</f>
        <v>41067.68712962963</v>
      </c>
      <c r="C690">
        <v>1379.0328368999999</v>
      </c>
      <c r="D690">
        <v>1365.3564452999999</v>
      </c>
      <c r="E690">
        <v>1292.2144774999999</v>
      </c>
      <c r="F690">
        <v>1273.0498047000001</v>
      </c>
      <c r="G690">
        <v>2400</v>
      </c>
      <c r="H690">
        <v>0</v>
      </c>
      <c r="I690">
        <v>0</v>
      </c>
      <c r="J690">
        <v>2400</v>
      </c>
      <c r="K690">
        <v>80</v>
      </c>
      <c r="L690">
        <v>79.968368530000006</v>
      </c>
      <c r="M690">
        <v>50</v>
      </c>
      <c r="N690">
        <v>49.134784697999997</v>
      </c>
    </row>
    <row r="691" spans="1:14" x14ac:dyDescent="0.25">
      <c r="A691">
        <v>769.901253</v>
      </c>
      <c r="B691" s="1">
        <f>DATE(2012,6,8) + TIME(21,37,48)</f>
        <v>41068.901250000003</v>
      </c>
      <c r="C691">
        <v>1378.9868164</v>
      </c>
      <c r="D691">
        <v>1365.3209228999999</v>
      </c>
      <c r="E691">
        <v>1292.2086182</v>
      </c>
      <c r="F691">
        <v>1273.0411377</v>
      </c>
      <c r="G691">
        <v>2400</v>
      </c>
      <c r="H691">
        <v>0</v>
      </c>
      <c r="I691">
        <v>0</v>
      </c>
      <c r="J691">
        <v>2400</v>
      </c>
      <c r="K691">
        <v>80</v>
      </c>
      <c r="L691">
        <v>79.968383789000001</v>
      </c>
      <c r="M691">
        <v>50</v>
      </c>
      <c r="N691">
        <v>49.111579894999998</v>
      </c>
    </row>
    <row r="692" spans="1:14" x14ac:dyDescent="0.25">
      <c r="A692">
        <v>771.16508199999998</v>
      </c>
      <c r="B692" s="1">
        <f>DATE(2012,6,10) + TIME(3,57,43)</f>
        <v>41070.165081018517</v>
      </c>
      <c r="C692">
        <v>1378.9403076000001</v>
      </c>
      <c r="D692">
        <v>1365.2850341999999</v>
      </c>
      <c r="E692">
        <v>1292.2025146000001</v>
      </c>
      <c r="F692">
        <v>1273.0321045000001</v>
      </c>
      <c r="G692">
        <v>2400</v>
      </c>
      <c r="H692">
        <v>0</v>
      </c>
      <c r="I692">
        <v>0</v>
      </c>
      <c r="J692">
        <v>2400</v>
      </c>
      <c r="K692">
        <v>80</v>
      </c>
      <c r="L692">
        <v>79.968391417999996</v>
      </c>
      <c r="M692">
        <v>50</v>
      </c>
      <c r="N692">
        <v>49.087677002</v>
      </c>
    </row>
    <row r="693" spans="1:14" x14ac:dyDescent="0.25">
      <c r="A693">
        <v>772.46151499999996</v>
      </c>
      <c r="B693" s="1">
        <f>DATE(2012,6,11) + TIME(11,4,34)</f>
        <v>41071.461504629631</v>
      </c>
      <c r="C693">
        <v>1378.8931885</v>
      </c>
      <c r="D693">
        <v>1365.2486572</v>
      </c>
      <c r="E693">
        <v>1292.1960449000001</v>
      </c>
      <c r="F693">
        <v>1273.0224608999999</v>
      </c>
      <c r="G693">
        <v>2400</v>
      </c>
      <c r="H693">
        <v>0</v>
      </c>
      <c r="I693">
        <v>0</v>
      </c>
      <c r="J693">
        <v>2400</v>
      </c>
      <c r="K693">
        <v>80</v>
      </c>
      <c r="L693">
        <v>79.968406677000004</v>
      </c>
      <c r="M693">
        <v>50</v>
      </c>
      <c r="N693">
        <v>49.063110352000002</v>
      </c>
    </row>
    <row r="694" spans="1:14" x14ac:dyDescent="0.25">
      <c r="A694">
        <v>773.76199999999994</v>
      </c>
      <c r="B694" s="1">
        <f>DATE(2012,6,12) + TIME(18,17,16)</f>
        <v>41072.761990740742</v>
      </c>
      <c r="C694">
        <v>1378.8459473</v>
      </c>
      <c r="D694">
        <v>1365.2121582</v>
      </c>
      <c r="E694">
        <v>1292.1890868999999</v>
      </c>
      <c r="F694">
        <v>1273.0124512</v>
      </c>
      <c r="G694">
        <v>2400</v>
      </c>
      <c r="H694">
        <v>0</v>
      </c>
      <c r="I694">
        <v>0</v>
      </c>
      <c r="J694">
        <v>2400</v>
      </c>
      <c r="K694">
        <v>80</v>
      </c>
      <c r="L694">
        <v>79.968414307000003</v>
      </c>
      <c r="M694">
        <v>50</v>
      </c>
      <c r="N694">
        <v>49.038169861</v>
      </c>
    </row>
    <row r="695" spans="1:14" x14ac:dyDescent="0.25">
      <c r="A695">
        <v>775.07463099999995</v>
      </c>
      <c r="B695" s="1">
        <f>DATE(2012,6,14) + TIME(1,47,28)</f>
        <v>41074.074629629627</v>
      </c>
      <c r="C695">
        <v>1378.7998047000001</v>
      </c>
      <c r="D695">
        <v>1365.1765137</v>
      </c>
      <c r="E695">
        <v>1292.1821289</v>
      </c>
      <c r="F695">
        <v>1273.0020752</v>
      </c>
      <c r="G695">
        <v>2400</v>
      </c>
      <c r="H695">
        <v>0</v>
      </c>
      <c r="I695">
        <v>0</v>
      </c>
      <c r="J695">
        <v>2400</v>
      </c>
      <c r="K695">
        <v>80</v>
      </c>
      <c r="L695">
        <v>79.968429564999994</v>
      </c>
      <c r="M695">
        <v>50</v>
      </c>
      <c r="N695">
        <v>49.013031005999999</v>
      </c>
    </row>
    <row r="696" spans="1:14" x14ac:dyDescent="0.25">
      <c r="A696">
        <v>776.40738399999998</v>
      </c>
      <c r="B696" s="1">
        <f>DATE(2012,6,15) + TIME(9,46,37)</f>
        <v>41075.407372685186</v>
      </c>
      <c r="C696">
        <v>1378.7543945</v>
      </c>
      <c r="D696">
        <v>1365.1413574000001</v>
      </c>
      <c r="E696">
        <v>1292.1749268000001</v>
      </c>
      <c r="F696">
        <v>1272.9913329999999</v>
      </c>
      <c r="G696">
        <v>2400</v>
      </c>
      <c r="H696">
        <v>0</v>
      </c>
      <c r="I696">
        <v>0</v>
      </c>
      <c r="J696">
        <v>2400</v>
      </c>
      <c r="K696">
        <v>80</v>
      </c>
      <c r="L696">
        <v>79.968444824000002</v>
      </c>
      <c r="M696">
        <v>50</v>
      </c>
      <c r="N696">
        <v>48.987659454000003</v>
      </c>
    </row>
    <row r="697" spans="1:14" x14ac:dyDescent="0.25">
      <c r="A697">
        <v>777.76851099999999</v>
      </c>
      <c r="B697" s="1">
        <f>DATE(2012,6,16) + TIME(18,26,39)</f>
        <v>41076.768506944441</v>
      </c>
      <c r="C697">
        <v>1378.7094727000001</v>
      </c>
      <c r="D697">
        <v>1365.1064452999999</v>
      </c>
      <c r="E697">
        <v>1292.1674805</v>
      </c>
      <c r="F697">
        <v>1272.9801024999999</v>
      </c>
      <c r="G697">
        <v>2400</v>
      </c>
      <c r="H697">
        <v>0</v>
      </c>
      <c r="I697">
        <v>0</v>
      </c>
      <c r="J697">
        <v>2400</v>
      </c>
      <c r="K697">
        <v>80</v>
      </c>
      <c r="L697">
        <v>79.968460082999997</v>
      </c>
      <c r="M697">
        <v>50</v>
      </c>
      <c r="N697">
        <v>48.961944580000001</v>
      </c>
    </row>
    <row r="698" spans="1:14" x14ac:dyDescent="0.25">
      <c r="A698">
        <v>779.16648099999998</v>
      </c>
      <c r="B698" s="1">
        <f>DATE(2012,6,18) + TIME(3,59,43)</f>
        <v>41078.16646990741</v>
      </c>
      <c r="C698">
        <v>1378.6645507999999</v>
      </c>
      <c r="D698">
        <v>1365.0716553</v>
      </c>
      <c r="E698">
        <v>1292.159668</v>
      </c>
      <c r="F698">
        <v>1272.9683838000001</v>
      </c>
      <c r="G698">
        <v>2400</v>
      </c>
      <c r="H698">
        <v>0</v>
      </c>
      <c r="I698">
        <v>0</v>
      </c>
      <c r="J698">
        <v>2400</v>
      </c>
      <c r="K698">
        <v>80</v>
      </c>
      <c r="L698">
        <v>79.968475342000005</v>
      </c>
      <c r="M698">
        <v>50</v>
      </c>
      <c r="N698">
        <v>48.935741425000003</v>
      </c>
    </row>
    <row r="699" spans="1:14" x14ac:dyDescent="0.25">
      <c r="A699">
        <v>780.61119099999996</v>
      </c>
      <c r="B699" s="1">
        <f>DATE(2012,6,19) + TIME(14,40,6)</f>
        <v>41079.611180555556</v>
      </c>
      <c r="C699">
        <v>1378.6195068</v>
      </c>
      <c r="D699">
        <v>1365.0367432</v>
      </c>
      <c r="E699">
        <v>1292.1513672000001</v>
      </c>
      <c r="F699">
        <v>1272.9559326000001</v>
      </c>
      <c r="G699">
        <v>2400</v>
      </c>
      <c r="H699">
        <v>0</v>
      </c>
      <c r="I699">
        <v>0</v>
      </c>
      <c r="J699">
        <v>2400</v>
      </c>
      <c r="K699">
        <v>80</v>
      </c>
      <c r="L699">
        <v>79.968490600999999</v>
      </c>
      <c r="M699">
        <v>50</v>
      </c>
      <c r="N699">
        <v>48.908889770999998</v>
      </c>
    </row>
    <row r="700" spans="1:14" x14ac:dyDescent="0.25">
      <c r="A700">
        <v>782.10415599999999</v>
      </c>
      <c r="B700" s="1">
        <f>DATE(2012,6,21) + TIME(2,29,59)</f>
        <v>41081.104155092595</v>
      </c>
      <c r="C700">
        <v>1378.5739745999999</v>
      </c>
      <c r="D700">
        <v>1365.0014647999999</v>
      </c>
      <c r="E700">
        <v>1292.1427002</v>
      </c>
      <c r="F700">
        <v>1272.942749</v>
      </c>
      <c r="G700">
        <v>2400</v>
      </c>
      <c r="H700">
        <v>0</v>
      </c>
      <c r="I700">
        <v>0</v>
      </c>
      <c r="J700">
        <v>2400</v>
      </c>
      <c r="K700">
        <v>80</v>
      </c>
      <c r="L700">
        <v>79.968505859000004</v>
      </c>
      <c r="M700">
        <v>50</v>
      </c>
      <c r="N700">
        <v>48.881256104000002</v>
      </c>
    </row>
    <row r="701" spans="1:14" x14ac:dyDescent="0.25">
      <c r="A701">
        <v>783.64237500000002</v>
      </c>
      <c r="B701" s="1">
        <f>DATE(2012,6,22) + TIME(15,25,1)</f>
        <v>41082.642372685186</v>
      </c>
      <c r="C701">
        <v>1378.5280762</v>
      </c>
      <c r="D701">
        <v>1364.9658202999999</v>
      </c>
      <c r="E701">
        <v>1292.1334228999999</v>
      </c>
      <c r="F701">
        <v>1272.9285889</v>
      </c>
      <c r="G701">
        <v>2400</v>
      </c>
      <c r="H701">
        <v>0</v>
      </c>
      <c r="I701">
        <v>0</v>
      </c>
      <c r="J701">
        <v>2400</v>
      </c>
      <c r="K701">
        <v>80</v>
      </c>
      <c r="L701">
        <v>79.968528747999997</v>
      </c>
      <c r="M701">
        <v>50</v>
      </c>
      <c r="N701">
        <v>48.852798462000003</v>
      </c>
    </row>
    <row r="702" spans="1:14" x14ac:dyDescent="0.25">
      <c r="A702">
        <v>785.18622500000004</v>
      </c>
      <c r="B702" s="1">
        <f>DATE(2012,6,24) + TIME(4,28,9)</f>
        <v>41084.186215277776</v>
      </c>
      <c r="C702">
        <v>1378.4819336</v>
      </c>
      <c r="D702">
        <v>1364.9298096</v>
      </c>
      <c r="E702">
        <v>1292.1236572</v>
      </c>
      <c r="F702">
        <v>1272.9136963000001</v>
      </c>
      <c r="G702">
        <v>2400</v>
      </c>
      <c r="H702">
        <v>0</v>
      </c>
      <c r="I702">
        <v>0</v>
      </c>
      <c r="J702">
        <v>2400</v>
      </c>
      <c r="K702">
        <v>80</v>
      </c>
      <c r="L702">
        <v>79.968544006000002</v>
      </c>
      <c r="M702">
        <v>50</v>
      </c>
      <c r="N702">
        <v>48.823768616000002</v>
      </c>
    </row>
    <row r="703" spans="1:14" x14ac:dyDescent="0.25">
      <c r="A703">
        <v>786.74526900000001</v>
      </c>
      <c r="B703" s="1">
        <f>DATE(2012,6,25) + TIME(17,53,11)</f>
        <v>41085.745266203703</v>
      </c>
      <c r="C703">
        <v>1378.4366454999999</v>
      </c>
      <c r="D703">
        <v>1364.8946533000001</v>
      </c>
      <c r="E703">
        <v>1292.1135254000001</v>
      </c>
      <c r="F703">
        <v>1272.8981934000001</v>
      </c>
      <c r="G703">
        <v>2400</v>
      </c>
      <c r="H703">
        <v>0</v>
      </c>
      <c r="I703">
        <v>0</v>
      </c>
      <c r="J703">
        <v>2400</v>
      </c>
      <c r="K703">
        <v>80</v>
      </c>
      <c r="L703">
        <v>79.968566894999995</v>
      </c>
      <c r="M703">
        <v>50</v>
      </c>
      <c r="N703">
        <v>48.794403076000002</v>
      </c>
    </row>
    <row r="704" spans="1:14" x14ac:dyDescent="0.25">
      <c r="A704">
        <v>788.32542899999999</v>
      </c>
      <c r="B704" s="1">
        <f>DATE(2012,6,27) + TIME(7,48,37)</f>
        <v>41087.325428240743</v>
      </c>
      <c r="C704">
        <v>1378.3919678</v>
      </c>
      <c r="D704">
        <v>1364.8597411999999</v>
      </c>
      <c r="E704">
        <v>1292.1030272999999</v>
      </c>
      <c r="F704">
        <v>1272.8819579999999</v>
      </c>
      <c r="G704">
        <v>2400</v>
      </c>
      <c r="H704">
        <v>0</v>
      </c>
      <c r="I704">
        <v>0</v>
      </c>
      <c r="J704">
        <v>2400</v>
      </c>
      <c r="K704">
        <v>80</v>
      </c>
      <c r="L704">
        <v>79.968589782999999</v>
      </c>
      <c r="M704">
        <v>50</v>
      </c>
      <c r="N704">
        <v>48.764694214000002</v>
      </c>
    </row>
    <row r="705" spans="1:14" x14ac:dyDescent="0.25">
      <c r="A705">
        <v>789.934665</v>
      </c>
      <c r="B705" s="1">
        <f>DATE(2012,6,28) + TIME(22,25,55)</f>
        <v>41088.934664351851</v>
      </c>
      <c r="C705">
        <v>1378.3476562000001</v>
      </c>
      <c r="D705">
        <v>1364.8251952999999</v>
      </c>
      <c r="E705">
        <v>1292.0921631000001</v>
      </c>
      <c r="F705">
        <v>1272.8649902</v>
      </c>
      <c r="G705">
        <v>2400</v>
      </c>
      <c r="H705">
        <v>0</v>
      </c>
      <c r="I705">
        <v>0</v>
      </c>
      <c r="J705">
        <v>2400</v>
      </c>
      <c r="K705">
        <v>80</v>
      </c>
      <c r="L705">
        <v>79.968605041999993</v>
      </c>
      <c r="M705">
        <v>50</v>
      </c>
      <c r="N705">
        <v>48.734539032000001</v>
      </c>
    </row>
    <row r="706" spans="1:14" x14ac:dyDescent="0.25">
      <c r="A706">
        <v>791.58271200000001</v>
      </c>
      <c r="B706" s="1">
        <f>DATE(2012,6,30) + TIME(13,59,6)</f>
        <v>41090.582708333335</v>
      </c>
      <c r="C706">
        <v>1378.3035889</v>
      </c>
      <c r="D706">
        <v>1364.7907714999999</v>
      </c>
      <c r="E706">
        <v>1292.0806885</v>
      </c>
      <c r="F706">
        <v>1272.8470459</v>
      </c>
      <c r="G706">
        <v>2400</v>
      </c>
      <c r="H706">
        <v>0</v>
      </c>
      <c r="I706">
        <v>0</v>
      </c>
      <c r="J706">
        <v>2400</v>
      </c>
      <c r="K706">
        <v>80</v>
      </c>
      <c r="L706">
        <v>79.968627929999997</v>
      </c>
      <c r="M706">
        <v>50</v>
      </c>
      <c r="N706">
        <v>48.703781128000003</v>
      </c>
    </row>
    <row r="707" spans="1:14" x14ac:dyDescent="0.25">
      <c r="A707">
        <v>792</v>
      </c>
      <c r="B707" s="1">
        <f>DATE(2012,7,1) + TIME(0,0,0)</f>
        <v>41091</v>
      </c>
      <c r="C707">
        <v>1378.2595214999999</v>
      </c>
      <c r="D707">
        <v>1364.7563477000001</v>
      </c>
      <c r="E707">
        <v>1292.0676269999999</v>
      </c>
      <c r="F707">
        <v>1272.8309326000001</v>
      </c>
      <c r="G707">
        <v>2400</v>
      </c>
      <c r="H707">
        <v>0</v>
      </c>
      <c r="I707">
        <v>0</v>
      </c>
      <c r="J707">
        <v>2400</v>
      </c>
      <c r="K707">
        <v>80</v>
      </c>
      <c r="L707">
        <v>79.968627929999997</v>
      </c>
      <c r="M707">
        <v>50</v>
      </c>
      <c r="N707">
        <v>48.688205719000003</v>
      </c>
    </row>
    <row r="708" spans="1:14" x14ac:dyDescent="0.25">
      <c r="A708">
        <v>793.69726100000003</v>
      </c>
      <c r="B708" s="1">
        <f>DATE(2012,7,2) + TIME(16,44,3)</f>
        <v>41092.697256944448</v>
      </c>
      <c r="C708">
        <v>1378.2482910000001</v>
      </c>
      <c r="D708">
        <v>1364.7474365</v>
      </c>
      <c r="E708">
        <v>1292.0654297000001</v>
      </c>
      <c r="F708">
        <v>1272.8222656</v>
      </c>
      <c r="G708">
        <v>2400</v>
      </c>
      <c r="H708">
        <v>0</v>
      </c>
      <c r="I708">
        <v>0</v>
      </c>
      <c r="J708">
        <v>2400</v>
      </c>
      <c r="K708">
        <v>80</v>
      </c>
      <c r="L708">
        <v>79.968658446999996</v>
      </c>
      <c r="M708">
        <v>50</v>
      </c>
      <c r="N708">
        <v>48.661701202000003</v>
      </c>
    </row>
    <row r="709" spans="1:14" x14ac:dyDescent="0.25">
      <c r="A709">
        <v>795.47387000000003</v>
      </c>
      <c r="B709" s="1">
        <f>DATE(2012,7,4) + TIME(11,22,22)</f>
        <v>41094.473865740743</v>
      </c>
      <c r="C709">
        <v>1378.2041016000001</v>
      </c>
      <c r="D709">
        <v>1364.7128906</v>
      </c>
      <c r="E709">
        <v>1292.0526123</v>
      </c>
      <c r="F709">
        <v>1272.8023682</v>
      </c>
      <c r="G709">
        <v>2400</v>
      </c>
      <c r="H709">
        <v>0</v>
      </c>
      <c r="I709">
        <v>0</v>
      </c>
      <c r="J709">
        <v>2400</v>
      </c>
      <c r="K709">
        <v>80</v>
      </c>
      <c r="L709">
        <v>79.968688964999998</v>
      </c>
      <c r="M709">
        <v>50</v>
      </c>
      <c r="N709">
        <v>48.630748748999999</v>
      </c>
    </row>
    <row r="710" spans="1:14" x14ac:dyDescent="0.25">
      <c r="A710">
        <v>797.25557200000003</v>
      </c>
      <c r="B710" s="1">
        <f>DATE(2012,7,6) + TIME(6,8,1)</f>
        <v>41096.255567129629</v>
      </c>
      <c r="C710">
        <v>1378.1588135</v>
      </c>
      <c r="D710">
        <v>1364.6772461</v>
      </c>
      <c r="E710">
        <v>1292.0386963000001</v>
      </c>
      <c r="F710">
        <v>1272.7805175999999</v>
      </c>
      <c r="G710">
        <v>2400</v>
      </c>
      <c r="H710">
        <v>0</v>
      </c>
      <c r="I710">
        <v>0</v>
      </c>
      <c r="J710">
        <v>2400</v>
      </c>
      <c r="K710">
        <v>80</v>
      </c>
      <c r="L710">
        <v>79.968711853000002</v>
      </c>
      <c r="M710">
        <v>50</v>
      </c>
      <c r="N710">
        <v>48.597652435000001</v>
      </c>
    </row>
    <row r="711" spans="1:14" x14ac:dyDescent="0.25">
      <c r="A711">
        <v>799.04934300000002</v>
      </c>
      <c r="B711" s="1">
        <f>DATE(2012,7,8) + TIME(1,11,3)</f>
        <v>41098.049340277779</v>
      </c>
      <c r="C711">
        <v>1378.1142577999999</v>
      </c>
      <c r="D711">
        <v>1364.6423339999999</v>
      </c>
      <c r="E711">
        <v>1292.0242920000001</v>
      </c>
      <c r="F711">
        <v>1272.7575684000001</v>
      </c>
      <c r="G711">
        <v>2400</v>
      </c>
      <c r="H711">
        <v>0</v>
      </c>
      <c r="I711">
        <v>0</v>
      </c>
      <c r="J711">
        <v>2400</v>
      </c>
      <c r="K711">
        <v>80</v>
      </c>
      <c r="L711">
        <v>79.968734741000006</v>
      </c>
      <c r="M711">
        <v>50</v>
      </c>
      <c r="N711">
        <v>48.563690186000002</v>
      </c>
    </row>
    <row r="712" spans="1:14" x14ac:dyDescent="0.25">
      <c r="A712">
        <v>800.86584300000004</v>
      </c>
      <c r="B712" s="1">
        <f>DATE(2012,7,9) + TIME(20,46,48)</f>
        <v>41099.865833333337</v>
      </c>
      <c r="C712">
        <v>1378.0704346</v>
      </c>
      <c r="D712">
        <v>1364.6077881000001</v>
      </c>
      <c r="E712">
        <v>1292.0093993999999</v>
      </c>
      <c r="F712">
        <v>1272.7335204999999</v>
      </c>
      <c r="G712">
        <v>2400</v>
      </c>
      <c r="H712">
        <v>0</v>
      </c>
      <c r="I712">
        <v>0</v>
      </c>
      <c r="J712">
        <v>2400</v>
      </c>
      <c r="K712">
        <v>80</v>
      </c>
      <c r="L712">
        <v>79.968765258999994</v>
      </c>
      <c r="M712">
        <v>50</v>
      </c>
      <c r="N712">
        <v>48.529159546000002</v>
      </c>
    </row>
    <row r="713" spans="1:14" x14ac:dyDescent="0.25">
      <c r="A713">
        <v>802.71580800000004</v>
      </c>
      <c r="B713" s="1">
        <f>DATE(2012,7,11) + TIME(17,10,45)</f>
        <v>41101.715798611112</v>
      </c>
      <c r="C713">
        <v>1378.0268555</v>
      </c>
      <c r="D713">
        <v>1364.5736084</v>
      </c>
      <c r="E713">
        <v>1291.9938964999999</v>
      </c>
      <c r="F713">
        <v>1272.708374</v>
      </c>
      <c r="G713">
        <v>2400</v>
      </c>
      <c r="H713">
        <v>0</v>
      </c>
      <c r="I713">
        <v>0</v>
      </c>
      <c r="J713">
        <v>2400</v>
      </c>
      <c r="K713">
        <v>80</v>
      </c>
      <c r="L713">
        <v>79.968795775999993</v>
      </c>
      <c r="M713">
        <v>50</v>
      </c>
      <c r="N713">
        <v>48.494007111000002</v>
      </c>
    </row>
    <row r="714" spans="1:14" x14ac:dyDescent="0.25">
      <c r="A714">
        <v>804.61046299999998</v>
      </c>
      <c r="B714" s="1">
        <f>DATE(2012,7,13) + TIME(14,39,4)</f>
        <v>41103.610462962963</v>
      </c>
      <c r="C714">
        <v>1377.9835204999999</v>
      </c>
      <c r="D714">
        <v>1364.5394286999999</v>
      </c>
      <c r="E714">
        <v>1291.9775391000001</v>
      </c>
      <c r="F714">
        <v>1272.6817627</v>
      </c>
      <c r="G714">
        <v>2400</v>
      </c>
      <c r="H714">
        <v>0</v>
      </c>
      <c r="I714">
        <v>0</v>
      </c>
      <c r="J714">
        <v>2400</v>
      </c>
      <c r="K714">
        <v>80</v>
      </c>
      <c r="L714">
        <v>79.968818665000001</v>
      </c>
      <c r="M714">
        <v>50</v>
      </c>
      <c r="N714">
        <v>48.458072661999999</v>
      </c>
    </row>
    <row r="715" spans="1:14" x14ac:dyDescent="0.25">
      <c r="A715">
        <v>806.56184099999996</v>
      </c>
      <c r="B715" s="1">
        <f>DATE(2012,7,15) + TIME(13,29,3)</f>
        <v>41105.561840277776</v>
      </c>
      <c r="C715">
        <v>1377.9399414</v>
      </c>
      <c r="D715">
        <v>1364.5050048999999</v>
      </c>
      <c r="E715">
        <v>1291.9604492000001</v>
      </c>
      <c r="F715">
        <v>1272.6535644999999</v>
      </c>
      <c r="G715">
        <v>2400</v>
      </c>
      <c r="H715">
        <v>0</v>
      </c>
      <c r="I715">
        <v>0</v>
      </c>
      <c r="J715">
        <v>2400</v>
      </c>
      <c r="K715">
        <v>80</v>
      </c>
      <c r="L715">
        <v>79.968849182</v>
      </c>
      <c r="M715">
        <v>50</v>
      </c>
      <c r="N715">
        <v>48.421150208</v>
      </c>
    </row>
    <row r="716" spans="1:14" x14ac:dyDescent="0.25">
      <c r="A716">
        <v>808.58417799999995</v>
      </c>
      <c r="B716" s="1">
        <f>DATE(2012,7,17) + TIME(14,1,12)</f>
        <v>41107.584166666667</v>
      </c>
      <c r="C716">
        <v>1377.8961182</v>
      </c>
      <c r="D716">
        <v>1364.4702147999999</v>
      </c>
      <c r="E716">
        <v>1291.9422606999999</v>
      </c>
      <c r="F716">
        <v>1272.6235352000001</v>
      </c>
      <c r="G716">
        <v>2400</v>
      </c>
      <c r="H716">
        <v>0</v>
      </c>
      <c r="I716">
        <v>0</v>
      </c>
      <c r="J716">
        <v>2400</v>
      </c>
      <c r="K716">
        <v>80</v>
      </c>
      <c r="L716">
        <v>79.968887328999998</v>
      </c>
      <c r="M716">
        <v>50</v>
      </c>
      <c r="N716">
        <v>48.382999419999997</v>
      </c>
    </row>
    <row r="717" spans="1:14" x14ac:dyDescent="0.25">
      <c r="A717">
        <v>810.62434499999995</v>
      </c>
      <c r="B717" s="1">
        <f>DATE(2012,7,19) + TIME(14,59,3)</f>
        <v>41109.624340277776</v>
      </c>
      <c r="C717">
        <v>1377.8514404</v>
      </c>
      <c r="D717">
        <v>1364.4349365</v>
      </c>
      <c r="E717">
        <v>1291.9229736</v>
      </c>
      <c r="F717">
        <v>1272.5914307</v>
      </c>
      <c r="G717">
        <v>2400</v>
      </c>
      <c r="H717">
        <v>0</v>
      </c>
      <c r="I717">
        <v>0</v>
      </c>
      <c r="J717">
        <v>2400</v>
      </c>
      <c r="K717">
        <v>80</v>
      </c>
      <c r="L717">
        <v>79.968917847</v>
      </c>
      <c r="M717">
        <v>50</v>
      </c>
      <c r="N717">
        <v>48.343727112000003</v>
      </c>
    </row>
    <row r="718" spans="1:14" x14ac:dyDescent="0.25">
      <c r="A718">
        <v>812.67743800000005</v>
      </c>
      <c r="B718" s="1">
        <f>DATE(2012,7,21) + TIME(16,15,30)</f>
        <v>41111.677430555559</v>
      </c>
      <c r="C718">
        <v>1377.8073730000001</v>
      </c>
      <c r="D718">
        <v>1364.4000243999999</v>
      </c>
      <c r="E718">
        <v>1291.902832</v>
      </c>
      <c r="F718">
        <v>1272.5579834</v>
      </c>
      <c r="G718">
        <v>2400</v>
      </c>
      <c r="H718">
        <v>0</v>
      </c>
      <c r="I718">
        <v>0</v>
      </c>
      <c r="J718">
        <v>2400</v>
      </c>
      <c r="K718">
        <v>80</v>
      </c>
      <c r="L718">
        <v>79.968948363999999</v>
      </c>
      <c r="M718">
        <v>50</v>
      </c>
      <c r="N718">
        <v>48.303825377999999</v>
      </c>
    </row>
    <row r="719" spans="1:14" x14ac:dyDescent="0.25">
      <c r="A719">
        <v>814.75560700000005</v>
      </c>
      <c r="B719" s="1">
        <f>DATE(2012,7,23) + TIME(18,8,4)</f>
        <v>41113.755601851852</v>
      </c>
      <c r="C719">
        <v>1377.7639160000001</v>
      </c>
      <c r="D719">
        <v>1364.3654785000001</v>
      </c>
      <c r="E719">
        <v>1291.8822021000001</v>
      </c>
      <c r="F719">
        <v>1272.5230713000001</v>
      </c>
      <c r="G719">
        <v>2400</v>
      </c>
      <c r="H719">
        <v>0</v>
      </c>
      <c r="I719">
        <v>0</v>
      </c>
      <c r="J719">
        <v>2400</v>
      </c>
      <c r="K719">
        <v>80</v>
      </c>
      <c r="L719">
        <v>79.968978882000002</v>
      </c>
      <c r="M719">
        <v>50</v>
      </c>
      <c r="N719">
        <v>48.263420105000002</v>
      </c>
    </row>
    <row r="720" spans="1:14" x14ac:dyDescent="0.25">
      <c r="A720">
        <v>816.87124600000004</v>
      </c>
      <c r="B720" s="1">
        <f>DATE(2012,7,25) + TIME(20,54,35)</f>
        <v>41115.871238425927</v>
      </c>
      <c r="C720">
        <v>1377.7208252</v>
      </c>
      <c r="D720">
        <v>1364.3310547000001</v>
      </c>
      <c r="E720">
        <v>1291.8607178</v>
      </c>
      <c r="F720">
        <v>1272.4865723</v>
      </c>
      <c r="G720">
        <v>2400</v>
      </c>
      <c r="H720">
        <v>0</v>
      </c>
      <c r="I720">
        <v>0</v>
      </c>
      <c r="J720">
        <v>2400</v>
      </c>
      <c r="K720">
        <v>80</v>
      </c>
      <c r="L720">
        <v>79.969017029</v>
      </c>
      <c r="M720">
        <v>50</v>
      </c>
      <c r="N720">
        <v>48.222396850999999</v>
      </c>
    </row>
    <row r="721" spans="1:14" x14ac:dyDescent="0.25">
      <c r="A721">
        <v>819.03722200000004</v>
      </c>
      <c r="B721" s="1">
        <f>DATE(2012,7,28) + TIME(0,53,35)</f>
        <v>41118.037210648145</v>
      </c>
      <c r="C721">
        <v>1377.6777344</v>
      </c>
      <c r="D721">
        <v>1364.2967529</v>
      </c>
      <c r="E721">
        <v>1291.8382568</v>
      </c>
      <c r="F721">
        <v>1272.4483643000001</v>
      </c>
      <c r="G721">
        <v>2400</v>
      </c>
      <c r="H721">
        <v>0</v>
      </c>
      <c r="I721">
        <v>0</v>
      </c>
      <c r="J721">
        <v>2400</v>
      </c>
      <c r="K721">
        <v>80</v>
      </c>
      <c r="L721">
        <v>79.969055175999998</v>
      </c>
      <c r="M721">
        <v>50</v>
      </c>
      <c r="N721">
        <v>48.180576324</v>
      </c>
    </row>
    <row r="722" spans="1:14" x14ac:dyDescent="0.25">
      <c r="A722">
        <v>821.26466100000005</v>
      </c>
      <c r="B722" s="1">
        <f>DATE(2012,7,30) + TIME(6,21,6)</f>
        <v>41120.264652777776</v>
      </c>
      <c r="C722">
        <v>1377.6345214999999</v>
      </c>
      <c r="D722">
        <v>1364.262207</v>
      </c>
      <c r="E722">
        <v>1291.8148193</v>
      </c>
      <c r="F722">
        <v>1272.4080810999999</v>
      </c>
      <c r="G722">
        <v>2400</v>
      </c>
      <c r="H722">
        <v>0</v>
      </c>
      <c r="I722">
        <v>0</v>
      </c>
      <c r="J722">
        <v>2400</v>
      </c>
      <c r="K722">
        <v>80</v>
      </c>
      <c r="L722">
        <v>79.969085692999997</v>
      </c>
      <c r="M722">
        <v>50</v>
      </c>
      <c r="N722">
        <v>48.137752532999997</v>
      </c>
    </row>
    <row r="723" spans="1:14" x14ac:dyDescent="0.25">
      <c r="A723">
        <v>823</v>
      </c>
      <c r="B723" s="1">
        <f>DATE(2012,8,1) + TIME(0,0,0)</f>
        <v>41122</v>
      </c>
      <c r="C723">
        <v>1377.5909423999999</v>
      </c>
      <c r="D723">
        <v>1364.2272949000001</v>
      </c>
      <c r="E723">
        <v>1291.7904053</v>
      </c>
      <c r="F723">
        <v>1272.3668213000001</v>
      </c>
      <c r="G723">
        <v>2400</v>
      </c>
      <c r="H723">
        <v>0</v>
      </c>
      <c r="I723">
        <v>0</v>
      </c>
      <c r="J723">
        <v>2400</v>
      </c>
      <c r="K723">
        <v>80</v>
      </c>
      <c r="L723">
        <v>79.969116210999999</v>
      </c>
      <c r="M723">
        <v>50</v>
      </c>
      <c r="N723">
        <v>48.097312926999997</v>
      </c>
    </row>
    <row r="724" spans="1:14" x14ac:dyDescent="0.25">
      <c r="A724">
        <v>825.29202799999996</v>
      </c>
      <c r="B724" s="1">
        <f>DATE(2012,8,3) + TIME(7,0,31)</f>
        <v>41124.292025462964</v>
      </c>
      <c r="C724">
        <v>1377.5574951000001</v>
      </c>
      <c r="D724">
        <v>1364.2005615</v>
      </c>
      <c r="E724">
        <v>1291.7703856999999</v>
      </c>
      <c r="F724">
        <v>1272.3304443</v>
      </c>
      <c r="G724">
        <v>2400</v>
      </c>
      <c r="H724">
        <v>0</v>
      </c>
      <c r="I724">
        <v>0</v>
      </c>
      <c r="J724">
        <v>2400</v>
      </c>
      <c r="K724">
        <v>80</v>
      </c>
      <c r="L724">
        <v>79.969154357999997</v>
      </c>
      <c r="M724">
        <v>50</v>
      </c>
      <c r="N724">
        <v>48.057903289999999</v>
      </c>
    </row>
    <row r="725" spans="1:14" x14ac:dyDescent="0.25">
      <c r="A725">
        <v>827.63141299999995</v>
      </c>
      <c r="B725" s="1">
        <f>DATE(2012,8,5) + TIME(15,9,14)</f>
        <v>41126.631412037037</v>
      </c>
      <c r="C725">
        <v>1377.5141602000001</v>
      </c>
      <c r="D725">
        <v>1364.1657714999999</v>
      </c>
      <c r="E725">
        <v>1291.7446289</v>
      </c>
      <c r="F725">
        <v>1272.2856445</v>
      </c>
      <c r="G725">
        <v>2400</v>
      </c>
      <c r="H725">
        <v>0</v>
      </c>
      <c r="I725">
        <v>0</v>
      </c>
      <c r="J725">
        <v>2400</v>
      </c>
      <c r="K725">
        <v>80</v>
      </c>
      <c r="L725">
        <v>79.969192504999995</v>
      </c>
      <c r="M725">
        <v>50</v>
      </c>
      <c r="N725">
        <v>48.014202118</v>
      </c>
    </row>
    <row r="726" spans="1:14" x14ac:dyDescent="0.25">
      <c r="A726">
        <v>829.99748799999998</v>
      </c>
      <c r="B726" s="1">
        <f>DATE(2012,8,7) + TIME(23,56,22)</f>
        <v>41128.997476851851</v>
      </c>
      <c r="C726">
        <v>1377.4707031</v>
      </c>
      <c r="D726">
        <v>1364.1308594</v>
      </c>
      <c r="E726">
        <v>1291.7176514</v>
      </c>
      <c r="F726">
        <v>1272.2381591999999</v>
      </c>
      <c r="G726">
        <v>2400</v>
      </c>
      <c r="H726">
        <v>0</v>
      </c>
      <c r="I726">
        <v>0</v>
      </c>
      <c r="J726">
        <v>2400</v>
      </c>
      <c r="K726">
        <v>80</v>
      </c>
      <c r="L726">
        <v>79.969230651999993</v>
      </c>
      <c r="M726">
        <v>50</v>
      </c>
      <c r="N726">
        <v>47.968929291000002</v>
      </c>
    </row>
    <row r="727" spans="1:14" x14ac:dyDescent="0.25">
      <c r="A727">
        <v>832.40456800000004</v>
      </c>
      <c r="B727" s="1">
        <f>DATE(2012,8,10) + TIME(9,42,34)</f>
        <v>41131.404560185183</v>
      </c>
      <c r="C727">
        <v>1377.4276123</v>
      </c>
      <c r="D727">
        <v>1364.0960693</v>
      </c>
      <c r="E727">
        <v>1291.6898193</v>
      </c>
      <c r="F727">
        <v>1272.1887207</v>
      </c>
      <c r="G727">
        <v>2400</v>
      </c>
      <c r="H727">
        <v>0</v>
      </c>
      <c r="I727">
        <v>0</v>
      </c>
      <c r="J727">
        <v>2400</v>
      </c>
      <c r="K727">
        <v>80</v>
      </c>
      <c r="L727">
        <v>79.969276428000001</v>
      </c>
      <c r="M727">
        <v>50</v>
      </c>
      <c r="N727">
        <v>47.923015593999999</v>
      </c>
    </row>
    <row r="728" spans="1:14" x14ac:dyDescent="0.25">
      <c r="A728">
        <v>834.85932200000002</v>
      </c>
      <c r="B728" s="1">
        <f>DATE(2012,8,12) + TIME(20,37,25)</f>
        <v>41133.859317129631</v>
      </c>
      <c r="C728">
        <v>1377.3845214999999</v>
      </c>
      <c r="D728">
        <v>1364.0612793</v>
      </c>
      <c r="E728">
        <v>1291.6612548999999</v>
      </c>
      <c r="F728">
        <v>1272.1375731999999</v>
      </c>
      <c r="G728">
        <v>2400</v>
      </c>
      <c r="H728">
        <v>0</v>
      </c>
      <c r="I728">
        <v>0</v>
      </c>
      <c r="J728">
        <v>2400</v>
      </c>
      <c r="K728">
        <v>80</v>
      </c>
      <c r="L728">
        <v>79.969314574999999</v>
      </c>
      <c r="M728">
        <v>50</v>
      </c>
      <c r="N728">
        <v>47.876636505</v>
      </c>
    </row>
    <row r="729" spans="1:14" x14ac:dyDescent="0.25">
      <c r="A729">
        <v>837.37457700000004</v>
      </c>
      <c r="B729" s="1">
        <f>DATE(2012,8,15) + TIME(8,59,23)</f>
        <v>41136.374571759261</v>
      </c>
      <c r="C729">
        <v>1377.3414307</v>
      </c>
      <c r="D729">
        <v>1364.0264893000001</v>
      </c>
      <c r="E729">
        <v>1291.6318358999999</v>
      </c>
      <c r="F729">
        <v>1272.0844727000001</v>
      </c>
      <c r="G729">
        <v>2400</v>
      </c>
      <c r="H729">
        <v>0</v>
      </c>
      <c r="I729">
        <v>0</v>
      </c>
      <c r="J729">
        <v>2400</v>
      </c>
      <c r="K729">
        <v>80</v>
      </c>
      <c r="L729">
        <v>79.969360351999995</v>
      </c>
      <c r="M729">
        <v>50</v>
      </c>
      <c r="N729">
        <v>47.829822540000002</v>
      </c>
    </row>
    <row r="730" spans="1:14" x14ac:dyDescent="0.25">
      <c r="A730">
        <v>839.93927099999996</v>
      </c>
      <c r="B730" s="1">
        <f>DATE(2012,8,17) + TIME(22,32,32)</f>
        <v>41138.939259259256</v>
      </c>
      <c r="C730">
        <v>1377.2980957</v>
      </c>
      <c r="D730">
        <v>1363.9913329999999</v>
      </c>
      <c r="E730">
        <v>1291.6015625</v>
      </c>
      <c r="F730">
        <v>1272.0292969</v>
      </c>
      <c r="G730">
        <v>2400</v>
      </c>
      <c r="H730">
        <v>0</v>
      </c>
      <c r="I730">
        <v>0</v>
      </c>
      <c r="J730">
        <v>2400</v>
      </c>
      <c r="K730">
        <v>80</v>
      </c>
      <c r="L730">
        <v>79.969406128000003</v>
      </c>
      <c r="M730">
        <v>50</v>
      </c>
      <c r="N730">
        <v>47.782630920000003</v>
      </c>
    </row>
    <row r="731" spans="1:14" x14ac:dyDescent="0.25">
      <c r="A731">
        <v>842.54098499999998</v>
      </c>
      <c r="B731" s="1">
        <f>DATE(2012,8,20) + TIME(12,59,1)</f>
        <v>41141.540983796294</v>
      </c>
      <c r="C731">
        <v>1377.2546387</v>
      </c>
      <c r="D731">
        <v>1363.9559326000001</v>
      </c>
      <c r="E731">
        <v>1291.5704346</v>
      </c>
      <c r="F731">
        <v>1271.9722899999999</v>
      </c>
      <c r="G731">
        <v>2400</v>
      </c>
      <c r="H731">
        <v>0</v>
      </c>
      <c r="I731">
        <v>0</v>
      </c>
      <c r="J731">
        <v>2400</v>
      </c>
      <c r="K731">
        <v>80</v>
      </c>
      <c r="L731">
        <v>79.969444275000001</v>
      </c>
      <c r="M731">
        <v>50</v>
      </c>
      <c r="N731">
        <v>47.735378265000001</v>
      </c>
    </row>
    <row r="732" spans="1:14" x14ac:dyDescent="0.25">
      <c r="A732">
        <v>845.195739</v>
      </c>
      <c r="B732" s="1">
        <f>DATE(2012,8,23) + TIME(4,41,51)</f>
        <v>41144.195729166669</v>
      </c>
      <c r="C732">
        <v>1377.2113036999999</v>
      </c>
      <c r="D732">
        <v>1363.9207764</v>
      </c>
      <c r="E732">
        <v>1291.5389404</v>
      </c>
      <c r="F732">
        <v>1271.9139404</v>
      </c>
      <c r="G732">
        <v>2400</v>
      </c>
      <c r="H732">
        <v>0</v>
      </c>
      <c r="I732">
        <v>0</v>
      </c>
      <c r="J732">
        <v>2400</v>
      </c>
      <c r="K732">
        <v>80</v>
      </c>
      <c r="L732">
        <v>79.969490050999994</v>
      </c>
      <c r="M732">
        <v>50</v>
      </c>
      <c r="N732">
        <v>47.688350677000003</v>
      </c>
    </row>
    <row r="733" spans="1:14" x14ac:dyDescent="0.25">
      <c r="A733">
        <v>847.88362600000005</v>
      </c>
      <c r="B733" s="1">
        <f>DATE(2012,8,25) + TIME(21,12,25)</f>
        <v>41146.883622685185</v>
      </c>
      <c r="C733">
        <v>1377.1678466999999</v>
      </c>
      <c r="D733">
        <v>1363.885376</v>
      </c>
      <c r="E733">
        <v>1291.5068358999999</v>
      </c>
      <c r="F733">
        <v>1271.8538818</v>
      </c>
      <c r="G733">
        <v>2400</v>
      </c>
      <c r="H733">
        <v>0</v>
      </c>
      <c r="I733">
        <v>0</v>
      </c>
      <c r="J733">
        <v>2400</v>
      </c>
      <c r="K733">
        <v>80</v>
      </c>
      <c r="L733">
        <v>79.969535828000005</v>
      </c>
      <c r="M733">
        <v>50</v>
      </c>
      <c r="N733">
        <v>47.641723632999998</v>
      </c>
    </row>
    <row r="734" spans="1:14" x14ac:dyDescent="0.25">
      <c r="A734">
        <v>850.61564099999998</v>
      </c>
      <c r="B734" s="1">
        <f>DATE(2012,8,28) + TIME(14,46,31)</f>
        <v>41149.615636574075</v>
      </c>
      <c r="C734">
        <v>1377.1246338000001</v>
      </c>
      <c r="D734">
        <v>1363.8500977000001</v>
      </c>
      <c r="E734">
        <v>1291.4744873</v>
      </c>
      <c r="F734">
        <v>1271.7928466999999</v>
      </c>
      <c r="G734">
        <v>2400</v>
      </c>
      <c r="H734">
        <v>0</v>
      </c>
      <c r="I734">
        <v>0</v>
      </c>
      <c r="J734">
        <v>2400</v>
      </c>
      <c r="K734">
        <v>80</v>
      </c>
      <c r="L734">
        <v>79.969589232999994</v>
      </c>
      <c r="M734">
        <v>50</v>
      </c>
      <c r="N734">
        <v>47.595878601000003</v>
      </c>
    </row>
    <row r="735" spans="1:14" x14ac:dyDescent="0.25">
      <c r="A735">
        <v>853.40831300000002</v>
      </c>
      <c r="B735" s="1">
        <f>DATE(2012,8,31) + TIME(9,47,58)</f>
        <v>41152.408310185187</v>
      </c>
      <c r="C735">
        <v>1377.081543</v>
      </c>
      <c r="D735">
        <v>1363.8146973</v>
      </c>
      <c r="E735">
        <v>1291.4420166</v>
      </c>
      <c r="F735">
        <v>1271.7308350000001</v>
      </c>
      <c r="G735">
        <v>2400</v>
      </c>
      <c r="H735">
        <v>0</v>
      </c>
      <c r="I735">
        <v>0</v>
      </c>
      <c r="J735">
        <v>2400</v>
      </c>
      <c r="K735">
        <v>80</v>
      </c>
      <c r="L735">
        <v>79.969635010000005</v>
      </c>
      <c r="M735">
        <v>50</v>
      </c>
      <c r="N735">
        <v>47.550956726000003</v>
      </c>
    </row>
    <row r="736" spans="1:14" x14ac:dyDescent="0.25">
      <c r="A736">
        <v>854</v>
      </c>
      <c r="B736" s="1">
        <f>DATE(2012,9,1) + TIME(0,0,0)</f>
        <v>41153</v>
      </c>
      <c r="C736">
        <v>1377.0383300999999</v>
      </c>
      <c r="D736">
        <v>1363.7792969</v>
      </c>
      <c r="E736">
        <v>1291.4122314000001</v>
      </c>
      <c r="F736">
        <v>1271.6796875</v>
      </c>
      <c r="G736">
        <v>2400</v>
      </c>
      <c r="H736">
        <v>0</v>
      </c>
      <c r="I736">
        <v>0</v>
      </c>
      <c r="J736">
        <v>2400</v>
      </c>
      <c r="K736">
        <v>80</v>
      </c>
      <c r="L736">
        <v>79.969635010000005</v>
      </c>
      <c r="M736">
        <v>50</v>
      </c>
      <c r="N736">
        <v>47.527584075999997</v>
      </c>
    </row>
    <row r="737" spans="1:14" x14ac:dyDescent="0.25">
      <c r="A737">
        <v>856.82841900000005</v>
      </c>
      <c r="B737" s="1">
        <f>DATE(2012,9,3) + TIME(19,52,55)</f>
        <v>41155.828414351854</v>
      </c>
      <c r="C737">
        <v>1377.0290527</v>
      </c>
      <c r="D737">
        <v>1363.7716064000001</v>
      </c>
      <c r="E737">
        <v>1291.4005127</v>
      </c>
      <c r="F737">
        <v>1271.6501464999999</v>
      </c>
      <c r="G737">
        <v>2400</v>
      </c>
      <c r="H737">
        <v>0</v>
      </c>
      <c r="I737">
        <v>0</v>
      </c>
      <c r="J737">
        <v>2400</v>
      </c>
      <c r="K737">
        <v>80</v>
      </c>
      <c r="L737">
        <v>79.969696045000006</v>
      </c>
      <c r="M737">
        <v>50</v>
      </c>
      <c r="N737">
        <v>47.495117188000002</v>
      </c>
    </row>
    <row r="738" spans="1:14" x14ac:dyDescent="0.25">
      <c r="A738">
        <v>859.70806800000003</v>
      </c>
      <c r="B738" s="1">
        <f>DATE(2012,9,6) + TIME(16,59,37)</f>
        <v>41158.708067129628</v>
      </c>
      <c r="C738">
        <v>1376.9860839999999</v>
      </c>
      <c r="D738">
        <v>1363.7363281</v>
      </c>
      <c r="E738">
        <v>1291.3695068</v>
      </c>
      <c r="F738">
        <v>1271.5898437999999</v>
      </c>
      <c r="G738">
        <v>2400</v>
      </c>
      <c r="H738">
        <v>0</v>
      </c>
      <c r="I738">
        <v>0</v>
      </c>
      <c r="J738">
        <v>2400</v>
      </c>
      <c r="K738">
        <v>80</v>
      </c>
      <c r="L738">
        <v>79.969741821</v>
      </c>
      <c r="M738">
        <v>50</v>
      </c>
      <c r="N738">
        <v>47.456047058000003</v>
      </c>
    </row>
    <row r="739" spans="1:14" x14ac:dyDescent="0.25">
      <c r="A739">
        <v>862.64816399999995</v>
      </c>
      <c r="B739" s="1">
        <f>DATE(2012,9,9) + TIME(15,33,21)</f>
        <v>41161.648159722223</v>
      </c>
      <c r="C739">
        <v>1376.9429932</v>
      </c>
      <c r="D739">
        <v>1363.7006836</v>
      </c>
      <c r="E739">
        <v>1291.3376464999999</v>
      </c>
      <c r="F739">
        <v>1271.5266113</v>
      </c>
      <c r="G739">
        <v>2400</v>
      </c>
      <c r="H739">
        <v>0</v>
      </c>
      <c r="I739">
        <v>0</v>
      </c>
      <c r="J739">
        <v>2400</v>
      </c>
      <c r="K739">
        <v>80</v>
      </c>
      <c r="L739">
        <v>79.969795227000006</v>
      </c>
      <c r="M739">
        <v>50</v>
      </c>
      <c r="N739">
        <v>47.417045592999997</v>
      </c>
    </row>
    <row r="740" spans="1:14" x14ac:dyDescent="0.25">
      <c r="A740">
        <v>865.66188899999997</v>
      </c>
      <c r="B740" s="1">
        <f>DATE(2012,9,12) + TIME(15,53,7)</f>
        <v>41164.661886574075</v>
      </c>
      <c r="C740">
        <v>1376.8996582</v>
      </c>
      <c r="D740">
        <v>1363.6649170000001</v>
      </c>
      <c r="E740">
        <v>1291.3057861</v>
      </c>
      <c r="F740">
        <v>1271.4626464999999</v>
      </c>
      <c r="G740">
        <v>2400</v>
      </c>
      <c r="H740">
        <v>0</v>
      </c>
      <c r="I740">
        <v>0</v>
      </c>
      <c r="J740">
        <v>2400</v>
      </c>
      <c r="K740">
        <v>80</v>
      </c>
      <c r="L740">
        <v>79.969848632999998</v>
      </c>
      <c r="M740">
        <v>50</v>
      </c>
      <c r="N740">
        <v>47.379917145</v>
      </c>
    </row>
    <row r="741" spans="1:14" x14ac:dyDescent="0.25">
      <c r="A741">
        <v>868.72276699999998</v>
      </c>
      <c r="B741" s="1">
        <f>DATE(2012,9,15) + TIME(17,20,47)</f>
        <v>41167.722766203704</v>
      </c>
      <c r="C741">
        <v>1376.855957</v>
      </c>
      <c r="D741">
        <v>1363.6287841999999</v>
      </c>
      <c r="E741">
        <v>1291.2744141000001</v>
      </c>
      <c r="F741">
        <v>1271.3984375</v>
      </c>
      <c r="G741">
        <v>2400</v>
      </c>
      <c r="H741">
        <v>0</v>
      </c>
      <c r="I741">
        <v>0</v>
      </c>
      <c r="J741">
        <v>2400</v>
      </c>
      <c r="K741">
        <v>80</v>
      </c>
      <c r="L741">
        <v>79.969902039000004</v>
      </c>
      <c r="M741">
        <v>50</v>
      </c>
      <c r="N741">
        <v>47.345500946000001</v>
      </c>
    </row>
    <row r="742" spans="1:14" x14ac:dyDescent="0.25">
      <c r="A742">
        <v>871.81818899999996</v>
      </c>
      <c r="B742" s="1">
        <f>DATE(2012,9,18) + TIME(19,38,11)</f>
        <v>41170.818182870367</v>
      </c>
      <c r="C742">
        <v>1376.8123779</v>
      </c>
      <c r="D742">
        <v>1363.5925293</v>
      </c>
      <c r="E742">
        <v>1291.2438964999999</v>
      </c>
      <c r="F742">
        <v>1271.3349608999999</v>
      </c>
      <c r="G742">
        <v>2400</v>
      </c>
      <c r="H742">
        <v>0</v>
      </c>
      <c r="I742">
        <v>0</v>
      </c>
      <c r="J742">
        <v>2400</v>
      </c>
      <c r="K742">
        <v>80</v>
      </c>
      <c r="L742">
        <v>79.969955443999993</v>
      </c>
      <c r="M742">
        <v>50</v>
      </c>
      <c r="N742">
        <v>47.314636229999998</v>
      </c>
    </row>
    <row r="743" spans="1:14" x14ac:dyDescent="0.25">
      <c r="A743">
        <v>874.94390799999996</v>
      </c>
      <c r="B743" s="1">
        <f>DATE(2012,9,21) + TIME(22,39,13)</f>
        <v>41173.94390046296</v>
      </c>
      <c r="C743">
        <v>1376.7689209</v>
      </c>
      <c r="D743">
        <v>1363.5563964999999</v>
      </c>
      <c r="E743">
        <v>1291.2147216999999</v>
      </c>
      <c r="F743">
        <v>1271.2729492000001</v>
      </c>
      <c r="G743">
        <v>2400</v>
      </c>
      <c r="H743">
        <v>0</v>
      </c>
      <c r="I743">
        <v>0</v>
      </c>
      <c r="J743">
        <v>2400</v>
      </c>
      <c r="K743">
        <v>80</v>
      </c>
      <c r="L743">
        <v>79.970008849999999</v>
      </c>
      <c r="M743">
        <v>50</v>
      </c>
      <c r="N743">
        <v>47.288043975999997</v>
      </c>
    </row>
    <row r="744" spans="1:14" x14ac:dyDescent="0.25">
      <c r="A744">
        <v>878.11843399999998</v>
      </c>
      <c r="B744" s="1">
        <f>DATE(2012,9,25) + TIME(2,50,32)</f>
        <v>41177.118425925924</v>
      </c>
      <c r="C744">
        <v>1376.7257079999999</v>
      </c>
      <c r="D744">
        <v>1363.5203856999999</v>
      </c>
      <c r="E744">
        <v>1291.1871338000001</v>
      </c>
      <c r="F744">
        <v>1271.2128906</v>
      </c>
      <c r="G744">
        <v>2400</v>
      </c>
      <c r="H744">
        <v>0</v>
      </c>
      <c r="I744">
        <v>0</v>
      </c>
      <c r="J744">
        <v>2400</v>
      </c>
      <c r="K744">
        <v>80</v>
      </c>
      <c r="L744">
        <v>79.970062256000006</v>
      </c>
      <c r="M744">
        <v>50</v>
      </c>
      <c r="N744">
        <v>47.266307830999999</v>
      </c>
    </row>
    <row r="745" spans="1:14" x14ac:dyDescent="0.25">
      <c r="A745">
        <v>881.36100399999998</v>
      </c>
      <c r="B745" s="1">
        <f>DATE(2012,9,28) + TIME(8,39,50)</f>
        <v>41180.360995370371</v>
      </c>
      <c r="C745">
        <v>1376.6824951000001</v>
      </c>
      <c r="D745">
        <v>1363.4842529</v>
      </c>
      <c r="E745">
        <v>1291.1612548999999</v>
      </c>
      <c r="F745">
        <v>1271.1547852000001</v>
      </c>
      <c r="G745">
        <v>2400</v>
      </c>
      <c r="H745">
        <v>0</v>
      </c>
      <c r="I745">
        <v>0</v>
      </c>
      <c r="J745">
        <v>2400</v>
      </c>
      <c r="K745">
        <v>80</v>
      </c>
      <c r="L745">
        <v>79.970115661999998</v>
      </c>
      <c r="M745">
        <v>50</v>
      </c>
      <c r="N745">
        <v>47.249992370999998</v>
      </c>
    </row>
    <row r="746" spans="1:14" x14ac:dyDescent="0.25">
      <c r="A746">
        <v>884</v>
      </c>
      <c r="B746" s="1">
        <f>DATE(2012,10,1) + TIME(0,0,0)</f>
        <v>41183</v>
      </c>
      <c r="C746">
        <v>1376.6390381000001</v>
      </c>
      <c r="D746">
        <v>1363.4477539</v>
      </c>
      <c r="E746">
        <v>1291.1378173999999</v>
      </c>
      <c r="F746">
        <v>1271.1005858999999</v>
      </c>
      <c r="G746">
        <v>2400</v>
      </c>
      <c r="H746">
        <v>0</v>
      </c>
      <c r="I746">
        <v>0</v>
      </c>
      <c r="J746">
        <v>2400</v>
      </c>
      <c r="K746">
        <v>80</v>
      </c>
      <c r="L746">
        <v>79.970161438000005</v>
      </c>
      <c r="M746">
        <v>50</v>
      </c>
      <c r="N746">
        <v>47.240333557</v>
      </c>
    </row>
    <row r="747" spans="1:14" x14ac:dyDescent="0.25">
      <c r="A747">
        <v>887.31433800000002</v>
      </c>
      <c r="B747" s="1">
        <f>DATE(2012,10,4) + TIME(7,32,38)</f>
        <v>41186.314328703702</v>
      </c>
      <c r="C747">
        <v>1376.604126</v>
      </c>
      <c r="D747">
        <v>1363.418457</v>
      </c>
      <c r="E747">
        <v>1291.1187743999999</v>
      </c>
      <c r="F747">
        <v>1271.0555420000001</v>
      </c>
      <c r="G747">
        <v>2400</v>
      </c>
      <c r="H747">
        <v>0</v>
      </c>
      <c r="I747">
        <v>0</v>
      </c>
      <c r="J747">
        <v>2400</v>
      </c>
      <c r="K747">
        <v>80</v>
      </c>
      <c r="L747">
        <v>79.970222473000007</v>
      </c>
      <c r="M747">
        <v>50</v>
      </c>
      <c r="N747">
        <v>47.237030029000003</v>
      </c>
    </row>
    <row r="748" spans="1:14" x14ac:dyDescent="0.25">
      <c r="A748">
        <v>890.71677</v>
      </c>
      <c r="B748" s="1">
        <f>DATE(2012,10,7) + TIME(17,12,8)</f>
        <v>41189.71675925926</v>
      </c>
      <c r="C748">
        <v>1376.5609131000001</v>
      </c>
      <c r="D748">
        <v>1363.3820800999999</v>
      </c>
      <c r="E748">
        <v>1291.0999756000001</v>
      </c>
      <c r="F748">
        <v>1271.0078125</v>
      </c>
      <c r="G748">
        <v>2400</v>
      </c>
      <c r="H748">
        <v>0</v>
      </c>
      <c r="I748">
        <v>0</v>
      </c>
      <c r="J748">
        <v>2400</v>
      </c>
      <c r="K748">
        <v>80</v>
      </c>
      <c r="L748">
        <v>79.970275878999999</v>
      </c>
      <c r="M748">
        <v>50</v>
      </c>
      <c r="N748">
        <v>47.240459442000002</v>
      </c>
    </row>
    <row r="749" spans="1:14" x14ac:dyDescent="0.25">
      <c r="A749">
        <v>894.15249500000004</v>
      </c>
      <c r="B749" s="1">
        <f>DATE(2012,10,11) + TIME(3,39,35)</f>
        <v>41193.152488425927</v>
      </c>
      <c r="C749">
        <v>1376.5170897999999</v>
      </c>
      <c r="D749">
        <v>1363.3450928</v>
      </c>
      <c r="E749">
        <v>1291.083374</v>
      </c>
      <c r="F749">
        <v>1270.9628906</v>
      </c>
      <c r="G749">
        <v>2400</v>
      </c>
      <c r="H749">
        <v>0</v>
      </c>
      <c r="I749">
        <v>0</v>
      </c>
      <c r="J749">
        <v>2400</v>
      </c>
      <c r="K749">
        <v>80</v>
      </c>
      <c r="L749">
        <v>79.970336914000001</v>
      </c>
      <c r="M749">
        <v>50</v>
      </c>
      <c r="N749">
        <v>47.252441406000003</v>
      </c>
    </row>
    <row r="750" spans="1:14" x14ac:dyDescent="0.25">
      <c r="A750">
        <v>897.64193599999999</v>
      </c>
      <c r="B750" s="1">
        <f>DATE(2012,10,14) + TIME(15,24,23)</f>
        <v>41196.641932870371</v>
      </c>
      <c r="C750">
        <v>1376.4735106999999</v>
      </c>
      <c r="D750">
        <v>1363.3083495999999</v>
      </c>
      <c r="E750">
        <v>1291.0698242000001</v>
      </c>
      <c r="F750">
        <v>1270.9229736</v>
      </c>
      <c r="G750">
        <v>2400</v>
      </c>
      <c r="H750">
        <v>0</v>
      </c>
      <c r="I750">
        <v>0</v>
      </c>
      <c r="J750">
        <v>2400</v>
      </c>
      <c r="K750">
        <v>80</v>
      </c>
      <c r="L750">
        <v>79.970397949000002</v>
      </c>
      <c r="M750">
        <v>50</v>
      </c>
      <c r="N750">
        <v>47.274074554000002</v>
      </c>
    </row>
    <row r="751" spans="1:14" x14ac:dyDescent="0.25">
      <c r="A751">
        <v>901.19808999999998</v>
      </c>
      <c r="B751" s="1">
        <f>DATE(2012,10,18) + TIME(4,45,14)</f>
        <v>41200.198078703703</v>
      </c>
      <c r="C751">
        <v>1376.4299315999999</v>
      </c>
      <c r="D751">
        <v>1363.2713623</v>
      </c>
      <c r="E751">
        <v>1291.0598144999999</v>
      </c>
      <c r="F751">
        <v>1270.8886719</v>
      </c>
      <c r="G751">
        <v>2400</v>
      </c>
      <c r="H751">
        <v>0</v>
      </c>
      <c r="I751">
        <v>0</v>
      </c>
      <c r="J751">
        <v>2400</v>
      </c>
      <c r="K751">
        <v>80</v>
      </c>
      <c r="L751">
        <v>79.970458984000004</v>
      </c>
      <c r="M751">
        <v>50</v>
      </c>
      <c r="N751">
        <v>47.306499481000003</v>
      </c>
    </row>
    <row r="752" spans="1:14" x14ac:dyDescent="0.25">
      <c r="A752">
        <v>904.83245299999999</v>
      </c>
      <c r="B752" s="1">
        <f>DATE(2012,10,21) + TIME(19,58,43)</f>
        <v>41203.832442129627</v>
      </c>
      <c r="C752">
        <v>1376.3861084</v>
      </c>
      <c r="D752">
        <v>1363.2341309000001</v>
      </c>
      <c r="E752">
        <v>1291.0537108999999</v>
      </c>
      <c r="F752">
        <v>1270.8608397999999</v>
      </c>
      <c r="G752">
        <v>2400</v>
      </c>
      <c r="H752">
        <v>0</v>
      </c>
      <c r="I752">
        <v>0</v>
      </c>
      <c r="J752">
        <v>2400</v>
      </c>
      <c r="K752">
        <v>80</v>
      </c>
      <c r="L752">
        <v>79.970520019999995</v>
      </c>
      <c r="M752">
        <v>50</v>
      </c>
      <c r="N752">
        <v>47.351001740000001</v>
      </c>
    </row>
    <row r="753" spans="1:14" x14ac:dyDescent="0.25">
      <c r="A753">
        <v>908.54357700000003</v>
      </c>
      <c r="B753" s="1">
        <f>DATE(2012,10,25) + TIME(13,2,45)</f>
        <v>41207.543576388889</v>
      </c>
      <c r="C753">
        <v>1376.3420410000001</v>
      </c>
      <c r="D753">
        <v>1363.1965332</v>
      </c>
      <c r="E753">
        <v>1291.0518798999999</v>
      </c>
      <c r="F753">
        <v>1270.8399658000001</v>
      </c>
      <c r="G753">
        <v>2400</v>
      </c>
      <c r="H753">
        <v>0</v>
      </c>
      <c r="I753">
        <v>0</v>
      </c>
      <c r="J753">
        <v>2400</v>
      </c>
      <c r="K753">
        <v>80</v>
      </c>
      <c r="L753">
        <v>79.970581054999997</v>
      </c>
      <c r="M753">
        <v>50</v>
      </c>
      <c r="N753">
        <v>47.408901215</v>
      </c>
    </row>
    <row r="754" spans="1:14" x14ac:dyDescent="0.25">
      <c r="A754">
        <v>912.28730599999994</v>
      </c>
      <c r="B754" s="1">
        <f>DATE(2012,10,29) + TIME(6,53,43)</f>
        <v>41211.287303240744</v>
      </c>
      <c r="C754">
        <v>1376.2976074000001</v>
      </c>
      <c r="D754">
        <v>1363.1585693</v>
      </c>
      <c r="E754">
        <v>1291.0546875</v>
      </c>
      <c r="F754">
        <v>1270.8272704999999</v>
      </c>
      <c r="G754">
        <v>2400</v>
      </c>
      <c r="H754">
        <v>0</v>
      </c>
      <c r="I754">
        <v>0</v>
      </c>
      <c r="J754">
        <v>2400</v>
      </c>
      <c r="K754">
        <v>80</v>
      </c>
      <c r="L754">
        <v>79.970642089999998</v>
      </c>
      <c r="M754">
        <v>50</v>
      </c>
      <c r="N754">
        <v>47.481449126999998</v>
      </c>
    </row>
    <row r="755" spans="1:14" x14ac:dyDescent="0.25">
      <c r="A755">
        <v>915</v>
      </c>
      <c r="B755" s="1">
        <f>DATE(2012,11,1) + TIME(0,0,0)</f>
        <v>41214</v>
      </c>
      <c r="C755">
        <v>1376.253418</v>
      </c>
      <c r="D755">
        <v>1363.1207274999999</v>
      </c>
      <c r="E755">
        <v>1291.0640868999999</v>
      </c>
      <c r="F755">
        <v>1270.8243408000001</v>
      </c>
      <c r="G755">
        <v>2400</v>
      </c>
      <c r="H755">
        <v>0</v>
      </c>
      <c r="I755">
        <v>0</v>
      </c>
      <c r="J755">
        <v>2400</v>
      </c>
      <c r="K755">
        <v>80</v>
      </c>
      <c r="L755">
        <v>79.970687866000006</v>
      </c>
      <c r="M755">
        <v>50</v>
      </c>
      <c r="N755">
        <v>47.563354492000002</v>
      </c>
    </row>
    <row r="756" spans="1:14" x14ac:dyDescent="0.25">
      <c r="A756">
        <v>915.000001</v>
      </c>
      <c r="B756" s="1">
        <f>DATE(2012,11,1) + TIME(0,0,0)</f>
        <v>41214</v>
      </c>
      <c r="C756">
        <v>1362.2487793</v>
      </c>
      <c r="D756">
        <v>1350.0687256000001</v>
      </c>
      <c r="E756">
        <v>1312.057251</v>
      </c>
      <c r="F756">
        <v>1291.9494629000001</v>
      </c>
      <c r="G756">
        <v>0</v>
      </c>
      <c r="H756">
        <v>2400</v>
      </c>
      <c r="I756">
        <v>2400</v>
      </c>
      <c r="J756">
        <v>0</v>
      </c>
      <c r="K756">
        <v>80</v>
      </c>
      <c r="L756">
        <v>79.970565796000002</v>
      </c>
      <c r="M756">
        <v>50</v>
      </c>
      <c r="N756">
        <v>47.563465118000003</v>
      </c>
    </row>
    <row r="757" spans="1:14" x14ac:dyDescent="0.25">
      <c r="A757">
        <v>915.00000399999999</v>
      </c>
      <c r="B757" s="1">
        <f>DATE(2012,11,1) + TIME(0,0,0)</f>
        <v>41214</v>
      </c>
      <c r="C757">
        <v>1360.0460204999999</v>
      </c>
      <c r="D757">
        <v>1347.8656006000001</v>
      </c>
      <c r="E757">
        <v>1314.4053954999999</v>
      </c>
      <c r="F757">
        <v>1294.3204346</v>
      </c>
      <c r="G757">
        <v>0</v>
      </c>
      <c r="H757">
        <v>2400</v>
      </c>
      <c r="I757">
        <v>2400</v>
      </c>
      <c r="J757">
        <v>0</v>
      </c>
      <c r="K757">
        <v>80</v>
      </c>
      <c r="L757">
        <v>79.970252990999995</v>
      </c>
      <c r="M757">
        <v>50</v>
      </c>
      <c r="N757">
        <v>47.563770294000001</v>
      </c>
    </row>
    <row r="758" spans="1:14" x14ac:dyDescent="0.25">
      <c r="A758">
        <v>915.00001299999997</v>
      </c>
      <c r="B758" s="1">
        <f>DATE(2012,11,1) + TIME(0,0,1)</f>
        <v>41214.000011574077</v>
      </c>
      <c r="C758">
        <v>1355.5997314000001</v>
      </c>
      <c r="D758">
        <v>1343.4189452999999</v>
      </c>
      <c r="E758">
        <v>1319.7342529</v>
      </c>
      <c r="F758">
        <v>1299.684082</v>
      </c>
      <c r="G758">
        <v>0</v>
      </c>
      <c r="H758">
        <v>2400</v>
      </c>
      <c r="I758">
        <v>2400</v>
      </c>
      <c r="J758">
        <v>0</v>
      </c>
      <c r="K758">
        <v>80</v>
      </c>
      <c r="L758">
        <v>79.969619750999996</v>
      </c>
      <c r="M758">
        <v>50</v>
      </c>
      <c r="N758">
        <v>47.564464569000002</v>
      </c>
    </row>
    <row r="759" spans="1:14" x14ac:dyDescent="0.25">
      <c r="A759">
        <v>915.00004000000001</v>
      </c>
      <c r="B759" s="1">
        <f>DATE(2012,11,1) + TIME(0,0,3)</f>
        <v>41214.000034722223</v>
      </c>
      <c r="C759">
        <v>1349.1053466999999</v>
      </c>
      <c r="D759">
        <v>1336.9259033000001</v>
      </c>
      <c r="E759">
        <v>1328.7829589999999</v>
      </c>
      <c r="F759">
        <v>1308.753418</v>
      </c>
      <c r="G759">
        <v>0</v>
      </c>
      <c r="H759">
        <v>2400</v>
      </c>
      <c r="I759">
        <v>2400</v>
      </c>
      <c r="J759">
        <v>0</v>
      </c>
      <c r="K759">
        <v>80</v>
      </c>
      <c r="L759">
        <v>79.968696593999994</v>
      </c>
      <c r="M759">
        <v>50</v>
      </c>
      <c r="N759">
        <v>47.565673828000001</v>
      </c>
    </row>
    <row r="760" spans="1:14" x14ac:dyDescent="0.25">
      <c r="A760">
        <v>915.00012100000004</v>
      </c>
      <c r="B760" s="1">
        <f>DATE(2012,11,1) + TIME(0,0,10)</f>
        <v>41214.000115740739</v>
      </c>
      <c r="C760">
        <v>1341.8798827999999</v>
      </c>
      <c r="D760">
        <v>1329.7039795000001</v>
      </c>
      <c r="E760">
        <v>1339.9741211</v>
      </c>
      <c r="F760">
        <v>1319.9445800999999</v>
      </c>
      <c r="G760">
        <v>0</v>
      </c>
      <c r="H760">
        <v>2400</v>
      </c>
      <c r="I760">
        <v>2400</v>
      </c>
      <c r="J760">
        <v>0</v>
      </c>
      <c r="K760">
        <v>80</v>
      </c>
      <c r="L760">
        <v>79.967658997000001</v>
      </c>
      <c r="M760">
        <v>50</v>
      </c>
      <c r="N760">
        <v>47.567302703999999</v>
      </c>
    </row>
    <row r="761" spans="1:14" x14ac:dyDescent="0.25">
      <c r="A761">
        <v>915.00036399999999</v>
      </c>
      <c r="B761" s="1">
        <f>DATE(2012,11,1) + TIME(0,0,31)</f>
        <v>41214.000358796293</v>
      </c>
      <c r="C761">
        <v>1334.621582</v>
      </c>
      <c r="D761">
        <v>1322.4506836</v>
      </c>
      <c r="E761">
        <v>1351.5573730000001</v>
      </c>
      <c r="F761">
        <v>1331.5238036999999</v>
      </c>
      <c r="G761">
        <v>0</v>
      </c>
      <c r="H761">
        <v>2400</v>
      </c>
      <c r="I761">
        <v>2400</v>
      </c>
      <c r="J761">
        <v>0</v>
      </c>
      <c r="K761">
        <v>80</v>
      </c>
      <c r="L761">
        <v>79.966590881000002</v>
      </c>
      <c r="M761">
        <v>50</v>
      </c>
      <c r="N761">
        <v>47.569450377999999</v>
      </c>
    </row>
    <row r="762" spans="1:14" x14ac:dyDescent="0.25">
      <c r="A762">
        <v>915.00109299999997</v>
      </c>
      <c r="B762" s="1">
        <f>DATE(2012,11,1) + TIME(0,1,34)</f>
        <v>41214.001087962963</v>
      </c>
      <c r="C762">
        <v>1327.3587646000001</v>
      </c>
      <c r="D762">
        <v>1315.1832274999999</v>
      </c>
      <c r="E762">
        <v>1363.1385498</v>
      </c>
      <c r="F762">
        <v>1343.0913086</v>
      </c>
      <c r="G762">
        <v>0</v>
      </c>
      <c r="H762">
        <v>2400</v>
      </c>
      <c r="I762">
        <v>2400</v>
      </c>
      <c r="J762">
        <v>0</v>
      </c>
      <c r="K762">
        <v>80</v>
      </c>
      <c r="L762">
        <v>79.965461731000005</v>
      </c>
      <c r="M762">
        <v>50</v>
      </c>
      <c r="N762">
        <v>47.573009491000001</v>
      </c>
    </row>
    <row r="763" spans="1:14" x14ac:dyDescent="0.25">
      <c r="A763">
        <v>915.00328000000002</v>
      </c>
      <c r="B763" s="1">
        <f>DATE(2012,11,1) + TIME(0,4,43)</f>
        <v>41214.003275462965</v>
      </c>
      <c r="C763">
        <v>1320.0499268000001</v>
      </c>
      <c r="D763">
        <v>1307.8287353999999</v>
      </c>
      <c r="E763">
        <v>1374.4942627</v>
      </c>
      <c r="F763">
        <v>1354.4082031</v>
      </c>
      <c r="G763">
        <v>0</v>
      </c>
      <c r="H763">
        <v>2400</v>
      </c>
      <c r="I763">
        <v>2400</v>
      </c>
      <c r="J763">
        <v>0</v>
      </c>
      <c r="K763">
        <v>80</v>
      </c>
      <c r="L763">
        <v>79.964126586999996</v>
      </c>
      <c r="M763">
        <v>50</v>
      </c>
      <c r="N763">
        <v>47.580760955999999</v>
      </c>
    </row>
    <row r="764" spans="1:14" x14ac:dyDescent="0.25">
      <c r="A764">
        <v>915.00984100000005</v>
      </c>
      <c r="B764" s="1">
        <f>DATE(2012,11,1) + TIME(0,14,10)</f>
        <v>41214.009837962964</v>
      </c>
      <c r="C764">
        <v>1313.2540283000001</v>
      </c>
      <c r="D764">
        <v>1300.9686279</v>
      </c>
      <c r="E764">
        <v>1384.2950439000001</v>
      </c>
      <c r="F764">
        <v>1364.1539307</v>
      </c>
      <c r="G764">
        <v>0</v>
      </c>
      <c r="H764">
        <v>2400</v>
      </c>
      <c r="I764">
        <v>2400</v>
      </c>
      <c r="J764">
        <v>0</v>
      </c>
      <c r="K764">
        <v>80</v>
      </c>
      <c r="L764">
        <v>79.962265015</v>
      </c>
      <c r="M764">
        <v>50</v>
      </c>
      <c r="N764">
        <v>47.600906371999997</v>
      </c>
    </row>
    <row r="765" spans="1:14" x14ac:dyDescent="0.25">
      <c r="A765">
        <v>915.02952400000004</v>
      </c>
      <c r="B765" s="1">
        <f>DATE(2012,11,1) + TIME(0,42,30)</f>
        <v>41214.029513888891</v>
      </c>
      <c r="C765">
        <v>1308.5324707</v>
      </c>
      <c r="D765">
        <v>1296.2143555</v>
      </c>
      <c r="E765">
        <v>1390.2735596</v>
      </c>
      <c r="F765">
        <v>1370.1070557</v>
      </c>
      <c r="G765">
        <v>0</v>
      </c>
      <c r="H765">
        <v>2400</v>
      </c>
      <c r="I765">
        <v>2400</v>
      </c>
      <c r="J765">
        <v>0</v>
      </c>
      <c r="K765">
        <v>80</v>
      </c>
      <c r="L765">
        <v>79.958938599000007</v>
      </c>
      <c r="M765">
        <v>50</v>
      </c>
      <c r="N765">
        <v>47.657226561999998</v>
      </c>
    </row>
    <row r="766" spans="1:14" x14ac:dyDescent="0.25">
      <c r="A766">
        <v>915.088573</v>
      </c>
      <c r="B766" s="1">
        <f>DATE(2012,11,1) + TIME(2,7,32)</f>
        <v>41214.088564814818</v>
      </c>
      <c r="C766">
        <v>1306.6768798999999</v>
      </c>
      <c r="D766">
        <v>1294.3497314000001</v>
      </c>
      <c r="E766">
        <v>1392.0704346</v>
      </c>
      <c r="F766">
        <v>1371.9433594</v>
      </c>
      <c r="G766">
        <v>0</v>
      </c>
      <c r="H766">
        <v>2400</v>
      </c>
      <c r="I766">
        <v>2400</v>
      </c>
      <c r="J766">
        <v>0</v>
      </c>
      <c r="K766">
        <v>80</v>
      </c>
      <c r="L766">
        <v>79.951080321999996</v>
      </c>
      <c r="M766">
        <v>50</v>
      </c>
      <c r="N766">
        <v>47.813133239999999</v>
      </c>
    </row>
    <row r="767" spans="1:14" x14ac:dyDescent="0.25">
      <c r="A767">
        <v>915.25923599999999</v>
      </c>
      <c r="B767" s="1">
        <f>DATE(2012,11,1) + TIME(6,13,17)</f>
        <v>41214.25922453704</v>
      </c>
      <c r="C767">
        <v>1306.3438721</v>
      </c>
      <c r="D767">
        <v>1294.0142822</v>
      </c>
      <c r="E767">
        <v>1392.0533447</v>
      </c>
      <c r="F767">
        <v>1372.0538329999999</v>
      </c>
      <c r="G767">
        <v>0</v>
      </c>
      <c r="H767">
        <v>2400</v>
      </c>
      <c r="I767">
        <v>2400</v>
      </c>
      <c r="J767">
        <v>0</v>
      </c>
      <c r="K767">
        <v>80</v>
      </c>
      <c r="L767">
        <v>79.931846618999998</v>
      </c>
      <c r="M767">
        <v>50</v>
      </c>
      <c r="N767">
        <v>48.185947417999998</v>
      </c>
    </row>
    <row r="768" spans="1:14" x14ac:dyDescent="0.25">
      <c r="A768">
        <v>915.46247700000004</v>
      </c>
      <c r="B768" s="1">
        <f>DATE(2012,11,1) + TIME(11,5,58)</f>
        <v>41214.462476851855</v>
      </c>
      <c r="C768">
        <v>1306.3155518000001</v>
      </c>
      <c r="D768">
        <v>1293.9849853999999</v>
      </c>
      <c r="E768">
        <v>1391.8585204999999</v>
      </c>
      <c r="F768">
        <v>1371.9736327999999</v>
      </c>
      <c r="G768">
        <v>0</v>
      </c>
      <c r="H768">
        <v>2400</v>
      </c>
      <c r="I768">
        <v>2400</v>
      </c>
      <c r="J768">
        <v>0</v>
      </c>
      <c r="K768">
        <v>80</v>
      </c>
      <c r="L768">
        <v>79.910339355000005</v>
      </c>
      <c r="M768">
        <v>50</v>
      </c>
      <c r="N768">
        <v>48.542266845999997</v>
      </c>
    </row>
    <row r="769" spans="1:14" x14ac:dyDescent="0.25">
      <c r="A769">
        <v>915.71218999999996</v>
      </c>
      <c r="B769" s="1">
        <f>DATE(2012,11,1) + TIME(17,5,33)</f>
        <v>41214.712187500001</v>
      </c>
      <c r="C769">
        <v>1306.3093262</v>
      </c>
      <c r="D769">
        <v>1293.9777832</v>
      </c>
      <c r="E769">
        <v>1391.6687012</v>
      </c>
      <c r="F769">
        <v>1371.8912353999999</v>
      </c>
      <c r="G769">
        <v>0</v>
      </c>
      <c r="H769">
        <v>2400</v>
      </c>
      <c r="I769">
        <v>2400</v>
      </c>
      <c r="J769">
        <v>0</v>
      </c>
      <c r="K769">
        <v>80</v>
      </c>
      <c r="L769">
        <v>79.885681152000004</v>
      </c>
      <c r="M769">
        <v>50</v>
      </c>
      <c r="N769">
        <v>48.878391266000001</v>
      </c>
    </row>
    <row r="770" spans="1:14" x14ac:dyDescent="0.25">
      <c r="A770">
        <v>916.032601</v>
      </c>
      <c r="B770" s="1">
        <f>DATE(2012,11,2) + TIME(0,46,56)</f>
        <v>41215.032592592594</v>
      </c>
      <c r="C770">
        <v>1306.3039550999999</v>
      </c>
      <c r="D770">
        <v>1293.9711914</v>
      </c>
      <c r="E770">
        <v>1391.4901123</v>
      </c>
      <c r="F770">
        <v>1371.8115233999999</v>
      </c>
      <c r="G770">
        <v>0</v>
      </c>
      <c r="H770">
        <v>2400</v>
      </c>
      <c r="I770">
        <v>2400</v>
      </c>
      <c r="J770">
        <v>0</v>
      </c>
      <c r="K770">
        <v>80</v>
      </c>
      <c r="L770">
        <v>79.856468200999998</v>
      </c>
      <c r="M770">
        <v>50</v>
      </c>
      <c r="N770">
        <v>49.189048767000003</v>
      </c>
    </row>
    <row r="771" spans="1:14" x14ac:dyDescent="0.25">
      <c r="A771">
        <v>916.47026100000005</v>
      </c>
      <c r="B771" s="1">
        <f>DATE(2012,11,2) + TIME(11,17,10)</f>
        <v>41215.470254629632</v>
      </c>
      <c r="C771">
        <v>1306.2972411999999</v>
      </c>
      <c r="D771">
        <v>1293.9628906</v>
      </c>
      <c r="E771">
        <v>1391.3244629000001</v>
      </c>
      <c r="F771">
        <v>1371.7340088000001</v>
      </c>
      <c r="G771">
        <v>0</v>
      </c>
      <c r="H771">
        <v>2400</v>
      </c>
      <c r="I771">
        <v>2400</v>
      </c>
      <c r="J771">
        <v>0</v>
      </c>
      <c r="K771">
        <v>80</v>
      </c>
      <c r="L771">
        <v>79.820320128999995</v>
      </c>
      <c r="M771">
        <v>50</v>
      </c>
      <c r="N771">
        <v>49.466300963999998</v>
      </c>
    </row>
    <row r="772" spans="1:14" x14ac:dyDescent="0.25">
      <c r="A772">
        <v>917.12605599999995</v>
      </c>
      <c r="B772" s="1">
        <f>DATE(2012,11,3) + TIME(3,1,31)</f>
        <v>41216.12605324074</v>
      </c>
      <c r="C772">
        <v>1306.2879639</v>
      </c>
      <c r="D772">
        <v>1293.9517822</v>
      </c>
      <c r="E772">
        <v>1391.1746826000001</v>
      </c>
      <c r="F772">
        <v>1371.6585693</v>
      </c>
      <c r="G772">
        <v>0</v>
      </c>
      <c r="H772">
        <v>2400</v>
      </c>
      <c r="I772">
        <v>2400</v>
      </c>
      <c r="J772">
        <v>0</v>
      </c>
      <c r="K772">
        <v>80</v>
      </c>
      <c r="L772">
        <v>79.772796631000006</v>
      </c>
      <c r="M772">
        <v>50</v>
      </c>
      <c r="N772">
        <v>49.697830199999999</v>
      </c>
    </row>
    <row r="773" spans="1:14" x14ac:dyDescent="0.25">
      <c r="A773">
        <v>917.79984100000001</v>
      </c>
      <c r="B773" s="1">
        <f>DATE(2012,11,3) + TIME(19,11,46)</f>
        <v>41216.799837962964</v>
      </c>
      <c r="C773">
        <v>1306.2733154</v>
      </c>
      <c r="D773">
        <v>1293.9359131000001</v>
      </c>
      <c r="E773">
        <v>1391.0678711</v>
      </c>
      <c r="F773">
        <v>1371.5943603999999</v>
      </c>
      <c r="G773">
        <v>0</v>
      </c>
      <c r="H773">
        <v>2400</v>
      </c>
      <c r="I773">
        <v>2400</v>
      </c>
      <c r="J773">
        <v>0</v>
      </c>
      <c r="K773">
        <v>80</v>
      </c>
      <c r="L773">
        <v>79.720123290999993</v>
      </c>
      <c r="M773">
        <v>50</v>
      </c>
      <c r="N773">
        <v>49.828887938999998</v>
      </c>
    </row>
    <row r="774" spans="1:14" x14ac:dyDescent="0.25">
      <c r="A774">
        <v>918.62463100000002</v>
      </c>
      <c r="B774" s="1">
        <f>DATE(2012,11,4) + TIME(14,59,28)</f>
        <v>41217.62462962963</v>
      </c>
      <c r="C774">
        <v>1306.2587891000001</v>
      </c>
      <c r="D774">
        <v>1293.9191894999999</v>
      </c>
      <c r="E774">
        <v>1390.9852295000001</v>
      </c>
      <c r="F774">
        <v>1371.5407714999999</v>
      </c>
      <c r="G774">
        <v>0</v>
      </c>
      <c r="H774">
        <v>2400</v>
      </c>
      <c r="I774">
        <v>2400</v>
      </c>
      <c r="J774">
        <v>0</v>
      </c>
      <c r="K774">
        <v>80</v>
      </c>
      <c r="L774">
        <v>79.659080505000006</v>
      </c>
      <c r="M774">
        <v>50</v>
      </c>
      <c r="N774">
        <v>49.909305572999997</v>
      </c>
    </row>
    <row r="775" spans="1:14" x14ac:dyDescent="0.25">
      <c r="A775">
        <v>919.65085699999997</v>
      </c>
      <c r="B775" s="1">
        <f>DATE(2012,11,5) + TIME(15,37,14)</f>
        <v>41218.650856481479</v>
      </c>
      <c r="C775">
        <v>1306.2409668</v>
      </c>
      <c r="D775">
        <v>1293.8989257999999</v>
      </c>
      <c r="E775">
        <v>1390.9155272999999</v>
      </c>
      <c r="F775">
        <v>1371.4902344</v>
      </c>
      <c r="G775">
        <v>0</v>
      </c>
      <c r="H775">
        <v>2400</v>
      </c>
      <c r="I775">
        <v>2400</v>
      </c>
      <c r="J775">
        <v>0</v>
      </c>
      <c r="K775">
        <v>80</v>
      </c>
      <c r="L775">
        <v>79.587028502999999</v>
      </c>
      <c r="M775">
        <v>50</v>
      </c>
      <c r="N775">
        <v>49.954135895</v>
      </c>
    </row>
    <row r="776" spans="1:14" x14ac:dyDescent="0.25">
      <c r="A776">
        <v>921.00479600000006</v>
      </c>
      <c r="B776" s="1">
        <f>DATE(2012,11,7) + TIME(0,6,54)</f>
        <v>41220.004791666666</v>
      </c>
      <c r="C776">
        <v>1306.2189940999999</v>
      </c>
      <c r="D776">
        <v>1293.8739014</v>
      </c>
      <c r="E776">
        <v>1390.8525391000001</v>
      </c>
      <c r="F776">
        <v>1371.4410399999999</v>
      </c>
      <c r="G776">
        <v>0</v>
      </c>
      <c r="H776">
        <v>2400</v>
      </c>
      <c r="I776">
        <v>2400</v>
      </c>
      <c r="J776">
        <v>0</v>
      </c>
      <c r="K776">
        <v>80</v>
      </c>
      <c r="L776">
        <v>79.499061584000003</v>
      </c>
      <c r="M776">
        <v>50</v>
      </c>
      <c r="N776">
        <v>49.976787567000002</v>
      </c>
    </row>
    <row r="777" spans="1:14" x14ac:dyDescent="0.25">
      <c r="A777">
        <v>922.37711999999999</v>
      </c>
      <c r="B777" s="1">
        <f>DATE(2012,11,8) + TIME(9,3,3)</f>
        <v>41221.377118055556</v>
      </c>
      <c r="C777">
        <v>1306.1892089999999</v>
      </c>
      <c r="D777">
        <v>1293.8414307</v>
      </c>
      <c r="E777">
        <v>1390.7913818</v>
      </c>
      <c r="F777">
        <v>1371.390625</v>
      </c>
      <c r="G777">
        <v>0</v>
      </c>
      <c r="H777">
        <v>2400</v>
      </c>
      <c r="I777">
        <v>2400</v>
      </c>
      <c r="J777">
        <v>0</v>
      </c>
      <c r="K777">
        <v>80</v>
      </c>
      <c r="L777">
        <v>79.398674010999997</v>
      </c>
      <c r="M777">
        <v>50</v>
      </c>
      <c r="N777">
        <v>49.985546112000002</v>
      </c>
    </row>
    <row r="778" spans="1:14" x14ac:dyDescent="0.25">
      <c r="A778">
        <v>923.95001500000001</v>
      </c>
      <c r="B778" s="1">
        <f>DATE(2012,11,9) + TIME(22,48,1)</f>
        <v>41222.950011574074</v>
      </c>
      <c r="C778">
        <v>1306.1595459</v>
      </c>
      <c r="D778">
        <v>1293.8079834</v>
      </c>
      <c r="E778">
        <v>1390.7435303</v>
      </c>
      <c r="F778">
        <v>1371.3511963000001</v>
      </c>
      <c r="G778">
        <v>0</v>
      </c>
      <c r="H778">
        <v>2400</v>
      </c>
      <c r="I778">
        <v>2400</v>
      </c>
      <c r="J778">
        <v>0</v>
      </c>
      <c r="K778">
        <v>80</v>
      </c>
      <c r="L778">
        <v>79.289855957</v>
      </c>
      <c r="M778">
        <v>50</v>
      </c>
      <c r="N778">
        <v>49.989086151000002</v>
      </c>
    </row>
    <row r="779" spans="1:14" x14ac:dyDescent="0.25">
      <c r="A779">
        <v>925.93510200000003</v>
      </c>
      <c r="B779" s="1">
        <f>DATE(2012,11,11) + TIME(22,26,32)</f>
        <v>41224.93509259259</v>
      </c>
      <c r="C779">
        <v>1306.1256103999999</v>
      </c>
      <c r="D779">
        <v>1293.7695312000001</v>
      </c>
      <c r="E779">
        <v>1390.699707</v>
      </c>
      <c r="F779">
        <v>1371.3150635</v>
      </c>
      <c r="G779">
        <v>0</v>
      </c>
      <c r="H779">
        <v>2400</v>
      </c>
      <c r="I779">
        <v>2400</v>
      </c>
      <c r="J779">
        <v>0</v>
      </c>
      <c r="K779">
        <v>80</v>
      </c>
      <c r="L779">
        <v>79.166297912999994</v>
      </c>
      <c r="M779">
        <v>50</v>
      </c>
      <c r="N779">
        <v>49.990455627000003</v>
      </c>
    </row>
    <row r="780" spans="1:14" x14ac:dyDescent="0.25">
      <c r="A780">
        <v>928.01550499999996</v>
      </c>
      <c r="B780" s="1">
        <f>DATE(2012,11,14) + TIME(0,22,19)</f>
        <v>41227.015497685185</v>
      </c>
      <c r="C780">
        <v>1306.0821533000001</v>
      </c>
      <c r="D780">
        <v>1293.7214355000001</v>
      </c>
      <c r="E780">
        <v>1390.6549072</v>
      </c>
      <c r="F780">
        <v>1371.2783202999999</v>
      </c>
      <c r="G780">
        <v>0</v>
      </c>
      <c r="H780">
        <v>2400</v>
      </c>
      <c r="I780">
        <v>2400</v>
      </c>
      <c r="J780">
        <v>0</v>
      </c>
      <c r="K780">
        <v>80</v>
      </c>
      <c r="L780">
        <v>79.026206970000004</v>
      </c>
      <c r="M780">
        <v>50</v>
      </c>
      <c r="N780">
        <v>49.990886688000003</v>
      </c>
    </row>
    <row r="781" spans="1:14" x14ac:dyDescent="0.25">
      <c r="A781">
        <v>930.16735600000004</v>
      </c>
      <c r="B781" s="1">
        <f>DATE(2012,11,16) + TIME(4,0,59)</f>
        <v>41229.167349537034</v>
      </c>
      <c r="C781">
        <v>1306.0362548999999</v>
      </c>
      <c r="D781">
        <v>1293.6702881000001</v>
      </c>
      <c r="E781">
        <v>1390.6171875</v>
      </c>
      <c r="F781">
        <v>1371.2478027</v>
      </c>
      <c r="G781">
        <v>0</v>
      </c>
      <c r="H781">
        <v>2400</v>
      </c>
      <c r="I781">
        <v>2400</v>
      </c>
      <c r="J781">
        <v>0</v>
      </c>
      <c r="K781">
        <v>80</v>
      </c>
      <c r="L781">
        <v>78.879997252999999</v>
      </c>
      <c r="M781">
        <v>50</v>
      </c>
      <c r="N781">
        <v>49.991027832</v>
      </c>
    </row>
    <row r="782" spans="1:14" x14ac:dyDescent="0.25">
      <c r="A782">
        <v>932.40139199999999</v>
      </c>
      <c r="B782" s="1">
        <f>DATE(2012,11,18) + TIME(9,38,0)</f>
        <v>41231.401388888888</v>
      </c>
      <c r="C782">
        <v>1305.9884033000001</v>
      </c>
      <c r="D782">
        <v>1293.6165771000001</v>
      </c>
      <c r="E782">
        <v>1390.5850829999999</v>
      </c>
      <c r="F782">
        <v>1371.2220459</v>
      </c>
      <c r="G782">
        <v>0</v>
      </c>
      <c r="H782">
        <v>2400</v>
      </c>
      <c r="I782">
        <v>2400</v>
      </c>
      <c r="J782">
        <v>0</v>
      </c>
      <c r="K782">
        <v>80</v>
      </c>
      <c r="L782">
        <v>78.731414795000006</v>
      </c>
      <c r="M782">
        <v>50</v>
      </c>
      <c r="N782">
        <v>49.991077423</v>
      </c>
    </row>
    <row r="783" spans="1:14" x14ac:dyDescent="0.25">
      <c r="A783">
        <v>934.68087600000001</v>
      </c>
      <c r="B783" s="1">
        <f>DATE(2012,11,20) + TIME(16,20,27)</f>
        <v>41233.680868055555</v>
      </c>
      <c r="C783">
        <v>1305.9379882999999</v>
      </c>
      <c r="D783">
        <v>1293.5601807</v>
      </c>
      <c r="E783">
        <v>1390.5568848</v>
      </c>
      <c r="F783">
        <v>1371.199707</v>
      </c>
      <c r="G783">
        <v>0</v>
      </c>
      <c r="H783">
        <v>2400</v>
      </c>
      <c r="I783">
        <v>2400</v>
      </c>
      <c r="J783">
        <v>0</v>
      </c>
      <c r="K783">
        <v>80</v>
      </c>
      <c r="L783">
        <v>78.581924438000001</v>
      </c>
      <c r="M783">
        <v>50</v>
      </c>
      <c r="N783">
        <v>49.991107941000003</v>
      </c>
    </row>
    <row r="784" spans="1:14" x14ac:dyDescent="0.25">
      <c r="A784">
        <v>936.99629900000002</v>
      </c>
      <c r="B784" s="1">
        <f>DATE(2012,11,22) + TIME(23,54,40)</f>
        <v>41235.996296296296</v>
      </c>
      <c r="C784">
        <v>1305.8859863</v>
      </c>
      <c r="D784">
        <v>1293.5015868999999</v>
      </c>
      <c r="E784">
        <v>1390.5323486</v>
      </c>
      <c r="F784">
        <v>1371.1804199000001</v>
      </c>
      <c r="G784">
        <v>0</v>
      </c>
      <c r="H784">
        <v>2400</v>
      </c>
      <c r="I784">
        <v>2400</v>
      </c>
      <c r="J784">
        <v>0</v>
      </c>
      <c r="K784">
        <v>80</v>
      </c>
      <c r="L784">
        <v>78.433212280000006</v>
      </c>
      <c r="M784">
        <v>50</v>
      </c>
      <c r="N784">
        <v>49.991127014</v>
      </c>
    </row>
    <row r="785" spans="1:14" x14ac:dyDescent="0.25">
      <c r="A785">
        <v>939.36050799999998</v>
      </c>
      <c r="B785" s="1">
        <f>DATE(2012,11,25) + TIME(8,39,7)</f>
        <v>41238.360497685186</v>
      </c>
      <c r="C785">
        <v>1305.8322754000001</v>
      </c>
      <c r="D785">
        <v>1293.440918</v>
      </c>
      <c r="E785">
        <v>1390.5107422000001</v>
      </c>
      <c r="F785">
        <v>1371.1635742000001</v>
      </c>
      <c r="G785">
        <v>0</v>
      </c>
      <c r="H785">
        <v>2400</v>
      </c>
      <c r="I785">
        <v>2400</v>
      </c>
      <c r="J785">
        <v>0</v>
      </c>
      <c r="K785">
        <v>80</v>
      </c>
      <c r="L785">
        <v>78.285728454999997</v>
      </c>
      <c r="M785">
        <v>50</v>
      </c>
      <c r="N785">
        <v>49.991146088000001</v>
      </c>
    </row>
    <row r="786" spans="1:14" x14ac:dyDescent="0.25">
      <c r="A786">
        <v>941.78592700000002</v>
      </c>
      <c r="B786" s="1">
        <f>DATE(2012,11,27) + TIME(18,51,44)</f>
        <v>41240.785925925928</v>
      </c>
      <c r="C786">
        <v>1305.7763672000001</v>
      </c>
      <c r="D786">
        <v>1293.3774414</v>
      </c>
      <c r="E786">
        <v>1390.4913329999999</v>
      </c>
      <c r="F786">
        <v>1371.1486815999999</v>
      </c>
      <c r="G786">
        <v>0</v>
      </c>
      <c r="H786">
        <v>2400</v>
      </c>
      <c r="I786">
        <v>2400</v>
      </c>
      <c r="J786">
        <v>0</v>
      </c>
      <c r="K786">
        <v>80</v>
      </c>
      <c r="L786">
        <v>78.138999939000001</v>
      </c>
      <c r="M786">
        <v>50</v>
      </c>
      <c r="N786">
        <v>49.991165160999998</v>
      </c>
    </row>
    <row r="787" spans="1:14" x14ac:dyDescent="0.25">
      <c r="A787">
        <v>944.28467699999999</v>
      </c>
      <c r="B787" s="1">
        <f>DATE(2012,11,30) + TIME(6,49,56)</f>
        <v>41243.284675925926</v>
      </c>
      <c r="C787">
        <v>1305.7176514</v>
      </c>
      <c r="D787">
        <v>1293.3106689000001</v>
      </c>
      <c r="E787">
        <v>1390.4737548999999</v>
      </c>
      <c r="F787">
        <v>1371.1351318</v>
      </c>
      <c r="G787">
        <v>0</v>
      </c>
      <c r="H787">
        <v>2400</v>
      </c>
      <c r="I787">
        <v>2400</v>
      </c>
      <c r="J787">
        <v>0</v>
      </c>
      <c r="K787">
        <v>80</v>
      </c>
      <c r="L787">
        <v>77.992370605000005</v>
      </c>
      <c r="M787">
        <v>50</v>
      </c>
      <c r="N787">
        <v>49.991184234999999</v>
      </c>
    </row>
    <row r="788" spans="1:14" x14ac:dyDescent="0.25">
      <c r="A788">
        <v>945</v>
      </c>
      <c r="B788" s="1">
        <f>DATE(2012,12,1) + TIME(0,0,0)</f>
        <v>41244</v>
      </c>
      <c r="C788">
        <v>1305.6534423999999</v>
      </c>
      <c r="D788">
        <v>1293.2431641000001</v>
      </c>
      <c r="E788">
        <v>1390.4575195</v>
      </c>
      <c r="F788">
        <v>1371.1228027</v>
      </c>
      <c r="G788">
        <v>0</v>
      </c>
      <c r="H788">
        <v>2400</v>
      </c>
      <c r="I788">
        <v>2400</v>
      </c>
      <c r="J788">
        <v>0</v>
      </c>
      <c r="K788">
        <v>80</v>
      </c>
      <c r="L788">
        <v>77.903022766000007</v>
      </c>
      <c r="M788">
        <v>50</v>
      </c>
      <c r="N788">
        <v>49.991191864000001</v>
      </c>
    </row>
    <row r="789" spans="1:14" x14ac:dyDescent="0.25">
      <c r="A789">
        <v>947.58493699999997</v>
      </c>
      <c r="B789" s="1">
        <f>DATE(2012,12,3) + TIME(14,2,18)</f>
        <v>41246.584930555553</v>
      </c>
      <c r="C789">
        <v>1305.637207</v>
      </c>
      <c r="D789">
        <v>1293.2167969</v>
      </c>
      <c r="E789">
        <v>1390.4536132999999</v>
      </c>
      <c r="F789">
        <v>1371.1198730000001</v>
      </c>
      <c r="G789">
        <v>0</v>
      </c>
      <c r="H789">
        <v>2400</v>
      </c>
      <c r="I789">
        <v>2400</v>
      </c>
      <c r="J789">
        <v>0</v>
      </c>
      <c r="K789">
        <v>80</v>
      </c>
      <c r="L789">
        <v>77.792243958</v>
      </c>
      <c r="M789">
        <v>50</v>
      </c>
      <c r="N789">
        <v>49.991210938000002</v>
      </c>
    </row>
    <row r="790" spans="1:14" x14ac:dyDescent="0.25">
      <c r="A790">
        <v>950.22179800000004</v>
      </c>
      <c r="B790" s="1">
        <f>DATE(2012,12,6) + TIME(5,19,23)</f>
        <v>41249.22179398148</v>
      </c>
      <c r="C790">
        <v>1305.5710449000001</v>
      </c>
      <c r="D790">
        <v>1293.1417236</v>
      </c>
      <c r="E790">
        <v>1390.4390868999999</v>
      </c>
      <c r="F790">
        <v>1371.1090088000001</v>
      </c>
      <c r="G790">
        <v>0</v>
      </c>
      <c r="H790">
        <v>2400</v>
      </c>
      <c r="I790">
        <v>2400</v>
      </c>
      <c r="J790">
        <v>0</v>
      </c>
      <c r="K790">
        <v>80</v>
      </c>
      <c r="L790">
        <v>77.654304503999995</v>
      </c>
      <c r="M790">
        <v>50</v>
      </c>
      <c r="N790">
        <v>49.991233825999998</v>
      </c>
    </row>
    <row r="791" spans="1:14" x14ac:dyDescent="0.25">
      <c r="A791">
        <v>952.91176299999995</v>
      </c>
      <c r="B791" s="1">
        <f>DATE(2012,12,8) + TIME(21,52,56)</f>
        <v>41251.911759259259</v>
      </c>
      <c r="C791">
        <v>1305.5010986</v>
      </c>
      <c r="D791">
        <v>1293.0606689000001</v>
      </c>
      <c r="E791">
        <v>1390.4259033000001</v>
      </c>
      <c r="F791">
        <v>1371.098999</v>
      </c>
      <c r="G791">
        <v>0</v>
      </c>
      <c r="H791">
        <v>2400</v>
      </c>
      <c r="I791">
        <v>2400</v>
      </c>
      <c r="J791">
        <v>0</v>
      </c>
      <c r="K791">
        <v>80</v>
      </c>
      <c r="L791">
        <v>77.510169982999997</v>
      </c>
      <c r="M791">
        <v>50</v>
      </c>
      <c r="N791">
        <v>49.991252899000003</v>
      </c>
    </row>
    <row r="792" spans="1:14" x14ac:dyDescent="0.25">
      <c r="A792">
        <v>955.66963699999997</v>
      </c>
      <c r="B792" s="1">
        <f>DATE(2012,12,11) + TIME(16,4,16)</f>
        <v>41254.669629629629</v>
      </c>
      <c r="C792">
        <v>1305.4272461</v>
      </c>
      <c r="D792">
        <v>1292.9741211</v>
      </c>
      <c r="E792">
        <v>1390.4136963000001</v>
      </c>
      <c r="F792">
        <v>1371.0899658000001</v>
      </c>
      <c r="G792">
        <v>0</v>
      </c>
      <c r="H792">
        <v>2400</v>
      </c>
      <c r="I792">
        <v>2400</v>
      </c>
      <c r="J792">
        <v>0</v>
      </c>
      <c r="K792">
        <v>80</v>
      </c>
      <c r="L792">
        <v>77.364822387999993</v>
      </c>
      <c r="M792">
        <v>50</v>
      </c>
      <c r="N792">
        <v>49.991275786999999</v>
      </c>
    </row>
    <row r="793" spans="1:14" x14ac:dyDescent="0.25">
      <c r="A793">
        <v>958.51041299999997</v>
      </c>
      <c r="B793" s="1">
        <f>DATE(2012,12,14) + TIME(12,14,59)</f>
        <v>41257.510405092595</v>
      </c>
      <c r="C793">
        <v>1305.3486327999999</v>
      </c>
      <c r="D793">
        <v>1292.8812256000001</v>
      </c>
      <c r="E793">
        <v>1390.4024658000001</v>
      </c>
      <c r="F793">
        <v>1371.0816649999999</v>
      </c>
      <c r="G793">
        <v>0</v>
      </c>
      <c r="H793">
        <v>2400</v>
      </c>
      <c r="I793">
        <v>2400</v>
      </c>
      <c r="J793">
        <v>0</v>
      </c>
      <c r="K793">
        <v>80</v>
      </c>
      <c r="L793">
        <v>77.218887328999998</v>
      </c>
      <c r="M793">
        <v>50</v>
      </c>
      <c r="N793">
        <v>49.991298676</v>
      </c>
    </row>
    <row r="794" spans="1:14" x14ac:dyDescent="0.25">
      <c r="A794">
        <v>961.38959299999999</v>
      </c>
      <c r="B794" s="1">
        <f>DATE(2012,12,17) + TIME(9,21,0)</f>
        <v>41260.38958333333</v>
      </c>
      <c r="C794">
        <v>1305.2644043</v>
      </c>
      <c r="D794">
        <v>1292.7806396000001</v>
      </c>
      <c r="E794">
        <v>1390.3918457</v>
      </c>
      <c r="F794">
        <v>1371.0739745999999</v>
      </c>
      <c r="G794">
        <v>0</v>
      </c>
      <c r="H794">
        <v>2400</v>
      </c>
      <c r="I794">
        <v>2400</v>
      </c>
      <c r="J794">
        <v>0</v>
      </c>
      <c r="K794">
        <v>80</v>
      </c>
      <c r="L794">
        <v>77.072639464999995</v>
      </c>
      <c r="M794">
        <v>50</v>
      </c>
      <c r="N794">
        <v>49.991321564000003</v>
      </c>
    </row>
    <row r="795" spans="1:14" x14ac:dyDescent="0.25">
      <c r="A795">
        <v>964.32037600000001</v>
      </c>
      <c r="B795" s="1">
        <f>DATE(2012,12,20) + TIME(7,41,20)</f>
        <v>41263.320370370369</v>
      </c>
      <c r="C795">
        <v>1305.1754149999999</v>
      </c>
      <c r="D795">
        <v>1292.6732178</v>
      </c>
      <c r="E795">
        <v>1390.3820800999999</v>
      </c>
      <c r="F795">
        <v>1371.0667725000001</v>
      </c>
      <c r="G795">
        <v>0</v>
      </c>
      <c r="H795">
        <v>2400</v>
      </c>
      <c r="I795">
        <v>2400</v>
      </c>
      <c r="J795">
        <v>0</v>
      </c>
      <c r="K795">
        <v>80</v>
      </c>
      <c r="L795">
        <v>76.927162170000003</v>
      </c>
      <c r="M795">
        <v>50</v>
      </c>
      <c r="N795">
        <v>49.991344452</v>
      </c>
    </row>
    <row r="796" spans="1:14" x14ac:dyDescent="0.25">
      <c r="A796">
        <v>967.30096400000002</v>
      </c>
      <c r="B796" s="1">
        <f>DATE(2012,12,23) + TIME(7,13,23)</f>
        <v>41266.30096064815</v>
      </c>
      <c r="C796">
        <v>1305.0806885</v>
      </c>
      <c r="D796">
        <v>1292.5579834</v>
      </c>
      <c r="E796">
        <v>1390.3730469</v>
      </c>
      <c r="F796">
        <v>1371.0603027</v>
      </c>
      <c r="G796">
        <v>0</v>
      </c>
      <c r="H796">
        <v>2400</v>
      </c>
      <c r="I796">
        <v>2400</v>
      </c>
      <c r="J796">
        <v>0</v>
      </c>
      <c r="K796">
        <v>80</v>
      </c>
      <c r="L796">
        <v>76.782249450999998</v>
      </c>
      <c r="M796">
        <v>50</v>
      </c>
      <c r="N796">
        <v>49.991367339999996</v>
      </c>
    </row>
    <row r="797" spans="1:14" x14ac:dyDescent="0.25">
      <c r="A797">
        <v>970.31553899999994</v>
      </c>
      <c r="B797" s="1">
        <f>DATE(2012,12,26) + TIME(7,34,22)</f>
        <v>41269.315532407411</v>
      </c>
      <c r="C797">
        <v>1304.9801024999999</v>
      </c>
      <c r="D797">
        <v>1292.434082</v>
      </c>
      <c r="E797">
        <v>1390.364624</v>
      </c>
      <c r="F797">
        <v>1371.0541992000001</v>
      </c>
      <c r="G797">
        <v>0</v>
      </c>
      <c r="H797">
        <v>2400</v>
      </c>
      <c r="I797">
        <v>2400</v>
      </c>
      <c r="J797">
        <v>0</v>
      </c>
      <c r="K797">
        <v>80</v>
      </c>
      <c r="L797">
        <v>76.637969971000004</v>
      </c>
      <c r="M797">
        <v>50</v>
      </c>
      <c r="N797">
        <v>49.991390228</v>
      </c>
    </row>
    <row r="798" spans="1:14" x14ac:dyDescent="0.25">
      <c r="A798">
        <v>973.37984300000005</v>
      </c>
      <c r="B798" s="1">
        <f>DATE(2012,12,29) + TIME(9,6,58)</f>
        <v>41272.379837962966</v>
      </c>
      <c r="C798">
        <v>1304.8735352000001</v>
      </c>
      <c r="D798">
        <v>1292.3016356999999</v>
      </c>
      <c r="E798">
        <v>1390.3568115</v>
      </c>
      <c r="F798">
        <v>1371.0487060999999</v>
      </c>
      <c r="G798">
        <v>0</v>
      </c>
      <c r="H798">
        <v>2400</v>
      </c>
      <c r="I798">
        <v>2400</v>
      </c>
      <c r="J798">
        <v>0</v>
      </c>
      <c r="K798">
        <v>80</v>
      </c>
      <c r="L798">
        <v>76.494422912999994</v>
      </c>
      <c r="M798">
        <v>50</v>
      </c>
      <c r="N798">
        <v>49.991413115999997</v>
      </c>
    </row>
    <row r="799" spans="1:14" x14ac:dyDescent="0.25">
      <c r="A799">
        <v>976</v>
      </c>
      <c r="B799" s="1">
        <f>DATE(2013,1,1) + TIME(0,0,0)</f>
        <v>41275</v>
      </c>
      <c r="C799">
        <v>1304.7602539</v>
      </c>
      <c r="D799">
        <v>1292.1605225000001</v>
      </c>
      <c r="E799">
        <v>1390.3494873</v>
      </c>
      <c r="F799">
        <v>1371.043457</v>
      </c>
      <c r="G799">
        <v>0</v>
      </c>
      <c r="H799">
        <v>2400</v>
      </c>
      <c r="I799">
        <v>2400</v>
      </c>
      <c r="J799">
        <v>0</v>
      </c>
      <c r="K799">
        <v>80</v>
      </c>
      <c r="L799">
        <v>76.356651306000003</v>
      </c>
      <c r="M799">
        <v>50</v>
      </c>
      <c r="N799">
        <v>49.991432189999998</v>
      </c>
    </row>
    <row r="800" spans="1:14" x14ac:dyDescent="0.25">
      <c r="A800">
        <v>979.12838299999999</v>
      </c>
      <c r="B800" s="1">
        <f>DATE(2013,1,4) + TIME(3,4,52)</f>
        <v>41278.128379629627</v>
      </c>
      <c r="C800">
        <v>1304.6577147999999</v>
      </c>
      <c r="D800">
        <v>1292.0288086</v>
      </c>
      <c r="E800">
        <v>1390.34375</v>
      </c>
      <c r="F800">
        <v>1371.0395507999999</v>
      </c>
      <c r="G800">
        <v>0</v>
      </c>
      <c r="H800">
        <v>2400</v>
      </c>
      <c r="I800">
        <v>2400</v>
      </c>
      <c r="J800">
        <v>0</v>
      </c>
      <c r="K800">
        <v>80</v>
      </c>
      <c r="L800">
        <v>76.226661682</v>
      </c>
      <c r="M800">
        <v>50</v>
      </c>
      <c r="N800">
        <v>49.991455078000001</v>
      </c>
    </row>
    <row r="801" spans="1:14" x14ac:dyDescent="0.25">
      <c r="A801">
        <v>982.33052499999997</v>
      </c>
      <c r="B801" s="1">
        <f>DATE(2013,1,7) + TIME(7,55,57)</f>
        <v>41281.330520833333</v>
      </c>
      <c r="C801">
        <v>1304.5327147999999</v>
      </c>
      <c r="D801">
        <v>1291.8699951000001</v>
      </c>
      <c r="E801">
        <v>1390.3374022999999</v>
      </c>
      <c r="F801">
        <v>1371.0350341999999</v>
      </c>
      <c r="G801">
        <v>0</v>
      </c>
      <c r="H801">
        <v>2400</v>
      </c>
      <c r="I801">
        <v>2400</v>
      </c>
      <c r="J801">
        <v>0</v>
      </c>
      <c r="K801">
        <v>80</v>
      </c>
      <c r="L801">
        <v>76.086402892999999</v>
      </c>
      <c r="M801">
        <v>50</v>
      </c>
      <c r="N801">
        <v>49.991481780999997</v>
      </c>
    </row>
    <row r="802" spans="1:14" x14ac:dyDescent="0.25">
      <c r="A802">
        <v>985.57775000000004</v>
      </c>
      <c r="B802" s="1">
        <f>DATE(2013,1,10) + TIME(13,51,57)</f>
        <v>41284.577743055554</v>
      </c>
      <c r="C802">
        <v>1304.3985596</v>
      </c>
      <c r="D802">
        <v>1291.6973877</v>
      </c>
      <c r="E802">
        <v>1390.3314209</v>
      </c>
      <c r="F802">
        <v>1371.0308838000001</v>
      </c>
      <c r="G802">
        <v>0</v>
      </c>
      <c r="H802">
        <v>2400</v>
      </c>
      <c r="I802">
        <v>2400</v>
      </c>
      <c r="J802">
        <v>0</v>
      </c>
      <c r="K802">
        <v>80</v>
      </c>
      <c r="L802">
        <v>75.942680358999993</v>
      </c>
      <c r="M802">
        <v>50</v>
      </c>
      <c r="N802">
        <v>49.991504669000001</v>
      </c>
    </row>
    <row r="803" spans="1:14" x14ac:dyDescent="0.25">
      <c r="A803">
        <v>988.87483899999995</v>
      </c>
      <c r="B803" s="1">
        <f>DATE(2013,1,13) + TIME(20,59,46)</f>
        <v>41287.874837962961</v>
      </c>
      <c r="C803">
        <v>1304.2562256000001</v>
      </c>
      <c r="D803">
        <v>1291.5126952999999</v>
      </c>
      <c r="E803">
        <v>1390.3258057</v>
      </c>
      <c r="F803">
        <v>1371.0270995999999</v>
      </c>
      <c r="G803">
        <v>0</v>
      </c>
      <c r="H803">
        <v>2400</v>
      </c>
      <c r="I803">
        <v>2400</v>
      </c>
      <c r="J803">
        <v>0</v>
      </c>
      <c r="K803">
        <v>80</v>
      </c>
      <c r="L803">
        <v>75.797416686999995</v>
      </c>
      <c r="M803">
        <v>50</v>
      </c>
      <c r="N803">
        <v>49.991527556999998</v>
      </c>
    </row>
    <row r="804" spans="1:14" x14ac:dyDescent="0.25">
      <c r="A804">
        <v>992.21217799999999</v>
      </c>
      <c r="B804" s="1">
        <f>DATE(2013,1,17) + TIME(5,5,32)</f>
        <v>41291.212175925924</v>
      </c>
      <c r="C804">
        <v>1304.1054687999999</v>
      </c>
      <c r="D804">
        <v>1291.3154297000001</v>
      </c>
      <c r="E804">
        <v>1390.3205565999999</v>
      </c>
      <c r="F804">
        <v>1371.0235596</v>
      </c>
      <c r="G804">
        <v>0</v>
      </c>
      <c r="H804">
        <v>2400</v>
      </c>
      <c r="I804">
        <v>2400</v>
      </c>
      <c r="J804">
        <v>0</v>
      </c>
      <c r="K804">
        <v>80</v>
      </c>
      <c r="L804">
        <v>75.650657654</v>
      </c>
      <c r="M804">
        <v>50</v>
      </c>
      <c r="N804">
        <v>49.991554260000001</v>
      </c>
    </row>
    <row r="805" spans="1:14" x14ac:dyDescent="0.25">
      <c r="A805">
        <v>995.60675900000001</v>
      </c>
      <c r="B805" s="1">
        <f>DATE(2013,1,20) + TIME(14,33,43)</f>
        <v>41294.606747685182</v>
      </c>
      <c r="C805">
        <v>1303.9465332</v>
      </c>
      <c r="D805">
        <v>1291.1058350000001</v>
      </c>
      <c r="E805">
        <v>1390.3156738</v>
      </c>
      <c r="F805">
        <v>1371.0202637</v>
      </c>
      <c r="G805">
        <v>0</v>
      </c>
      <c r="H805">
        <v>2400</v>
      </c>
      <c r="I805">
        <v>2400</v>
      </c>
      <c r="J805">
        <v>0</v>
      </c>
      <c r="K805">
        <v>80</v>
      </c>
      <c r="L805">
        <v>75.502159118999998</v>
      </c>
      <c r="M805">
        <v>50</v>
      </c>
      <c r="N805">
        <v>49.991577147999998</v>
      </c>
    </row>
    <row r="806" spans="1:14" x14ac:dyDescent="0.25">
      <c r="A806">
        <v>999.07185000000004</v>
      </c>
      <c r="B806" s="1">
        <f>DATE(2013,1,24) + TIME(1,43,27)</f>
        <v>41298.071840277778</v>
      </c>
      <c r="C806">
        <v>1303.7784423999999</v>
      </c>
      <c r="D806">
        <v>1290.8828125</v>
      </c>
      <c r="E806">
        <v>1390.3110352000001</v>
      </c>
      <c r="F806">
        <v>1371.0172118999999</v>
      </c>
      <c r="G806">
        <v>0</v>
      </c>
      <c r="H806">
        <v>2400</v>
      </c>
      <c r="I806">
        <v>2400</v>
      </c>
      <c r="J806">
        <v>0</v>
      </c>
      <c r="K806">
        <v>80</v>
      </c>
      <c r="L806">
        <v>75.350921631000006</v>
      </c>
      <c r="M806">
        <v>50</v>
      </c>
      <c r="N806">
        <v>49.991603851000001</v>
      </c>
    </row>
    <row r="807" spans="1:14" x14ac:dyDescent="0.25">
      <c r="A807">
        <v>1002.574327</v>
      </c>
      <c r="B807" s="1">
        <f>DATE(2013,1,27) + TIME(13,47,1)</f>
        <v>41301.574317129627</v>
      </c>
      <c r="C807">
        <v>1303.6007079999999</v>
      </c>
      <c r="D807">
        <v>1290.6451416</v>
      </c>
      <c r="E807">
        <v>1390.3066406</v>
      </c>
      <c r="F807">
        <v>1371.0144043</v>
      </c>
      <c r="G807">
        <v>0</v>
      </c>
      <c r="H807">
        <v>2400</v>
      </c>
      <c r="I807">
        <v>2400</v>
      </c>
      <c r="J807">
        <v>0</v>
      </c>
      <c r="K807">
        <v>80</v>
      </c>
      <c r="L807">
        <v>75.196235657000003</v>
      </c>
      <c r="M807">
        <v>50</v>
      </c>
      <c r="N807">
        <v>49.991626740000001</v>
      </c>
    </row>
    <row r="808" spans="1:14" x14ac:dyDescent="0.25">
      <c r="A808">
        <v>1006.1253</v>
      </c>
      <c r="B808" s="1">
        <f>DATE(2013,1,31) + TIME(3,0,25)</f>
        <v>41305.125289351854</v>
      </c>
      <c r="C808">
        <v>1303.4143065999999</v>
      </c>
      <c r="D808">
        <v>1290.3944091999999</v>
      </c>
      <c r="E808">
        <v>1390.3026123</v>
      </c>
      <c r="F808">
        <v>1371.0117187999999</v>
      </c>
      <c r="G808">
        <v>0</v>
      </c>
      <c r="H808">
        <v>2400</v>
      </c>
      <c r="I808">
        <v>2400</v>
      </c>
      <c r="J808">
        <v>0</v>
      </c>
      <c r="K808">
        <v>80</v>
      </c>
      <c r="L808">
        <v>75.038307189999998</v>
      </c>
      <c r="M808">
        <v>50</v>
      </c>
      <c r="N808">
        <v>49.991653442</v>
      </c>
    </row>
    <row r="809" spans="1:14" x14ac:dyDescent="0.25">
      <c r="A809">
        <v>1007</v>
      </c>
      <c r="B809" s="1">
        <f>DATE(2013,2,1) + TIME(0,0,0)</f>
        <v>41306</v>
      </c>
      <c r="C809">
        <v>1303.2283935999999</v>
      </c>
      <c r="D809">
        <v>1290.1549072</v>
      </c>
      <c r="E809">
        <v>1390.2982178</v>
      </c>
      <c r="F809">
        <v>1371.0089111</v>
      </c>
      <c r="G809">
        <v>0</v>
      </c>
      <c r="H809">
        <v>2400</v>
      </c>
      <c r="I809">
        <v>2400</v>
      </c>
      <c r="J809">
        <v>0</v>
      </c>
      <c r="K809">
        <v>80</v>
      </c>
      <c r="L809">
        <v>74.936538696</v>
      </c>
      <c r="M809">
        <v>50</v>
      </c>
      <c r="N809">
        <v>49.991657257</v>
      </c>
    </row>
    <row r="810" spans="1:14" x14ac:dyDescent="0.25">
      <c r="A810">
        <v>1010.594631</v>
      </c>
      <c r="B810" s="1">
        <f>DATE(2013,2,4) + TIME(14,16,16)</f>
        <v>41309.594629629632</v>
      </c>
      <c r="C810">
        <v>1303.1589355000001</v>
      </c>
      <c r="D810">
        <v>1290.0432129000001</v>
      </c>
      <c r="E810">
        <v>1390.2978516000001</v>
      </c>
      <c r="F810">
        <v>1371.0087891000001</v>
      </c>
      <c r="G810">
        <v>0</v>
      </c>
      <c r="H810">
        <v>2400</v>
      </c>
      <c r="I810">
        <v>2400</v>
      </c>
      <c r="J810">
        <v>0</v>
      </c>
      <c r="K810">
        <v>80</v>
      </c>
      <c r="L810">
        <v>74.824012756000002</v>
      </c>
      <c r="M810">
        <v>50</v>
      </c>
      <c r="N810">
        <v>49.991683960000003</v>
      </c>
    </row>
    <row r="811" spans="1:14" x14ac:dyDescent="0.25">
      <c r="A811">
        <v>1014.271408</v>
      </c>
      <c r="B811" s="1">
        <f>DATE(2013,2,8) + TIME(6,30,49)</f>
        <v>41313.27140046296</v>
      </c>
      <c r="C811">
        <v>1302.9620361</v>
      </c>
      <c r="D811">
        <v>1289.7789307</v>
      </c>
      <c r="E811">
        <v>1390.2941894999999</v>
      </c>
      <c r="F811">
        <v>1371.0064697</v>
      </c>
      <c r="G811">
        <v>0</v>
      </c>
      <c r="H811">
        <v>2400</v>
      </c>
      <c r="I811">
        <v>2400</v>
      </c>
      <c r="J811">
        <v>0</v>
      </c>
      <c r="K811">
        <v>80</v>
      </c>
      <c r="L811">
        <v>74.665985106999997</v>
      </c>
      <c r="M811">
        <v>50</v>
      </c>
      <c r="N811">
        <v>49.991710662999999</v>
      </c>
    </row>
    <row r="812" spans="1:14" x14ac:dyDescent="0.25">
      <c r="A812">
        <v>1018.020038</v>
      </c>
      <c r="B812" s="1">
        <f>DATE(2013,2,12) + TIME(0,28,51)</f>
        <v>41317.02003472222</v>
      </c>
      <c r="C812">
        <v>1302.7478027</v>
      </c>
      <c r="D812">
        <v>1289.4860839999999</v>
      </c>
      <c r="E812">
        <v>1390.2907714999999</v>
      </c>
      <c r="F812">
        <v>1371.0043945</v>
      </c>
      <c r="G812">
        <v>0</v>
      </c>
      <c r="H812">
        <v>2400</v>
      </c>
      <c r="I812">
        <v>2400</v>
      </c>
      <c r="J812">
        <v>0</v>
      </c>
      <c r="K812">
        <v>80</v>
      </c>
      <c r="L812">
        <v>74.493309021000002</v>
      </c>
      <c r="M812">
        <v>50</v>
      </c>
      <c r="N812">
        <v>49.991733551000003</v>
      </c>
    </row>
    <row r="813" spans="1:14" x14ac:dyDescent="0.25">
      <c r="A813">
        <v>1021.808298</v>
      </c>
      <c r="B813" s="1">
        <f>DATE(2013,2,15) + TIME(19,23,56)</f>
        <v>41320.808287037034</v>
      </c>
      <c r="C813">
        <v>1302.5222168</v>
      </c>
      <c r="D813">
        <v>1289.1755370999999</v>
      </c>
      <c r="E813">
        <v>1390.2873535000001</v>
      </c>
      <c r="F813">
        <v>1371.0023193</v>
      </c>
      <c r="G813">
        <v>0</v>
      </c>
      <c r="H813">
        <v>2400</v>
      </c>
      <c r="I813">
        <v>2400</v>
      </c>
      <c r="J813">
        <v>0</v>
      </c>
      <c r="K813">
        <v>80</v>
      </c>
      <c r="L813">
        <v>74.311851501000007</v>
      </c>
      <c r="M813">
        <v>50</v>
      </c>
      <c r="N813">
        <v>49.991760253999999</v>
      </c>
    </row>
    <row r="814" spans="1:14" x14ac:dyDescent="0.25">
      <c r="A814">
        <v>1025.6546040000001</v>
      </c>
      <c r="B814" s="1">
        <f>DATE(2013,2,19) + TIME(15,42,37)</f>
        <v>41324.654594907406</v>
      </c>
      <c r="C814">
        <v>1302.2880858999999</v>
      </c>
      <c r="D814">
        <v>1288.8515625</v>
      </c>
      <c r="E814">
        <v>1390.2841797000001</v>
      </c>
      <c r="F814">
        <v>1371.0004882999999</v>
      </c>
      <c r="G814">
        <v>0</v>
      </c>
      <c r="H814">
        <v>2400</v>
      </c>
      <c r="I814">
        <v>2400</v>
      </c>
      <c r="J814">
        <v>0</v>
      </c>
      <c r="K814">
        <v>80</v>
      </c>
      <c r="L814">
        <v>74.122886657999999</v>
      </c>
      <c r="M814">
        <v>50</v>
      </c>
      <c r="N814">
        <v>49.991786957000002</v>
      </c>
    </row>
    <row r="815" spans="1:14" x14ac:dyDescent="0.25">
      <c r="A815">
        <v>1029.5779500000001</v>
      </c>
      <c r="B815" s="1">
        <f>DATE(2013,2,23) + TIME(13,52,14)</f>
        <v>41328.577939814815</v>
      </c>
      <c r="C815">
        <v>1302.0451660000001</v>
      </c>
      <c r="D815">
        <v>1288.5136719</v>
      </c>
      <c r="E815">
        <v>1390.2811279</v>
      </c>
      <c r="F815">
        <v>1370.9986572</v>
      </c>
      <c r="G815">
        <v>0</v>
      </c>
      <c r="H815">
        <v>2400</v>
      </c>
      <c r="I815">
        <v>2400</v>
      </c>
      <c r="J815">
        <v>0</v>
      </c>
      <c r="K815">
        <v>80</v>
      </c>
      <c r="L815">
        <v>73.925224303999997</v>
      </c>
      <c r="M815">
        <v>50</v>
      </c>
      <c r="N815">
        <v>49.991813659999998</v>
      </c>
    </row>
    <row r="816" spans="1:14" x14ac:dyDescent="0.25">
      <c r="A816">
        <v>1033.5863850000001</v>
      </c>
      <c r="B816" s="1">
        <f>DATE(2013,2,27) + TIME(14,4,23)</f>
        <v>41332.586377314816</v>
      </c>
      <c r="C816">
        <v>1301.7926024999999</v>
      </c>
      <c r="D816">
        <v>1288.1608887</v>
      </c>
      <c r="E816">
        <v>1390.2780762</v>
      </c>
      <c r="F816">
        <v>1370.9969481999999</v>
      </c>
      <c r="G816">
        <v>0</v>
      </c>
      <c r="H816">
        <v>2400</v>
      </c>
      <c r="I816">
        <v>2400</v>
      </c>
      <c r="J816">
        <v>0</v>
      </c>
      <c r="K816">
        <v>80</v>
      </c>
      <c r="L816">
        <v>73.717193604000002</v>
      </c>
      <c r="M816">
        <v>50</v>
      </c>
      <c r="N816">
        <v>49.991836548000002</v>
      </c>
    </row>
    <row r="817" spans="1:14" x14ac:dyDescent="0.25">
      <c r="A817">
        <v>1035</v>
      </c>
      <c r="B817" s="1">
        <f>DATE(2013,3,1) + TIME(0,0,0)</f>
        <v>41334</v>
      </c>
      <c r="C817">
        <v>1301.5393065999999</v>
      </c>
      <c r="D817">
        <v>1287.8175048999999</v>
      </c>
      <c r="E817">
        <v>1390.2747803</v>
      </c>
      <c r="F817">
        <v>1370.994751</v>
      </c>
      <c r="G817">
        <v>0</v>
      </c>
      <c r="H817">
        <v>2400</v>
      </c>
      <c r="I817">
        <v>2400</v>
      </c>
      <c r="J817">
        <v>0</v>
      </c>
      <c r="K817">
        <v>80</v>
      </c>
      <c r="L817">
        <v>73.550163268999995</v>
      </c>
      <c r="M817">
        <v>50</v>
      </c>
      <c r="N817">
        <v>49.991847991999997</v>
      </c>
    </row>
    <row r="818" spans="1:14" x14ac:dyDescent="0.25">
      <c r="A818">
        <v>1039.063386</v>
      </c>
      <c r="B818" s="1">
        <f>DATE(2013,3,5) + TIME(1,31,16)</f>
        <v>41338.063379629632</v>
      </c>
      <c r="C818">
        <v>1301.4189452999999</v>
      </c>
      <c r="D818">
        <v>1287.6290283000001</v>
      </c>
      <c r="E818">
        <v>1390.2741699000001</v>
      </c>
      <c r="F818">
        <v>1370.9946289</v>
      </c>
      <c r="G818">
        <v>0</v>
      </c>
      <c r="H818">
        <v>2400</v>
      </c>
      <c r="I818">
        <v>2400</v>
      </c>
      <c r="J818">
        <v>0</v>
      </c>
      <c r="K818">
        <v>80</v>
      </c>
      <c r="L818">
        <v>73.402038574000002</v>
      </c>
      <c r="M818">
        <v>50</v>
      </c>
      <c r="N818">
        <v>49.991874695</v>
      </c>
    </row>
    <row r="819" spans="1:14" x14ac:dyDescent="0.25">
      <c r="A819">
        <v>1043.2203440000001</v>
      </c>
      <c r="B819" s="1">
        <f>DATE(2013,3,9) + TIME(5,17,17)</f>
        <v>41342.220335648148</v>
      </c>
      <c r="C819">
        <v>1301.1613769999999</v>
      </c>
      <c r="D819">
        <v>1287.2713623</v>
      </c>
      <c r="E819">
        <v>1390.2711182</v>
      </c>
      <c r="F819">
        <v>1370.9927978999999</v>
      </c>
      <c r="G819">
        <v>0</v>
      </c>
      <c r="H819">
        <v>2400</v>
      </c>
      <c r="I819">
        <v>2400</v>
      </c>
      <c r="J819">
        <v>0</v>
      </c>
      <c r="K819">
        <v>80</v>
      </c>
      <c r="L819">
        <v>73.180274963000002</v>
      </c>
      <c r="M819">
        <v>50</v>
      </c>
      <c r="N819">
        <v>49.991901398000003</v>
      </c>
    </row>
    <row r="820" spans="1:14" x14ac:dyDescent="0.25">
      <c r="A820">
        <v>1047.45316</v>
      </c>
      <c r="B820" s="1">
        <f>DATE(2013,3,13) + TIME(10,52,33)</f>
        <v>41346.453159722223</v>
      </c>
      <c r="C820">
        <v>1300.8824463000001</v>
      </c>
      <c r="D820">
        <v>1286.8773193</v>
      </c>
      <c r="E820">
        <v>1390.2680664</v>
      </c>
      <c r="F820">
        <v>1370.9910889</v>
      </c>
      <c r="G820">
        <v>0</v>
      </c>
      <c r="H820">
        <v>2400</v>
      </c>
      <c r="I820">
        <v>2400</v>
      </c>
      <c r="J820">
        <v>0</v>
      </c>
      <c r="K820">
        <v>80</v>
      </c>
      <c r="L820">
        <v>72.933723450000002</v>
      </c>
      <c r="M820">
        <v>50</v>
      </c>
      <c r="N820">
        <v>49.991928100999999</v>
      </c>
    </row>
    <row r="821" spans="1:14" x14ac:dyDescent="0.25">
      <c r="A821">
        <v>1051.7551229999999</v>
      </c>
      <c r="B821" s="1">
        <f>DATE(2013,3,17) + TIME(18,7,22)</f>
        <v>41350.755115740743</v>
      </c>
      <c r="C821">
        <v>1300.5933838000001</v>
      </c>
      <c r="D821">
        <v>1286.4664307</v>
      </c>
      <c r="E821">
        <v>1390.2650146000001</v>
      </c>
      <c r="F821">
        <v>1370.9892577999999</v>
      </c>
      <c r="G821">
        <v>0</v>
      </c>
      <c r="H821">
        <v>2400</v>
      </c>
      <c r="I821">
        <v>2400</v>
      </c>
      <c r="J821">
        <v>0</v>
      </c>
      <c r="K821">
        <v>80</v>
      </c>
      <c r="L821">
        <v>72.671035767000006</v>
      </c>
      <c r="M821">
        <v>50</v>
      </c>
      <c r="N821">
        <v>49.991954802999999</v>
      </c>
    </row>
    <row r="822" spans="1:14" x14ac:dyDescent="0.25">
      <c r="A822">
        <v>1056.146714</v>
      </c>
      <c r="B822" s="1">
        <f>DATE(2013,3,22) + TIME(3,31,16)</f>
        <v>41355.14671296296</v>
      </c>
      <c r="C822">
        <v>1300.2967529</v>
      </c>
      <c r="D822">
        <v>1286.0428466999999</v>
      </c>
      <c r="E822">
        <v>1390.2619629000001</v>
      </c>
      <c r="F822">
        <v>1370.9874268000001</v>
      </c>
      <c r="G822">
        <v>0</v>
      </c>
      <c r="H822">
        <v>2400</v>
      </c>
      <c r="I822">
        <v>2400</v>
      </c>
      <c r="J822">
        <v>0</v>
      </c>
      <c r="K822">
        <v>80</v>
      </c>
      <c r="L822">
        <v>72.392730713000006</v>
      </c>
      <c r="M822">
        <v>50</v>
      </c>
      <c r="N822">
        <v>49.991981506000002</v>
      </c>
    </row>
    <row r="823" spans="1:14" x14ac:dyDescent="0.25">
      <c r="A823">
        <v>1060.6484190000001</v>
      </c>
      <c r="B823" s="1">
        <f>DATE(2013,3,26) + TIME(15,33,43)</f>
        <v>41359.648414351854</v>
      </c>
      <c r="C823">
        <v>1299.9921875</v>
      </c>
      <c r="D823">
        <v>1285.6062012</v>
      </c>
      <c r="E823">
        <v>1390.2587891000001</v>
      </c>
      <c r="F823">
        <v>1370.9854736</v>
      </c>
      <c r="G823">
        <v>0</v>
      </c>
      <c r="H823">
        <v>2400</v>
      </c>
      <c r="I823">
        <v>2400</v>
      </c>
      <c r="J823">
        <v>0</v>
      </c>
      <c r="K823">
        <v>80</v>
      </c>
      <c r="L823">
        <v>72.097244262999993</v>
      </c>
      <c r="M823">
        <v>50</v>
      </c>
      <c r="N823">
        <v>49.992008208999998</v>
      </c>
    </row>
    <row r="824" spans="1:14" x14ac:dyDescent="0.25">
      <c r="A824">
        <v>1065.2694739999999</v>
      </c>
      <c r="B824" s="1">
        <f>DATE(2013,3,31) + TIME(6,28,2)</f>
        <v>41364.269467592596</v>
      </c>
      <c r="C824">
        <v>1299.6789550999999</v>
      </c>
      <c r="D824">
        <v>1285.1555175999999</v>
      </c>
      <c r="E824">
        <v>1390.2553711</v>
      </c>
      <c r="F824">
        <v>1370.9833983999999</v>
      </c>
      <c r="G824">
        <v>0</v>
      </c>
      <c r="H824">
        <v>2400</v>
      </c>
      <c r="I824">
        <v>2400</v>
      </c>
      <c r="J824">
        <v>0</v>
      </c>
      <c r="K824">
        <v>80</v>
      </c>
      <c r="L824">
        <v>71.782348632999998</v>
      </c>
      <c r="M824">
        <v>50</v>
      </c>
      <c r="N824">
        <v>49.992038727000001</v>
      </c>
    </row>
    <row r="825" spans="1:14" x14ac:dyDescent="0.25">
      <c r="A825">
        <v>1066</v>
      </c>
      <c r="B825" s="1">
        <f>DATE(2013,4,1) + TIME(0,0,0)</f>
        <v>41365</v>
      </c>
      <c r="C825">
        <v>1299.3762207</v>
      </c>
      <c r="D825">
        <v>1284.7528076000001</v>
      </c>
      <c r="E825">
        <v>1390.2512207</v>
      </c>
      <c r="F825">
        <v>1370.9805908000001</v>
      </c>
      <c r="G825">
        <v>0</v>
      </c>
      <c r="H825">
        <v>2400</v>
      </c>
      <c r="I825">
        <v>2400</v>
      </c>
      <c r="J825">
        <v>0</v>
      </c>
      <c r="K825">
        <v>80</v>
      </c>
      <c r="L825">
        <v>71.593864440999994</v>
      </c>
      <c r="M825">
        <v>50</v>
      </c>
      <c r="N825">
        <v>49.992042542</v>
      </c>
    </row>
    <row r="826" spans="1:14" x14ac:dyDescent="0.25">
      <c r="A826">
        <v>1070.713968</v>
      </c>
      <c r="B826" s="1">
        <f>DATE(2013,4,5) + TIME(17,8,6)</f>
        <v>41369.713958333334</v>
      </c>
      <c r="C826">
        <v>1299.2852783000001</v>
      </c>
      <c r="D826">
        <v>1284.5777588000001</v>
      </c>
      <c r="E826">
        <v>1390.2513428</v>
      </c>
      <c r="F826">
        <v>1370.9808350000001</v>
      </c>
      <c r="G826">
        <v>0</v>
      </c>
      <c r="H826">
        <v>2400</v>
      </c>
      <c r="I826">
        <v>2400</v>
      </c>
      <c r="J826">
        <v>0</v>
      </c>
      <c r="K826">
        <v>80</v>
      </c>
      <c r="L826">
        <v>71.372123717999997</v>
      </c>
      <c r="M826">
        <v>50</v>
      </c>
      <c r="N826">
        <v>49.992069244</v>
      </c>
    </row>
    <row r="827" spans="1:14" x14ac:dyDescent="0.25">
      <c r="A827">
        <v>1075.563349</v>
      </c>
      <c r="B827" s="1">
        <f>DATE(2013,4,10) + TIME(13,31,13)</f>
        <v>41374.563344907408</v>
      </c>
      <c r="C827">
        <v>1298.9744873</v>
      </c>
      <c r="D827">
        <v>1284.1345214999999</v>
      </c>
      <c r="E827">
        <v>1390.2475586</v>
      </c>
      <c r="F827">
        <v>1370.9783935999999</v>
      </c>
      <c r="G827">
        <v>0</v>
      </c>
      <c r="H827">
        <v>2400</v>
      </c>
      <c r="I827">
        <v>2400</v>
      </c>
      <c r="J827">
        <v>0</v>
      </c>
      <c r="K827">
        <v>80</v>
      </c>
      <c r="L827">
        <v>71.030586243000002</v>
      </c>
      <c r="M827">
        <v>50</v>
      </c>
      <c r="N827">
        <v>49.992099762000002</v>
      </c>
    </row>
    <row r="828" spans="1:14" x14ac:dyDescent="0.25">
      <c r="A828">
        <v>1080.537282</v>
      </c>
      <c r="B828" s="1">
        <f>DATE(2013,4,15) + TIME(12,53,41)</f>
        <v>41379.537280092591</v>
      </c>
      <c r="C828">
        <v>1298.6405029</v>
      </c>
      <c r="D828">
        <v>1283.6492920000001</v>
      </c>
      <c r="E828">
        <v>1390.2435303</v>
      </c>
      <c r="F828">
        <v>1370.9757079999999</v>
      </c>
      <c r="G828">
        <v>0</v>
      </c>
      <c r="H828">
        <v>2400</v>
      </c>
      <c r="I828">
        <v>2400</v>
      </c>
      <c r="J828">
        <v>0</v>
      </c>
      <c r="K828">
        <v>80</v>
      </c>
      <c r="L828">
        <v>70.651077271000005</v>
      </c>
      <c r="M828">
        <v>50</v>
      </c>
      <c r="N828">
        <v>49.992126464999998</v>
      </c>
    </row>
    <row r="829" spans="1:14" x14ac:dyDescent="0.25">
      <c r="A829">
        <v>1085.6507799999999</v>
      </c>
      <c r="B829" s="1">
        <f>DATE(2013,4,20) + TIME(15,37,7)</f>
        <v>41384.650775462964</v>
      </c>
      <c r="C829">
        <v>1298.2972411999999</v>
      </c>
      <c r="D829">
        <v>1283.1479492000001</v>
      </c>
      <c r="E829">
        <v>1390.2392577999999</v>
      </c>
      <c r="F829">
        <v>1370.9727783000001</v>
      </c>
      <c r="G829">
        <v>0</v>
      </c>
      <c r="H829">
        <v>2400</v>
      </c>
      <c r="I829">
        <v>2400</v>
      </c>
      <c r="J829">
        <v>0</v>
      </c>
      <c r="K829">
        <v>80</v>
      </c>
      <c r="L829">
        <v>70.246192932</v>
      </c>
      <c r="M829">
        <v>50</v>
      </c>
      <c r="N829">
        <v>49.992156981999997</v>
      </c>
    </row>
    <row r="830" spans="1:14" x14ac:dyDescent="0.25">
      <c r="A830">
        <v>1090.895929</v>
      </c>
      <c r="B830" s="1">
        <f>DATE(2013,4,25) + TIME(21,30,8)</f>
        <v>41389.895925925928</v>
      </c>
      <c r="C830">
        <v>1297.9468993999999</v>
      </c>
      <c r="D830">
        <v>1282.6340332</v>
      </c>
      <c r="E830">
        <v>1390.2346190999999</v>
      </c>
      <c r="F830">
        <v>1370.9696045000001</v>
      </c>
      <c r="G830">
        <v>0</v>
      </c>
      <c r="H830">
        <v>2400</v>
      </c>
      <c r="I830">
        <v>2400</v>
      </c>
      <c r="J830">
        <v>0</v>
      </c>
      <c r="K830">
        <v>80</v>
      </c>
      <c r="L830">
        <v>69.816139221</v>
      </c>
      <c r="M830">
        <v>50</v>
      </c>
      <c r="N830">
        <v>49.9921875</v>
      </c>
    </row>
    <row r="831" spans="1:14" x14ac:dyDescent="0.25">
      <c r="A831">
        <v>1096</v>
      </c>
      <c r="B831" s="1">
        <f>DATE(2013,5,1) + TIME(0,0,0)</f>
        <v>41395</v>
      </c>
      <c r="C831">
        <v>1297.5911865</v>
      </c>
      <c r="D831">
        <v>1282.1108397999999</v>
      </c>
      <c r="E831">
        <v>1390.2297363</v>
      </c>
      <c r="F831">
        <v>1370.9660644999999</v>
      </c>
      <c r="G831">
        <v>0</v>
      </c>
      <c r="H831">
        <v>2400</v>
      </c>
      <c r="I831">
        <v>2400</v>
      </c>
      <c r="J831">
        <v>0</v>
      </c>
      <c r="K831">
        <v>80</v>
      </c>
      <c r="L831">
        <v>69.362731933999996</v>
      </c>
      <c r="M831">
        <v>50</v>
      </c>
      <c r="N831">
        <v>49.992214203000003</v>
      </c>
    </row>
    <row r="832" spans="1:14" x14ac:dyDescent="0.25">
      <c r="A832">
        <v>1096.0000010000001</v>
      </c>
      <c r="B832" s="1">
        <f>DATE(2013,5,1) + TIME(0,0,0)</f>
        <v>41395</v>
      </c>
      <c r="C832">
        <v>1314.6574707</v>
      </c>
      <c r="D832">
        <v>1298.5447998</v>
      </c>
      <c r="E832">
        <v>1370.0914307</v>
      </c>
      <c r="F832">
        <v>1351.0167236</v>
      </c>
      <c r="G832">
        <v>2400</v>
      </c>
      <c r="H832">
        <v>0</v>
      </c>
      <c r="I832">
        <v>0</v>
      </c>
      <c r="J832">
        <v>2400</v>
      </c>
      <c r="K832">
        <v>80</v>
      </c>
      <c r="L832">
        <v>69.362876892000003</v>
      </c>
      <c r="M832">
        <v>50</v>
      </c>
      <c r="N832">
        <v>49.992103577000002</v>
      </c>
    </row>
    <row r="833" spans="1:14" x14ac:dyDescent="0.25">
      <c r="A833">
        <v>1096.000004</v>
      </c>
      <c r="B833" s="1">
        <f>DATE(2013,5,1) + TIME(0,0,0)</f>
        <v>41395</v>
      </c>
      <c r="C833">
        <v>1316.9500731999999</v>
      </c>
      <c r="D833">
        <v>1300.9913329999999</v>
      </c>
      <c r="E833">
        <v>1367.7585449000001</v>
      </c>
      <c r="F833">
        <v>1348.6835937999999</v>
      </c>
      <c r="G833">
        <v>2400</v>
      </c>
      <c r="H833">
        <v>0</v>
      </c>
      <c r="I833">
        <v>0</v>
      </c>
      <c r="J833">
        <v>2400</v>
      </c>
      <c r="K833">
        <v>80</v>
      </c>
      <c r="L833">
        <v>69.363250731999997</v>
      </c>
      <c r="M833">
        <v>50</v>
      </c>
      <c r="N833">
        <v>49.991809844999999</v>
      </c>
    </row>
    <row r="834" spans="1:14" x14ac:dyDescent="0.25">
      <c r="A834">
        <v>1096.0000130000001</v>
      </c>
      <c r="B834" s="1">
        <f>DATE(2013,5,1) + TIME(0,0,1)</f>
        <v>41395.000011574077</v>
      </c>
      <c r="C834">
        <v>1321.8590088000001</v>
      </c>
      <c r="D834">
        <v>1306.0856934000001</v>
      </c>
      <c r="E834">
        <v>1362.5258789</v>
      </c>
      <c r="F834">
        <v>1343.4504394999999</v>
      </c>
      <c r="G834">
        <v>2400</v>
      </c>
      <c r="H834">
        <v>0</v>
      </c>
      <c r="I834">
        <v>0</v>
      </c>
      <c r="J834">
        <v>2400</v>
      </c>
      <c r="K834">
        <v>80</v>
      </c>
      <c r="L834">
        <v>69.364074707</v>
      </c>
      <c r="M834">
        <v>50</v>
      </c>
      <c r="N834">
        <v>49.991149901999997</v>
      </c>
    </row>
    <row r="835" spans="1:14" x14ac:dyDescent="0.25">
      <c r="A835">
        <v>1096.0000399999999</v>
      </c>
      <c r="B835" s="1">
        <f>DATE(2013,5,1) + TIME(0,0,3)</f>
        <v>41395.000034722223</v>
      </c>
      <c r="C835">
        <v>1329.5645752</v>
      </c>
      <c r="D835">
        <v>1313.8428954999999</v>
      </c>
      <c r="E835">
        <v>1353.7835693</v>
      </c>
      <c r="F835">
        <v>1334.7081298999999</v>
      </c>
      <c r="G835">
        <v>2400</v>
      </c>
      <c r="H835">
        <v>0</v>
      </c>
      <c r="I835">
        <v>0</v>
      </c>
      <c r="J835">
        <v>2400</v>
      </c>
      <c r="K835">
        <v>80</v>
      </c>
      <c r="L835">
        <v>69.365516662999994</v>
      </c>
      <c r="M835">
        <v>50</v>
      </c>
      <c r="N835">
        <v>49.990051270000002</v>
      </c>
    </row>
    <row r="836" spans="1:14" x14ac:dyDescent="0.25">
      <c r="A836">
        <v>1096.000121</v>
      </c>
      <c r="B836" s="1">
        <f>DATE(2013,5,1) + TIME(0,0,10)</f>
        <v>41395.000115740739</v>
      </c>
      <c r="C836">
        <v>1338.5736084</v>
      </c>
      <c r="D836">
        <v>1322.7783202999999</v>
      </c>
      <c r="E836">
        <v>1343.1158447</v>
      </c>
      <c r="F836">
        <v>1324.041626</v>
      </c>
      <c r="G836">
        <v>2400</v>
      </c>
      <c r="H836">
        <v>0</v>
      </c>
      <c r="I836">
        <v>0</v>
      </c>
      <c r="J836">
        <v>2400</v>
      </c>
      <c r="K836">
        <v>80</v>
      </c>
      <c r="L836">
        <v>69.367889403999996</v>
      </c>
      <c r="M836">
        <v>50</v>
      </c>
      <c r="N836">
        <v>49.988704681000002</v>
      </c>
    </row>
    <row r="837" spans="1:14" x14ac:dyDescent="0.25">
      <c r="A837">
        <v>1096.000364</v>
      </c>
      <c r="B837" s="1">
        <f>DATE(2013,5,1) + TIME(0,0,31)</f>
        <v>41395.000358796293</v>
      </c>
      <c r="C837">
        <v>1347.8051757999999</v>
      </c>
      <c r="D837">
        <v>1331.9210204999999</v>
      </c>
      <c r="E837">
        <v>1332.1408690999999</v>
      </c>
      <c r="F837">
        <v>1313.0692139</v>
      </c>
      <c r="G837">
        <v>2400</v>
      </c>
      <c r="H837">
        <v>0</v>
      </c>
      <c r="I837">
        <v>0</v>
      </c>
      <c r="J837">
        <v>2400</v>
      </c>
      <c r="K837">
        <v>80</v>
      </c>
      <c r="L837">
        <v>69.372604370000005</v>
      </c>
      <c r="M837">
        <v>50</v>
      </c>
      <c r="N837">
        <v>49.987312316999997</v>
      </c>
    </row>
    <row r="838" spans="1:14" x14ac:dyDescent="0.25">
      <c r="A838">
        <v>1096.0010930000001</v>
      </c>
      <c r="B838" s="1">
        <f>DATE(2013,5,1) + TIME(0,1,34)</f>
        <v>41395.001087962963</v>
      </c>
      <c r="C838">
        <v>1357.2020264</v>
      </c>
      <c r="D838">
        <v>1341.2192382999999</v>
      </c>
      <c r="E838">
        <v>1321.2003173999999</v>
      </c>
      <c r="F838">
        <v>1302.1317139</v>
      </c>
      <c r="G838">
        <v>2400</v>
      </c>
      <c r="H838">
        <v>0</v>
      </c>
      <c r="I838">
        <v>0</v>
      </c>
      <c r="J838">
        <v>2400</v>
      </c>
      <c r="K838">
        <v>80</v>
      </c>
      <c r="L838">
        <v>69.384323120000005</v>
      </c>
      <c r="M838">
        <v>50</v>
      </c>
      <c r="N838">
        <v>49.985912323000001</v>
      </c>
    </row>
    <row r="839" spans="1:14" x14ac:dyDescent="0.25">
      <c r="A839">
        <v>1096.0032799999999</v>
      </c>
      <c r="B839" s="1">
        <f>DATE(2013,5,1) + TIME(0,4,43)</f>
        <v>41395.003275462965</v>
      </c>
      <c r="C839">
        <v>1366.8361815999999</v>
      </c>
      <c r="D839">
        <v>1350.7437743999999</v>
      </c>
      <c r="E839">
        <v>1310.4094238</v>
      </c>
      <c r="F839">
        <v>1291.3366699000001</v>
      </c>
      <c r="G839">
        <v>2400</v>
      </c>
      <c r="H839">
        <v>0</v>
      </c>
      <c r="I839">
        <v>0</v>
      </c>
      <c r="J839">
        <v>2400</v>
      </c>
      <c r="K839">
        <v>80</v>
      </c>
      <c r="L839">
        <v>69.417106627999999</v>
      </c>
      <c r="M839">
        <v>50</v>
      </c>
      <c r="N839">
        <v>49.984481811999999</v>
      </c>
    </row>
    <row r="840" spans="1:14" x14ac:dyDescent="0.25">
      <c r="A840">
        <v>1096.0098410000001</v>
      </c>
      <c r="B840" s="1">
        <f>DATE(2013,5,1) + TIME(0,14,10)</f>
        <v>41395.009837962964</v>
      </c>
      <c r="C840">
        <v>1375.7830810999999</v>
      </c>
      <c r="D840">
        <v>1359.6096190999999</v>
      </c>
      <c r="E840">
        <v>1300.7963867000001</v>
      </c>
      <c r="F840">
        <v>1281.7060547000001</v>
      </c>
      <c r="G840">
        <v>2400</v>
      </c>
      <c r="H840">
        <v>0</v>
      </c>
      <c r="I840">
        <v>0</v>
      </c>
      <c r="J840">
        <v>2400</v>
      </c>
      <c r="K840">
        <v>80</v>
      </c>
      <c r="L840">
        <v>69.512496948000006</v>
      </c>
      <c r="M840">
        <v>50</v>
      </c>
      <c r="N840">
        <v>49.983062744000001</v>
      </c>
    </row>
    <row r="841" spans="1:14" x14ac:dyDescent="0.25">
      <c r="A841">
        <v>1096.029524</v>
      </c>
      <c r="B841" s="1">
        <f>DATE(2013,5,1) + TIME(0,42,30)</f>
        <v>41395.029513888891</v>
      </c>
      <c r="C841">
        <v>1381.8701172000001</v>
      </c>
      <c r="D841">
        <v>1365.7076416</v>
      </c>
      <c r="E841">
        <v>1294.6574707</v>
      </c>
      <c r="F841">
        <v>1275.5520019999999</v>
      </c>
      <c r="G841">
        <v>2400</v>
      </c>
      <c r="H841">
        <v>0</v>
      </c>
      <c r="I841">
        <v>0</v>
      </c>
      <c r="J841">
        <v>2400</v>
      </c>
      <c r="K841">
        <v>80</v>
      </c>
      <c r="L841">
        <v>69.789222717000001</v>
      </c>
      <c r="M841">
        <v>50</v>
      </c>
      <c r="N841">
        <v>49.981658936000002</v>
      </c>
    </row>
    <row r="842" spans="1:14" x14ac:dyDescent="0.25">
      <c r="A842">
        <v>1096.0649800000001</v>
      </c>
      <c r="B842" s="1">
        <f>DATE(2013,5,1) + TIME(1,33,34)</f>
        <v>41395.064976851849</v>
      </c>
      <c r="C842">
        <v>1383.9356689000001</v>
      </c>
      <c r="D842">
        <v>1367.8665771000001</v>
      </c>
      <c r="E842">
        <v>1292.8233643000001</v>
      </c>
      <c r="F842">
        <v>1273.7132568</v>
      </c>
      <c r="G842">
        <v>2400</v>
      </c>
      <c r="H842">
        <v>0</v>
      </c>
      <c r="I842">
        <v>0</v>
      </c>
      <c r="J842">
        <v>2400</v>
      </c>
      <c r="K842">
        <v>80</v>
      </c>
      <c r="L842">
        <v>70.263473511000001</v>
      </c>
      <c r="M842">
        <v>50</v>
      </c>
      <c r="N842">
        <v>49.980297088999997</v>
      </c>
    </row>
    <row r="843" spans="1:14" x14ac:dyDescent="0.25">
      <c r="A843">
        <v>1096.1016520000001</v>
      </c>
      <c r="B843" s="1">
        <f>DATE(2013,5,1) + TIME(2,26,22)</f>
        <v>41395.101643518516</v>
      </c>
      <c r="C843">
        <v>1384.3291016000001</v>
      </c>
      <c r="D843">
        <v>1368.3520507999999</v>
      </c>
      <c r="E843">
        <v>1292.5198975000001</v>
      </c>
      <c r="F843">
        <v>1273.4089355000001</v>
      </c>
      <c r="G843">
        <v>2400</v>
      </c>
      <c r="H843">
        <v>0</v>
      </c>
      <c r="I843">
        <v>0</v>
      </c>
      <c r="J843">
        <v>2400</v>
      </c>
      <c r="K843">
        <v>80</v>
      </c>
      <c r="L843">
        <v>70.730331421000002</v>
      </c>
      <c r="M843">
        <v>50</v>
      </c>
      <c r="N843">
        <v>49.979091644</v>
      </c>
    </row>
    <row r="844" spans="1:14" x14ac:dyDescent="0.25">
      <c r="A844">
        <v>1096.1395829999999</v>
      </c>
      <c r="B844" s="1">
        <f>DATE(2013,5,1) + TIME(3,20,59)</f>
        <v>41395.13957175926</v>
      </c>
      <c r="C844">
        <v>1384.3248291</v>
      </c>
      <c r="D844">
        <v>1368.4392089999999</v>
      </c>
      <c r="E844">
        <v>1292.4853516000001</v>
      </c>
      <c r="F844">
        <v>1273.3742675999999</v>
      </c>
      <c r="G844">
        <v>2400</v>
      </c>
      <c r="H844">
        <v>0</v>
      </c>
      <c r="I844">
        <v>0</v>
      </c>
      <c r="J844">
        <v>2400</v>
      </c>
      <c r="K844">
        <v>80</v>
      </c>
      <c r="L844">
        <v>71.189422606999997</v>
      </c>
      <c r="M844">
        <v>50</v>
      </c>
      <c r="N844">
        <v>49.977893829000003</v>
      </c>
    </row>
    <row r="845" spans="1:14" x14ac:dyDescent="0.25">
      <c r="A845">
        <v>1096.178856</v>
      </c>
      <c r="B845" s="1">
        <f>DATE(2013,5,1) + TIME(4,17,33)</f>
        <v>41395.178854166668</v>
      </c>
      <c r="C845">
        <v>1384.2198486</v>
      </c>
      <c r="D845">
        <v>1368.4234618999999</v>
      </c>
      <c r="E845">
        <v>1292.4892577999999</v>
      </c>
      <c r="F845">
        <v>1273.3780518000001</v>
      </c>
      <c r="G845">
        <v>2400</v>
      </c>
      <c r="H845">
        <v>0</v>
      </c>
      <c r="I845">
        <v>0</v>
      </c>
      <c r="J845">
        <v>2400</v>
      </c>
      <c r="K845">
        <v>80</v>
      </c>
      <c r="L845">
        <v>71.640518188000001</v>
      </c>
      <c r="M845">
        <v>50</v>
      </c>
      <c r="N845">
        <v>49.976673126000001</v>
      </c>
    </row>
    <row r="846" spans="1:14" x14ac:dyDescent="0.25">
      <c r="A846">
        <v>1096.219572</v>
      </c>
      <c r="B846" s="1">
        <f>DATE(2013,5,1) + TIME(5,16,11)</f>
        <v>41395.219571759262</v>
      </c>
      <c r="C846">
        <v>1384.0893555</v>
      </c>
      <c r="D846">
        <v>1368.3795166</v>
      </c>
      <c r="E846">
        <v>1292.4941406</v>
      </c>
      <c r="F846">
        <v>1273.3828125</v>
      </c>
      <c r="G846">
        <v>2400</v>
      </c>
      <c r="H846">
        <v>0</v>
      </c>
      <c r="I846">
        <v>0</v>
      </c>
      <c r="J846">
        <v>2400</v>
      </c>
      <c r="K846">
        <v>80</v>
      </c>
      <c r="L846">
        <v>72.083541870000005</v>
      </c>
      <c r="M846">
        <v>50</v>
      </c>
      <c r="N846">
        <v>49.975425719999997</v>
      </c>
    </row>
    <row r="847" spans="1:14" x14ac:dyDescent="0.25">
      <c r="A847">
        <v>1096.261849</v>
      </c>
      <c r="B847" s="1">
        <f>DATE(2013,5,1) + TIME(6,17,3)</f>
        <v>41395.261840277781</v>
      </c>
      <c r="C847">
        <v>1383.9538574000001</v>
      </c>
      <c r="D847">
        <v>1368.3280029</v>
      </c>
      <c r="E847">
        <v>1292.496582</v>
      </c>
      <c r="F847">
        <v>1273.3852539</v>
      </c>
      <c r="G847">
        <v>2400</v>
      </c>
      <c r="H847">
        <v>0</v>
      </c>
      <c r="I847">
        <v>0</v>
      </c>
      <c r="J847">
        <v>2400</v>
      </c>
      <c r="K847">
        <v>80</v>
      </c>
      <c r="L847">
        <v>72.518379210999996</v>
      </c>
      <c r="M847">
        <v>50</v>
      </c>
      <c r="N847">
        <v>49.974143982000001</v>
      </c>
    </row>
    <row r="848" spans="1:14" x14ac:dyDescent="0.25">
      <c r="A848">
        <v>1096.305818</v>
      </c>
      <c r="B848" s="1">
        <f>DATE(2013,5,1) + TIME(7,20,22)</f>
        <v>41395.305810185186</v>
      </c>
      <c r="C848">
        <v>1383.8194579999999</v>
      </c>
      <c r="D848">
        <v>1368.2749022999999</v>
      </c>
      <c r="E848">
        <v>1292.4976807</v>
      </c>
      <c r="F848">
        <v>1273.3861084</v>
      </c>
      <c r="G848">
        <v>2400</v>
      </c>
      <c r="H848">
        <v>0</v>
      </c>
      <c r="I848">
        <v>0</v>
      </c>
      <c r="J848">
        <v>2400</v>
      </c>
      <c r="K848">
        <v>80</v>
      </c>
      <c r="L848">
        <v>72.944946289000001</v>
      </c>
      <c r="M848">
        <v>50</v>
      </c>
      <c r="N848">
        <v>49.972827911000003</v>
      </c>
    </row>
    <row r="849" spans="1:14" x14ac:dyDescent="0.25">
      <c r="A849">
        <v>1096.351629</v>
      </c>
      <c r="B849" s="1">
        <f>DATE(2013,5,1) + TIME(8,26,20)</f>
        <v>41395.351620370369</v>
      </c>
      <c r="C849">
        <v>1383.6877440999999</v>
      </c>
      <c r="D849">
        <v>1368.2220459</v>
      </c>
      <c r="E849">
        <v>1292.4980469</v>
      </c>
      <c r="F849">
        <v>1273.3864745999999</v>
      </c>
      <c r="G849">
        <v>2400</v>
      </c>
      <c r="H849">
        <v>0</v>
      </c>
      <c r="I849">
        <v>0</v>
      </c>
      <c r="J849">
        <v>2400</v>
      </c>
      <c r="K849">
        <v>80</v>
      </c>
      <c r="L849">
        <v>73.363121032999999</v>
      </c>
      <c r="M849">
        <v>50</v>
      </c>
      <c r="N849">
        <v>49.971469878999997</v>
      </c>
    </row>
    <row r="850" spans="1:14" x14ac:dyDescent="0.25">
      <c r="A850">
        <v>1096.399449</v>
      </c>
      <c r="B850" s="1">
        <f>DATE(2013,5,1) + TIME(9,35,12)</f>
        <v>41395.399444444447</v>
      </c>
      <c r="C850">
        <v>1383.5593262</v>
      </c>
      <c r="D850">
        <v>1368.1699219</v>
      </c>
      <c r="E850">
        <v>1292.4981689000001</v>
      </c>
      <c r="F850">
        <v>1273.3864745999999</v>
      </c>
      <c r="G850">
        <v>2400</v>
      </c>
      <c r="H850">
        <v>0</v>
      </c>
      <c r="I850">
        <v>0</v>
      </c>
      <c r="J850">
        <v>2400</v>
      </c>
      <c r="K850">
        <v>80</v>
      </c>
      <c r="L850">
        <v>73.772766113000003</v>
      </c>
      <c r="M850">
        <v>50</v>
      </c>
      <c r="N850">
        <v>49.9700737</v>
      </c>
    </row>
    <row r="851" spans="1:14" x14ac:dyDescent="0.25">
      <c r="A851">
        <v>1096.44947</v>
      </c>
      <c r="B851" s="1">
        <f>DATE(2013,5,1) + TIME(10,47,14)</f>
        <v>41395.449467592596</v>
      </c>
      <c r="C851">
        <v>1383.434082</v>
      </c>
      <c r="D851">
        <v>1368.1186522999999</v>
      </c>
      <c r="E851">
        <v>1292.4981689000001</v>
      </c>
      <c r="F851">
        <v>1273.3864745999999</v>
      </c>
      <c r="G851">
        <v>2400</v>
      </c>
      <c r="H851">
        <v>0</v>
      </c>
      <c r="I851">
        <v>0</v>
      </c>
      <c r="J851">
        <v>2400</v>
      </c>
      <c r="K851">
        <v>80</v>
      </c>
      <c r="L851">
        <v>74.173721313000001</v>
      </c>
      <c r="M851">
        <v>50</v>
      </c>
      <c r="N851">
        <v>49.968631744</v>
      </c>
    </row>
    <row r="852" spans="1:14" x14ac:dyDescent="0.25">
      <c r="A852">
        <v>1096.5019460000001</v>
      </c>
      <c r="B852" s="1">
        <f>DATE(2013,5,1) + TIME(12,2,48)</f>
        <v>41395.501944444448</v>
      </c>
      <c r="C852">
        <v>1383.3118896000001</v>
      </c>
      <c r="D852">
        <v>1368.0682373</v>
      </c>
      <c r="E852">
        <v>1292.4981689000001</v>
      </c>
      <c r="F852">
        <v>1273.3863524999999</v>
      </c>
      <c r="G852">
        <v>2400</v>
      </c>
      <c r="H852">
        <v>0</v>
      </c>
      <c r="I852">
        <v>0</v>
      </c>
      <c r="J852">
        <v>2400</v>
      </c>
      <c r="K852">
        <v>80</v>
      </c>
      <c r="L852">
        <v>74.566062927000004</v>
      </c>
      <c r="M852">
        <v>50</v>
      </c>
      <c r="N852">
        <v>49.967136383000003</v>
      </c>
    </row>
    <row r="853" spans="1:14" x14ac:dyDescent="0.25">
      <c r="A853">
        <v>1096.5571010000001</v>
      </c>
      <c r="B853" s="1">
        <f>DATE(2013,5,1) + TIME(13,22,13)</f>
        <v>41395.55709490741</v>
      </c>
      <c r="C853">
        <v>1383.1926269999999</v>
      </c>
      <c r="D853">
        <v>1368.0184326000001</v>
      </c>
      <c r="E853">
        <v>1292.4981689000001</v>
      </c>
      <c r="F853">
        <v>1273.3861084</v>
      </c>
      <c r="G853">
        <v>2400</v>
      </c>
      <c r="H853">
        <v>0</v>
      </c>
      <c r="I853">
        <v>0</v>
      </c>
      <c r="J853">
        <v>2400</v>
      </c>
      <c r="K853">
        <v>80</v>
      </c>
      <c r="L853">
        <v>74.949348450000002</v>
      </c>
      <c r="M853">
        <v>50</v>
      </c>
      <c r="N853">
        <v>49.965587616000001</v>
      </c>
    </row>
    <row r="854" spans="1:14" x14ac:dyDescent="0.25">
      <c r="A854">
        <v>1096.615225</v>
      </c>
      <c r="B854" s="1">
        <f>DATE(2013,5,1) + TIME(14,45,55)</f>
        <v>41395.615219907406</v>
      </c>
      <c r="C854">
        <v>1383.0761719</v>
      </c>
      <c r="D854">
        <v>1367.9692382999999</v>
      </c>
      <c r="E854">
        <v>1292.4980469</v>
      </c>
      <c r="F854">
        <v>1273.3859863</v>
      </c>
      <c r="G854">
        <v>2400</v>
      </c>
      <c r="H854">
        <v>0</v>
      </c>
      <c r="I854">
        <v>0</v>
      </c>
      <c r="J854">
        <v>2400</v>
      </c>
      <c r="K854">
        <v>80</v>
      </c>
      <c r="L854">
        <v>75.323089600000003</v>
      </c>
      <c r="M854">
        <v>50</v>
      </c>
      <c r="N854">
        <v>49.963973998999997</v>
      </c>
    </row>
    <row r="855" spans="1:14" x14ac:dyDescent="0.25">
      <c r="A855">
        <v>1096.676659</v>
      </c>
      <c r="B855" s="1">
        <f>DATE(2013,5,1) + TIME(16,14,23)</f>
        <v>41395.676655092589</v>
      </c>
      <c r="C855">
        <v>1382.9624022999999</v>
      </c>
      <c r="D855">
        <v>1367.9205322</v>
      </c>
      <c r="E855">
        <v>1292.4980469</v>
      </c>
      <c r="F855">
        <v>1273.3857422000001</v>
      </c>
      <c r="G855">
        <v>2400</v>
      </c>
      <c r="H855">
        <v>0</v>
      </c>
      <c r="I855">
        <v>0</v>
      </c>
      <c r="J855">
        <v>2400</v>
      </c>
      <c r="K855">
        <v>80</v>
      </c>
      <c r="L855">
        <v>75.687217712000006</v>
      </c>
      <c r="M855">
        <v>50</v>
      </c>
      <c r="N855">
        <v>49.962295531999999</v>
      </c>
    </row>
    <row r="856" spans="1:14" x14ac:dyDescent="0.25">
      <c r="A856">
        <v>1096.7418029999999</v>
      </c>
      <c r="B856" s="1">
        <f>DATE(2013,5,1) + TIME(17,48,11)</f>
        <v>41395.741793981484</v>
      </c>
      <c r="C856">
        <v>1382.8510742000001</v>
      </c>
      <c r="D856">
        <v>1367.8721923999999</v>
      </c>
      <c r="E856">
        <v>1292.4979248</v>
      </c>
      <c r="F856">
        <v>1273.3856201000001</v>
      </c>
      <c r="G856">
        <v>2400</v>
      </c>
      <c r="H856">
        <v>0</v>
      </c>
      <c r="I856">
        <v>0</v>
      </c>
      <c r="J856">
        <v>2400</v>
      </c>
      <c r="K856">
        <v>80</v>
      </c>
      <c r="L856">
        <v>76.041473389000004</v>
      </c>
      <c r="M856">
        <v>50</v>
      </c>
      <c r="N856">
        <v>49.960536957000002</v>
      </c>
    </row>
    <row r="857" spans="1:14" x14ac:dyDescent="0.25">
      <c r="A857">
        <v>1096.8111220000001</v>
      </c>
      <c r="B857" s="1">
        <f>DATE(2013,5,1) + TIME(19,28,0)</f>
        <v>41395.811111111114</v>
      </c>
      <c r="C857">
        <v>1382.7420654</v>
      </c>
      <c r="D857">
        <v>1367.8240966999999</v>
      </c>
      <c r="E857">
        <v>1292.4978027</v>
      </c>
      <c r="F857">
        <v>1273.385376</v>
      </c>
      <c r="G857">
        <v>2400</v>
      </c>
      <c r="H857">
        <v>0</v>
      </c>
      <c r="I857">
        <v>0</v>
      </c>
      <c r="J857">
        <v>2400</v>
      </c>
      <c r="K857">
        <v>80</v>
      </c>
      <c r="L857">
        <v>76.385475158999995</v>
      </c>
      <c r="M857">
        <v>50</v>
      </c>
      <c r="N857">
        <v>49.958694457999997</v>
      </c>
    </row>
    <row r="858" spans="1:14" x14ac:dyDescent="0.25">
      <c r="A858">
        <v>1096.8851870000001</v>
      </c>
      <c r="B858" s="1">
        <f>DATE(2013,5,1) + TIME(21,14,40)</f>
        <v>41395.885185185187</v>
      </c>
      <c r="C858">
        <v>1382.6351318</v>
      </c>
      <c r="D858">
        <v>1367.776001</v>
      </c>
      <c r="E858">
        <v>1292.4976807</v>
      </c>
      <c r="F858">
        <v>1273.3850098</v>
      </c>
      <c r="G858">
        <v>2400</v>
      </c>
      <c r="H858">
        <v>0</v>
      </c>
      <c r="I858">
        <v>0</v>
      </c>
      <c r="J858">
        <v>2400</v>
      </c>
      <c r="K858">
        <v>80</v>
      </c>
      <c r="L858">
        <v>76.718879700000002</v>
      </c>
      <c r="M858">
        <v>50</v>
      </c>
      <c r="N858">
        <v>49.956756591999998</v>
      </c>
    </row>
    <row r="859" spans="1:14" x14ac:dyDescent="0.25">
      <c r="A859">
        <v>1096.9646929999999</v>
      </c>
      <c r="B859" s="1">
        <f>DATE(2013,5,1) + TIME(23,9,9)</f>
        <v>41395.964687500003</v>
      </c>
      <c r="C859">
        <v>1382.5300293</v>
      </c>
      <c r="D859">
        <v>1367.7277832</v>
      </c>
      <c r="E859">
        <v>1292.4975586</v>
      </c>
      <c r="F859">
        <v>1273.3847656</v>
      </c>
      <c r="G859">
        <v>2400</v>
      </c>
      <c r="H859">
        <v>0</v>
      </c>
      <c r="I859">
        <v>0</v>
      </c>
      <c r="J859">
        <v>2400</v>
      </c>
      <c r="K859">
        <v>80</v>
      </c>
      <c r="L859">
        <v>77.041297912999994</v>
      </c>
      <c r="M859">
        <v>50</v>
      </c>
      <c r="N859">
        <v>49.954704284999998</v>
      </c>
    </row>
    <row r="860" spans="1:14" x14ac:dyDescent="0.25">
      <c r="A860">
        <v>1097.0504840000001</v>
      </c>
      <c r="B860" s="1">
        <f>DATE(2013,5,2) + TIME(1,12,41)</f>
        <v>41396.050474537034</v>
      </c>
      <c r="C860">
        <v>1382.4266356999999</v>
      </c>
      <c r="D860">
        <v>1367.6793213000001</v>
      </c>
      <c r="E860">
        <v>1292.4974365</v>
      </c>
      <c r="F860">
        <v>1273.3843993999999</v>
      </c>
      <c r="G860">
        <v>2400</v>
      </c>
      <c r="H860">
        <v>0</v>
      </c>
      <c r="I860">
        <v>0</v>
      </c>
      <c r="J860">
        <v>2400</v>
      </c>
      <c r="K860">
        <v>80</v>
      </c>
      <c r="L860">
        <v>77.352241516000007</v>
      </c>
      <c r="M860">
        <v>50</v>
      </c>
      <c r="N860">
        <v>49.952522278000004</v>
      </c>
    </row>
    <row r="861" spans="1:14" x14ac:dyDescent="0.25">
      <c r="A861">
        <v>1097.1436120000001</v>
      </c>
      <c r="B861" s="1">
        <f>DATE(2013,5,2) + TIME(3,26,48)</f>
        <v>41396.143611111111</v>
      </c>
      <c r="C861">
        <v>1382.3245850000001</v>
      </c>
      <c r="D861">
        <v>1367.6303711</v>
      </c>
      <c r="E861">
        <v>1292.4971923999999</v>
      </c>
      <c r="F861">
        <v>1273.3840332</v>
      </c>
      <c r="G861">
        <v>2400</v>
      </c>
      <c r="H861">
        <v>0</v>
      </c>
      <c r="I861">
        <v>0</v>
      </c>
      <c r="J861">
        <v>2400</v>
      </c>
      <c r="K861">
        <v>80</v>
      </c>
      <c r="L861">
        <v>77.651184082</v>
      </c>
      <c r="M861">
        <v>50</v>
      </c>
      <c r="N861">
        <v>49.950195311999998</v>
      </c>
    </row>
    <row r="862" spans="1:14" x14ac:dyDescent="0.25">
      <c r="A862">
        <v>1097.2454250000001</v>
      </c>
      <c r="B862" s="1">
        <f>DATE(2013,5,2) + TIME(5,53,24)</f>
        <v>41396.245416666665</v>
      </c>
      <c r="C862">
        <v>1382.2237548999999</v>
      </c>
      <c r="D862">
        <v>1367.5805664</v>
      </c>
      <c r="E862">
        <v>1292.4969481999999</v>
      </c>
      <c r="F862">
        <v>1273.3836670000001</v>
      </c>
      <c r="G862">
        <v>2400</v>
      </c>
      <c r="H862">
        <v>0</v>
      </c>
      <c r="I862">
        <v>0</v>
      </c>
      <c r="J862">
        <v>2400</v>
      </c>
      <c r="K862">
        <v>80</v>
      </c>
      <c r="L862">
        <v>77.937568665000001</v>
      </c>
      <c r="M862">
        <v>50</v>
      </c>
      <c r="N862">
        <v>49.947692871000001</v>
      </c>
    </row>
    <row r="863" spans="1:14" x14ac:dyDescent="0.25">
      <c r="A863">
        <v>1097.3576820000001</v>
      </c>
      <c r="B863" s="1">
        <f>DATE(2013,5,2) + TIME(8,35,3)</f>
        <v>41396.357673611114</v>
      </c>
      <c r="C863">
        <v>1382.1235352000001</v>
      </c>
      <c r="D863">
        <v>1367.5297852000001</v>
      </c>
      <c r="E863">
        <v>1292.4968262</v>
      </c>
      <c r="F863">
        <v>1273.3833007999999</v>
      </c>
      <c r="G863">
        <v>2400</v>
      </c>
      <c r="H863">
        <v>0</v>
      </c>
      <c r="I863">
        <v>0</v>
      </c>
      <c r="J863">
        <v>2400</v>
      </c>
      <c r="K863">
        <v>80</v>
      </c>
      <c r="L863">
        <v>78.210777282999999</v>
      </c>
      <c r="M863">
        <v>50</v>
      </c>
      <c r="N863">
        <v>49.944980620999999</v>
      </c>
    </row>
    <row r="864" spans="1:14" x14ac:dyDescent="0.25">
      <c r="A864">
        <v>1097.482591</v>
      </c>
      <c r="B864" s="1">
        <f>DATE(2013,5,2) + TIME(11,34,55)</f>
        <v>41396.482581018521</v>
      </c>
      <c r="C864">
        <v>1382.0238036999999</v>
      </c>
      <c r="D864">
        <v>1367.4775391000001</v>
      </c>
      <c r="E864">
        <v>1292.496582</v>
      </c>
      <c r="F864">
        <v>1273.3828125</v>
      </c>
      <c r="G864">
        <v>2400</v>
      </c>
      <c r="H864">
        <v>0</v>
      </c>
      <c r="I864">
        <v>0</v>
      </c>
      <c r="J864">
        <v>2400</v>
      </c>
      <c r="K864">
        <v>80</v>
      </c>
      <c r="L864">
        <v>78.469848632999998</v>
      </c>
      <c r="M864">
        <v>50</v>
      </c>
      <c r="N864">
        <v>49.942024230999998</v>
      </c>
    </row>
    <row r="865" spans="1:14" x14ac:dyDescent="0.25">
      <c r="A865">
        <v>1097.623194</v>
      </c>
      <c r="B865" s="1">
        <f>DATE(2013,5,2) + TIME(14,57,23)</f>
        <v>41396.623182870368</v>
      </c>
      <c r="C865">
        <v>1381.9241943</v>
      </c>
      <c r="D865">
        <v>1367.4234618999999</v>
      </c>
      <c r="E865">
        <v>1292.4962158000001</v>
      </c>
      <c r="F865">
        <v>1273.3823242000001</v>
      </c>
      <c r="G865">
        <v>2400</v>
      </c>
      <c r="H865">
        <v>0</v>
      </c>
      <c r="I865">
        <v>0</v>
      </c>
      <c r="J865">
        <v>2400</v>
      </c>
      <c r="K865">
        <v>80</v>
      </c>
      <c r="L865">
        <v>78.713859557999996</v>
      </c>
      <c r="M865">
        <v>50</v>
      </c>
      <c r="N865">
        <v>49.938762664999999</v>
      </c>
    </row>
    <row r="866" spans="1:14" x14ac:dyDescent="0.25">
      <c r="A866">
        <v>1097.778501</v>
      </c>
      <c r="B866" s="1">
        <f>DATE(2013,5,2) + TIME(18,41,2)</f>
        <v>41396.778495370374</v>
      </c>
      <c r="C866">
        <v>1381.8267822</v>
      </c>
      <c r="D866">
        <v>1367.3685303</v>
      </c>
      <c r="E866">
        <v>1292.4959716999999</v>
      </c>
      <c r="F866">
        <v>1273.3817139</v>
      </c>
      <c r="G866">
        <v>2400</v>
      </c>
      <c r="H866">
        <v>0</v>
      </c>
      <c r="I866">
        <v>0</v>
      </c>
      <c r="J866">
        <v>2400</v>
      </c>
      <c r="K866">
        <v>80</v>
      </c>
      <c r="L866">
        <v>78.935592650999993</v>
      </c>
      <c r="M866">
        <v>50</v>
      </c>
      <c r="N866">
        <v>49.935226440000001</v>
      </c>
    </row>
    <row r="867" spans="1:14" x14ac:dyDescent="0.25">
      <c r="A867">
        <v>1097.934242</v>
      </c>
      <c r="B867" s="1">
        <f>DATE(2013,5,2) + TIME(22,25,18)</f>
        <v>41396.934236111112</v>
      </c>
      <c r="C867">
        <v>1381.7388916</v>
      </c>
      <c r="D867">
        <v>1367.3161620999999</v>
      </c>
      <c r="E867">
        <v>1292.4954834</v>
      </c>
      <c r="F867">
        <v>1273.3811035000001</v>
      </c>
      <c r="G867">
        <v>2400</v>
      </c>
      <c r="H867">
        <v>0</v>
      </c>
      <c r="I867">
        <v>0</v>
      </c>
      <c r="J867">
        <v>2400</v>
      </c>
      <c r="K867">
        <v>80</v>
      </c>
      <c r="L867">
        <v>79.118446349999999</v>
      </c>
      <c r="M867">
        <v>50</v>
      </c>
      <c r="N867">
        <v>49.931682586999997</v>
      </c>
    </row>
    <row r="868" spans="1:14" x14ac:dyDescent="0.25">
      <c r="A868">
        <v>1098.0923069999999</v>
      </c>
      <c r="B868" s="1">
        <f>DATE(2013,5,3) + TIME(2,12,55)</f>
        <v>41397.092303240737</v>
      </c>
      <c r="C868">
        <v>1381.6580810999999</v>
      </c>
      <c r="D868">
        <v>1367.2663574000001</v>
      </c>
      <c r="E868">
        <v>1292.4951172000001</v>
      </c>
      <c r="F868">
        <v>1273.3803711</v>
      </c>
      <c r="G868">
        <v>2400</v>
      </c>
      <c r="H868">
        <v>0</v>
      </c>
      <c r="I868">
        <v>0</v>
      </c>
      <c r="J868">
        <v>2400</v>
      </c>
      <c r="K868">
        <v>80</v>
      </c>
      <c r="L868">
        <v>79.270668029999996</v>
      </c>
      <c r="M868">
        <v>50</v>
      </c>
      <c r="N868">
        <v>49.928096771</v>
      </c>
    </row>
    <row r="869" spans="1:14" x14ac:dyDescent="0.25">
      <c r="A869">
        <v>1098.2535459999999</v>
      </c>
      <c r="B869" s="1">
        <f>DATE(2013,5,3) + TIME(6,5,6)</f>
        <v>41397.253541666665</v>
      </c>
      <c r="C869">
        <v>1381.5827637</v>
      </c>
      <c r="D869">
        <v>1367.2186279</v>
      </c>
      <c r="E869">
        <v>1292.494751</v>
      </c>
      <c r="F869">
        <v>1273.3797606999999</v>
      </c>
      <c r="G869">
        <v>2400</v>
      </c>
      <c r="H869">
        <v>0</v>
      </c>
      <c r="I869">
        <v>0</v>
      </c>
      <c r="J869">
        <v>2400</v>
      </c>
      <c r="K869">
        <v>80</v>
      </c>
      <c r="L869">
        <v>79.397598267000006</v>
      </c>
      <c r="M869">
        <v>50</v>
      </c>
      <c r="N869">
        <v>49.924461364999999</v>
      </c>
    </row>
    <row r="870" spans="1:14" x14ac:dyDescent="0.25">
      <c r="A870">
        <v>1098.418909</v>
      </c>
      <c r="B870" s="1">
        <f>DATE(2013,5,3) + TIME(10,3,13)</f>
        <v>41397.418900462966</v>
      </c>
      <c r="C870">
        <v>1381.512207</v>
      </c>
      <c r="D870">
        <v>1367.1724853999999</v>
      </c>
      <c r="E870">
        <v>1292.4942627</v>
      </c>
      <c r="F870">
        <v>1273.3791504000001</v>
      </c>
      <c r="G870">
        <v>2400</v>
      </c>
      <c r="H870">
        <v>0</v>
      </c>
      <c r="I870">
        <v>0</v>
      </c>
      <c r="J870">
        <v>2400</v>
      </c>
      <c r="K870">
        <v>80</v>
      </c>
      <c r="L870">
        <v>79.503524780000006</v>
      </c>
      <c r="M870">
        <v>50</v>
      </c>
      <c r="N870">
        <v>49.920753478999998</v>
      </c>
    </row>
    <row r="871" spans="1:14" x14ac:dyDescent="0.25">
      <c r="A871">
        <v>1098.589207</v>
      </c>
      <c r="B871" s="1">
        <f>DATE(2013,5,3) + TIME(14,8,27)</f>
        <v>41397.589201388888</v>
      </c>
      <c r="C871">
        <v>1381.4455565999999</v>
      </c>
      <c r="D871">
        <v>1367.1276855000001</v>
      </c>
      <c r="E871">
        <v>1292.4938964999999</v>
      </c>
      <c r="F871">
        <v>1273.378418</v>
      </c>
      <c r="G871">
        <v>2400</v>
      </c>
      <c r="H871">
        <v>0</v>
      </c>
      <c r="I871">
        <v>0</v>
      </c>
      <c r="J871">
        <v>2400</v>
      </c>
      <c r="K871">
        <v>80</v>
      </c>
      <c r="L871">
        <v>79.591819763000004</v>
      </c>
      <c r="M871">
        <v>50</v>
      </c>
      <c r="N871">
        <v>49.916957855</v>
      </c>
    </row>
    <row r="872" spans="1:14" x14ac:dyDescent="0.25">
      <c r="A872">
        <v>1098.765398</v>
      </c>
      <c r="B872" s="1">
        <f>DATE(2013,5,3) + TIME(18,22,10)</f>
        <v>41397.765393518515</v>
      </c>
      <c r="C872">
        <v>1381.3819579999999</v>
      </c>
      <c r="D872">
        <v>1367.0838623</v>
      </c>
      <c r="E872">
        <v>1292.4934082</v>
      </c>
      <c r="F872">
        <v>1273.3776855000001</v>
      </c>
      <c r="G872">
        <v>2400</v>
      </c>
      <c r="H872">
        <v>0</v>
      </c>
      <c r="I872">
        <v>0</v>
      </c>
      <c r="J872">
        <v>2400</v>
      </c>
      <c r="K872">
        <v>80</v>
      </c>
      <c r="L872">
        <v>79.665298461999996</v>
      </c>
      <c r="M872">
        <v>50</v>
      </c>
      <c r="N872">
        <v>49.913059234999999</v>
      </c>
    </row>
    <row r="873" spans="1:14" x14ac:dyDescent="0.25">
      <c r="A873">
        <v>1098.9485219999999</v>
      </c>
      <c r="B873" s="1">
        <f>DATE(2013,5,3) + TIME(22,45,52)</f>
        <v>41397.948518518519</v>
      </c>
      <c r="C873">
        <v>1381.3209228999999</v>
      </c>
      <c r="D873">
        <v>1367.0410156</v>
      </c>
      <c r="E873">
        <v>1292.4930420000001</v>
      </c>
      <c r="F873">
        <v>1273.3769531</v>
      </c>
      <c r="G873">
        <v>2400</v>
      </c>
      <c r="H873">
        <v>0</v>
      </c>
      <c r="I873">
        <v>0</v>
      </c>
      <c r="J873">
        <v>2400</v>
      </c>
      <c r="K873">
        <v>80</v>
      </c>
      <c r="L873">
        <v>79.726287842000005</v>
      </c>
      <c r="M873">
        <v>50</v>
      </c>
      <c r="N873">
        <v>49.909038543999998</v>
      </c>
    </row>
    <row r="874" spans="1:14" x14ac:dyDescent="0.25">
      <c r="A874">
        <v>1099.1397400000001</v>
      </c>
      <c r="B874" s="1">
        <f>DATE(2013,5,4) + TIME(3,21,13)</f>
        <v>41398.139733796299</v>
      </c>
      <c r="C874">
        <v>1381.2619629000001</v>
      </c>
      <c r="D874">
        <v>1366.9986572</v>
      </c>
      <c r="E874">
        <v>1292.4925536999999</v>
      </c>
      <c r="F874">
        <v>1273.3760986</v>
      </c>
      <c r="G874">
        <v>2400</v>
      </c>
      <c r="H874">
        <v>0</v>
      </c>
      <c r="I874">
        <v>0</v>
      </c>
      <c r="J874">
        <v>2400</v>
      </c>
      <c r="K874">
        <v>80</v>
      </c>
      <c r="L874">
        <v>79.776710510000001</v>
      </c>
      <c r="M874">
        <v>50</v>
      </c>
      <c r="N874">
        <v>49.904872894</v>
      </c>
    </row>
    <row r="875" spans="1:14" x14ac:dyDescent="0.25">
      <c r="A875">
        <v>1099.3403370000001</v>
      </c>
      <c r="B875" s="1">
        <f>DATE(2013,5,4) + TIME(8,10,5)</f>
        <v>41398.34033564815</v>
      </c>
      <c r="C875">
        <v>1381.2044678</v>
      </c>
      <c r="D875">
        <v>1366.9567870999999</v>
      </c>
      <c r="E875">
        <v>1292.4920654</v>
      </c>
      <c r="F875">
        <v>1273.3753661999999</v>
      </c>
      <c r="G875">
        <v>2400</v>
      </c>
      <c r="H875">
        <v>0</v>
      </c>
      <c r="I875">
        <v>0</v>
      </c>
      <c r="J875">
        <v>2400</v>
      </c>
      <c r="K875">
        <v>80</v>
      </c>
      <c r="L875">
        <v>79.818191528</v>
      </c>
      <c r="M875">
        <v>50</v>
      </c>
      <c r="N875">
        <v>49.900543212999999</v>
      </c>
    </row>
    <row r="876" spans="1:14" x14ac:dyDescent="0.25">
      <c r="A876">
        <v>1099.5519019999999</v>
      </c>
      <c r="B876" s="1">
        <f>DATE(2013,5,4) + TIME(13,14,44)</f>
        <v>41398.551898148151</v>
      </c>
      <c r="C876">
        <v>1381.1481934000001</v>
      </c>
      <c r="D876">
        <v>1366.9150391000001</v>
      </c>
      <c r="E876">
        <v>1292.4914550999999</v>
      </c>
      <c r="F876">
        <v>1273.3745117000001</v>
      </c>
      <c r="G876">
        <v>2400</v>
      </c>
      <c r="H876">
        <v>0</v>
      </c>
      <c r="I876">
        <v>0</v>
      </c>
      <c r="J876">
        <v>2400</v>
      </c>
      <c r="K876">
        <v>80</v>
      </c>
      <c r="L876">
        <v>79.852127074999999</v>
      </c>
      <c r="M876">
        <v>50</v>
      </c>
      <c r="N876">
        <v>49.896015167000002</v>
      </c>
    </row>
    <row r="877" spans="1:14" x14ac:dyDescent="0.25">
      <c r="A877">
        <v>1099.776267</v>
      </c>
      <c r="B877" s="1">
        <f>DATE(2013,5,4) + TIME(18,37,49)</f>
        <v>41398.776261574072</v>
      </c>
      <c r="C877">
        <v>1381.0925293</v>
      </c>
      <c r="D877">
        <v>1366.8731689000001</v>
      </c>
      <c r="E877">
        <v>1292.4909668</v>
      </c>
      <c r="F877">
        <v>1273.3735352000001</v>
      </c>
      <c r="G877">
        <v>2400</v>
      </c>
      <c r="H877">
        <v>0</v>
      </c>
      <c r="I877">
        <v>0</v>
      </c>
      <c r="J877">
        <v>2400</v>
      </c>
      <c r="K877">
        <v>80</v>
      </c>
      <c r="L877">
        <v>79.879692078000005</v>
      </c>
      <c r="M877">
        <v>50</v>
      </c>
      <c r="N877">
        <v>49.891265869000001</v>
      </c>
    </row>
    <row r="878" spans="1:14" x14ac:dyDescent="0.25">
      <c r="A878">
        <v>1100.0156469999999</v>
      </c>
      <c r="B878" s="1">
        <f>DATE(2013,5,5) + TIME(0,22,31)</f>
        <v>41399.015636574077</v>
      </c>
      <c r="C878">
        <v>1381.0372314000001</v>
      </c>
      <c r="D878">
        <v>1366.8311768000001</v>
      </c>
      <c r="E878">
        <v>1292.4903564000001</v>
      </c>
      <c r="F878">
        <v>1273.3725586</v>
      </c>
      <c r="G878">
        <v>2400</v>
      </c>
      <c r="H878">
        <v>0</v>
      </c>
      <c r="I878">
        <v>0</v>
      </c>
      <c r="J878">
        <v>2400</v>
      </c>
      <c r="K878">
        <v>80</v>
      </c>
      <c r="L878">
        <v>79.901893615999995</v>
      </c>
      <c r="M878">
        <v>50</v>
      </c>
      <c r="N878">
        <v>49.886249542000002</v>
      </c>
    </row>
    <row r="879" spans="1:14" x14ac:dyDescent="0.25">
      <c r="A879">
        <v>1100.270865</v>
      </c>
      <c r="B879" s="1">
        <f>DATE(2013,5,5) + TIME(6,30,2)</f>
        <v>41399.270856481482</v>
      </c>
      <c r="C879">
        <v>1380.9818115</v>
      </c>
      <c r="D879">
        <v>1366.7885742000001</v>
      </c>
      <c r="E879">
        <v>1292.4897461</v>
      </c>
      <c r="F879">
        <v>1273.371582</v>
      </c>
      <c r="G879">
        <v>2400</v>
      </c>
      <c r="H879">
        <v>0</v>
      </c>
      <c r="I879">
        <v>0</v>
      </c>
      <c r="J879">
        <v>2400</v>
      </c>
      <c r="K879">
        <v>80</v>
      </c>
      <c r="L879">
        <v>79.919502257999994</v>
      </c>
      <c r="M879">
        <v>50</v>
      </c>
      <c r="N879">
        <v>49.880950927999997</v>
      </c>
    </row>
    <row r="880" spans="1:14" x14ac:dyDescent="0.25">
      <c r="A880">
        <v>1100.54258</v>
      </c>
      <c r="B880" s="1">
        <f>DATE(2013,5,5) + TIME(13,1,18)</f>
        <v>41399.542569444442</v>
      </c>
      <c r="C880">
        <v>1380.9262695</v>
      </c>
      <c r="D880">
        <v>1366.7456055</v>
      </c>
      <c r="E880">
        <v>1292.4890137</v>
      </c>
      <c r="F880">
        <v>1273.3704834</v>
      </c>
      <c r="G880">
        <v>2400</v>
      </c>
      <c r="H880">
        <v>0</v>
      </c>
      <c r="I880">
        <v>0</v>
      </c>
      <c r="J880">
        <v>2400</v>
      </c>
      <c r="K880">
        <v>80</v>
      </c>
      <c r="L880">
        <v>79.933250427000004</v>
      </c>
      <c r="M880">
        <v>50</v>
      </c>
      <c r="N880">
        <v>49.875362396</v>
      </c>
    </row>
    <row r="881" spans="1:14" x14ac:dyDescent="0.25">
      <c r="A881">
        <v>1100.8337670000001</v>
      </c>
      <c r="B881" s="1">
        <f>DATE(2013,5,5) + TIME(20,0,37)</f>
        <v>41399.833761574075</v>
      </c>
      <c r="C881">
        <v>1380.8704834</v>
      </c>
      <c r="D881">
        <v>1366.7021483999999</v>
      </c>
      <c r="E881">
        <v>1292.4882812000001</v>
      </c>
      <c r="F881">
        <v>1273.3692627</v>
      </c>
      <c r="G881">
        <v>2400</v>
      </c>
      <c r="H881">
        <v>0</v>
      </c>
      <c r="I881">
        <v>0</v>
      </c>
      <c r="J881">
        <v>2400</v>
      </c>
      <c r="K881">
        <v>80</v>
      </c>
      <c r="L881">
        <v>79.943870544000006</v>
      </c>
      <c r="M881">
        <v>50</v>
      </c>
      <c r="N881">
        <v>49.869434357000003</v>
      </c>
    </row>
    <row r="882" spans="1:14" x14ac:dyDescent="0.25">
      <c r="A882">
        <v>1101.1479670000001</v>
      </c>
      <c r="B882" s="1">
        <f>DATE(2013,5,6) + TIME(3,33,4)</f>
        <v>41400.147962962961</v>
      </c>
      <c r="C882">
        <v>1380.8139647999999</v>
      </c>
      <c r="D882">
        <v>1366.6579589999999</v>
      </c>
      <c r="E882">
        <v>1292.4875488</v>
      </c>
      <c r="F882">
        <v>1273.3680420000001</v>
      </c>
      <c r="G882">
        <v>2400</v>
      </c>
      <c r="H882">
        <v>0</v>
      </c>
      <c r="I882">
        <v>0</v>
      </c>
      <c r="J882">
        <v>2400</v>
      </c>
      <c r="K882">
        <v>80</v>
      </c>
      <c r="L882">
        <v>79.951980590999995</v>
      </c>
      <c r="M882">
        <v>50</v>
      </c>
      <c r="N882">
        <v>49.863105773999997</v>
      </c>
    </row>
    <row r="883" spans="1:14" x14ac:dyDescent="0.25">
      <c r="A883">
        <v>1101.472835</v>
      </c>
      <c r="B883" s="1">
        <f>DATE(2013,5,6) + TIME(11,20,52)</f>
        <v>41400.472824074073</v>
      </c>
      <c r="C883">
        <v>1380.7565918</v>
      </c>
      <c r="D883">
        <v>1366.6129149999999</v>
      </c>
      <c r="E883">
        <v>1292.4866943</v>
      </c>
      <c r="F883">
        <v>1273.3666992000001</v>
      </c>
      <c r="G883">
        <v>2400</v>
      </c>
      <c r="H883">
        <v>0</v>
      </c>
      <c r="I883">
        <v>0</v>
      </c>
      <c r="J883">
        <v>2400</v>
      </c>
      <c r="K883">
        <v>80</v>
      </c>
      <c r="L883">
        <v>79.957885742000002</v>
      </c>
      <c r="M883">
        <v>50</v>
      </c>
      <c r="N883">
        <v>49.856548308999997</v>
      </c>
    </row>
    <row r="884" spans="1:14" x14ac:dyDescent="0.25">
      <c r="A884">
        <v>1101.8005800000001</v>
      </c>
      <c r="B884" s="1">
        <f>DATE(2013,5,6) + TIME(19,12,50)</f>
        <v>41400.800578703704</v>
      </c>
      <c r="C884">
        <v>1380.7004394999999</v>
      </c>
      <c r="D884">
        <v>1366.5687256000001</v>
      </c>
      <c r="E884">
        <v>1292.4857178</v>
      </c>
      <c r="F884">
        <v>1273.3652344</v>
      </c>
      <c r="G884">
        <v>2400</v>
      </c>
      <c r="H884">
        <v>0</v>
      </c>
      <c r="I884">
        <v>0</v>
      </c>
      <c r="J884">
        <v>2400</v>
      </c>
      <c r="K884">
        <v>80</v>
      </c>
      <c r="L884">
        <v>79.962074279999996</v>
      </c>
      <c r="M884">
        <v>50</v>
      </c>
      <c r="N884">
        <v>49.849891663000001</v>
      </c>
    </row>
    <row r="885" spans="1:14" x14ac:dyDescent="0.25">
      <c r="A885">
        <v>1102.1333050000001</v>
      </c>
      <c r="B885" s="1">
        <f>DATE(2013,5,7) + TIME(3,11,57)</f>
        <v>41401.133298611108</v>
      </c>
      <c r="C885">
        <v>1380.6466064000001</v>
      </c>
      <c r="D885">
        <v>1366.5264893000001</v>
      </c>
      <c r="E885">
        <v>1292.4848632999999</v>
      </c>
      <c r="F885">
        <v>1273.3638916</v>
      </c>
      <c r="G885">
        <v>2400</v>
      </c>
      <c r="H885">
        <v>0</v>
      </c>
      <c r="I885">
        <v>0</v>
      </c>
      <c r="J885">
        <v>2400</v>
      </c>
      <c r="K885">
        <v>80</v>
      </c>
      <c r="L885">
        <v>79.965072632000002</v>
      </c>
      <c r="M885">
        <v>50</v>
      </c>
      <c r="N885">
        <v>49.84312439</v>
      </c>
    </row>
    <row r="886" spans="1:14" x14ac:dyDescent="0.25">
      <c r="A886">
        <v>1102.4731549999999</v>
      </c>
      <c r="B886" s="1">
        <f>DATE(2013,5,7) + TIME(11,21,20)</f>
        <v>41401.47314814815</v>
      </c>
      <c r="C886">
        <v>1380.5944824000001</v>
      </c>
      <c r="D886">
        <v>1366.4855957</v>
      </c>
      <c r="E886">
        <v>1292.4838867000001</v>
      </c>
      <c r="F886">
        <v>1273.3624268000001</v>
      </c>
      <c r="G886">
        <v>2400</v>
      </c>
      <c r="H886">
        <v>0</v>
      </c>
      <c r="I886">
        <v>0</v>
      </c>
      <c r="J886">
        <v>2400</v>
      </c>
      <c r="K886">
        <v>80</v>
      </c>
      <c r="L886">
        <v>79.967231749999996</v>
      </c>
      <c r="M886">
        <v>50</v>
      </c>
      <c r="N886">
        <v>49.836227417000003</v>
      </c>
    </row>
    <row r="887" spans="1:14" x14ac:dyDescent="0.25">
      <c r="A887">
        <v>1102.822269</v>
      </c>
      <c r="B887" s="1">
        <f>DATE(2013,5,7) + TIME(19,44,4)</f>
        <v>41401.822268518517</v>
      </c>
      <c r="C887">
        <v>1380.5437012</v>
      </c>
      <c r="D887">
        <v>1366.4456786999999</v>
      </c>
      <c r="E887">
        <v>1292.4829102000001</v>
      </c>
      <c r="F887">
        <v>1273.3609618999999</v>
      </c>
      <c r="G887">
        <v>2400</v>
      </c>
      <c r="H887">
        <v>0</v>
      </c>
      <c r="I887">
        <v>0</v>
      </c>
      <c r="J887">
        <v>2400</v>
      </c>
      <c r="K887">
        <v>80</v>
      </c>
      <c r="L887">
        <v>79.968795775999993</v>
      </c>
      <c r="M887">
        <v>50</v>
      </c>
      <c r="N887">
        <v>49.829174041999998</v>
      </c>
    </row>
    <row r="888" spans="1:14" x14ac:dyDescent="0.25">
      <c r="A888">
        <v>1103.182881</v>
      </c>
      <c r="B888" s="1">
        <f>DATE(2013,5,8) + TIME(4,23,20)</f>
        <v>41402.182870370372</v>
      </c>
      <c r="C888">
        <v>1380.4937743999999</v>
      </c>
      <c r="D888">
        <v>1366.4066161999999</v>
      </c>
      <c r="E888">
        <v>1292.4820557</v>
      </c>
      <c r="F888">
        <v>1273.359375</v>
      </c>
      <c r="G888">
        <v>2400</v>
      </c>
      <c r="H888">
        <v>0</v>
      </c>
      <c r="I888">
        <v>0</v>
      </c>
      <c r="J888">
        <v>2400</v>
      </c>
      <c r="K888">
        <v>80</v>
      </c>
      <c r="L888">
        <v>79.969932556000003</v>
      </c>
      <c r="M888">
        <v>50</v>
      </c>
      <c r="N888">
        <v>49.821941375999998</v>
      </c>
    </row>
    <row r="889" spans="1:14" x14ac:dyDescent="0.25">
      <c r="A889">
        <v>1103.557364</v>
      </c>
      <c r="B889" s="1">
        <f>DATE(2013,5,8) + TIME(13,22,36)</f>
        <v>41402.55736111111</v>
      </c>
      <c r="C889">
        <v>1380.4444579999999</v>
      </c>
      <c r="D889">
        <v>1366.3680420000001</v>
      </c>
      <c r="E889">
        <v>1292.480957</v>
      </c>
      <c r="F889">
        <v>1273.3577881000001</v>
      </c>
      <c r="G889">
        <v>2400</v>
      </c>
      <c r="H889">
        <v>0</v>
      </c>
      <c r="I889">
        <v>0</v>
      </c>
      <c r="J889">
        <v>2400</v>
      </c>
      <c r="K889">
        <v>80</v>
      </c>
      <c r="L889">
        <v>79.970764160000002</v>
      </c>
      <c r="M889">
        <v>50</v>
      </c>
      <c r="N889">
        <v>49.814487456999998</v>
      </c>
    </row>
    <row r="890" spans="1:14" x14ac:dyDescent="0.25">
      <c r="A890">
        <v>1103.9472479999999</v>
      </c>
      <c r="B890" s="1">
        <f>DATE(2013,5,8) + TIME(22,44,2)</f>
        <v>41402.947245370371</v>
      </c>
      <c r="C890">
        <v>1380.3953856999999</v>
      </c>
      <c r="D890">
        <v>1366.3295897999999</v>
      </c>
      <c r="E890">
        <v>1292.4799805</v>
      </c>
      <c r="F890">
        <v>1273.3562012</v>
      </c>
      <c r="G890">
        <v>2400</v>
      </c>
      <c r="H890">
        <v>0</v>
      </c>
      <c r="I890">
        <v>0</v>
      </c>
      <c r="J890">
        <v>2400</v>
      </c>
      <c r="K890">
        <v>80</v>
      </c>
      <c r="L890">
        <v>79.971366881999998</v>
      </c>
      <c r="M890">
        <v>50</v>
      </c>
      <c r="N890">
        <v>49.806793212999999</v>
      </c>
    </row>
    <row r="891" spans="1:14" x14ac:dyDescent="0.25">
      <c r="A891">
        <v>1104.3521920000001</v>
      </c>
      <c r="B891" s="1">
        <f>DATE(2013,5,9) + TIME(8,27,9)</f>
        <v>41403.352187500001</v>
      </c>
      <c r="C891">
        <v>1380.3464355000001</v>
      </c>
      <c r="D891">
        <v>1366.2913818</v>
      </c>
      <c r="E891">
        <v>1292.4788818</v>
      </c>
      <c r="F891">
        <v>1273.3544922000001</v>
      </c>
      <c r="G891">
        <v>2400</v>
      </c>
      <c r="H891">
        <v>0</v>
      </c>
      <c r="I891">
        <v>0</v>
      </c>
      <c r="J891">
        <v>2400</v>
      </c>
      <c r="K891">
        <v>80</v>
      </c>
      <c r="L891">
        <v>79.971817017000006</v>
      </c>
      <c r="M891">
        <v>50</v>
      </c>
      <c r="N891">
        <v>49.798854828000003</v>
      </c>
    </row>
    <row r="892" spans="1:14" x14ac:dyDescent="0.25">
      <c r="A892">
        <v>1104.775079</v>
      </c>
      <c r="B892" s="1">
        <f>DATE(2013,5,9) + TIME(18,36,6)</f>
        <v>41403.775069444448</v>
      </c>
      <c r="C892">
        <v>1380.2976074000001</v>
      </c>
      <c r="D892">
        <v>1366.253418</v>
      </c>
      <c r="E892">
        <v>1292.4777832</v>
      </c>
      <c r="F892">
        <v>1273.3526611</v>
      </c>
      <c r="G892">
        <v>2400</v>
      </c>
      <c r="H892">
        <v>0</v>
      </c>
      <c r="I892">
        <v>0</v>
      </c>
      <c r="J892">
        <v>2400</v>
      </c>
      <c r="K892">
        <v>80</v>
      </c>
      <c r="L892">
        <v>79.972137450999995</v>
      </c>
      <c r="M892">
        <v>50</v>
      </c>
      <c r="N892">
        <v>49.790630341000004</v>
      </c>
    </row>
    <row r="893" spans="1:14" x14ac:dyDescent="0.25">
      <c r="A893">
        <v>1105.2191869999999</v>
      </c>
      <c r="B893" s="1">
        <f>DATE(2013,5,10) + TIME(5,15,37)</f>
        <v>41404.219178240739</v>
      </c>
      <c r="C893">
        <v>1380.2486572</v>
      </c>
      <c r="D893">
        <v>1366.215332</v>
      </c>
      <c r="E893">
        <v>1292.4765625</v>
      </c>
      <c r="F893">
        <v>1273.3508300999999</v>
      </c>
      <c r="G893">
        <v>2400</v>
      </c>
      <c r="H893">
        <v>0</v>
      </c>
      <c r="I893">
        <v>0</v>
      </c>
      <c r="J893">
        <v>2400</v>
      </c>
      <c r="K893">
        <v>80</v>
      </c>
      <c r="L893">
        <v>79.972381592000005</v>
      </c>
      <c r="M893">
        <v>50</v>
      </c>
      <c r="N893">
        <v>49.782077788999999</v>
      </c>
    </row>
    <row r="894" spans="1:14" x14ac:dyDescent="0.25">
      <c r="A894">
        <v>1105.688363</v>
      </c>
      <c r="B894" s="1">
        <f>DATE(2013,5,10) + TIME(16,31,14)</f>
        <v>41404.688356481478</v>
      </c>
      <c r="C894">
        <v>1380.1992187999999</v>
      </c>
      <c r="D894">
        <v>1366.177124</v>
      </c>
      <c r="E894">
        <v>1292.4753418</v>
      </c>
      <c r="F894">
        <v>1273.3488769999999</v>
      </c>
      <c r="G894">
        <v>2400</v>
      </c>
      <c r="H894">
        <v>0</v>
      </c>
      <c r="I894">
        <v>0</v>
      </c>
      <c r="J894">
        <v>2400</v>
      </c>
      <c r="K894">
        <v>80</v>
      </c>
      <c r="L894">
        <v>79.972564696999996</v>
      </c>
      <c r="M894">
        <v>50</v>
      </c>
      <c r="N894">
        <v>49.773136139000002</v>
      </c>
    </row>
    <row r="895" spans="1:14" x14ac:dyDescent="0.25">
      <c r="A895">
        <v>1106.187269</v>
      </c>
      <c r="B895" s="1">
        <f>DATE(2013,5,11) + TIME(4,29,40)</f>
        <v>41405.187268518515</v>
      </c>
      <c r="C895">
        <v>1380.1491699000001</v>
      </c>
      <c r="D895">
        <v>1366.1383057</v>
      </c>
      <c r="E895">
        <v>1292.4741211</v>
      </c>
      <c r="F895">
        <v>1273.3468018000001</v>
      </c>
      <c r="G895">
        <v>2400</v>
      </c>
      <c r="H895">
        <v>0</v>
      </c>
      <c r="I895">
        <v>0</v>
      </c>
      <c r="J895">
        <v>2400</v>
      </c>
      <c r="K895">
        <v>80</v>
      </c>
      <c r="L895">
        <v>79.972702025999993</v>
      </c>
      <c r="M895">
        <v>50</v>
      </c>
      <c r="N895">
        <v>49.763732910000002</v>
      </c>
    </row>
    <row r="896" spans="1:14" x14ac:dyDescent="0.25">
      <c r="A896">
        <v>1106.711151</v>
      </c>
      <c r="B896" s="1">
        <f>DATE(2013,5,11) + TIME(17,4,3)</f>
        <v>41405.711145833331</v>
      </c>
      <c r="C896">
        <v>1380.0981445</v>
      </c>
      <c r="D896">
        <v>1366.0988769999999</v>
      </c>
      <c r="E896">
        <v>1292.4726562000001</v>
      </c>
      <c r="F896">
        <v>1273.3446045000001</v>
      </c>
      <c r="G896">
        <v>2400</v>
      </c>
      <c r="H896">
        <v>0</v>
      </c>
      <c r="I896">
        <v>0</v>
      </c>
      <c r="J896">
        <v>2400</v>
      </c>
      <c r="K896">
        <v>80</v>
      </c>
      <c r="L896">
        <v>79.972801208000007</v>
      </c>
      <c r="M896">
        <v>50</v>
      </c>
      <c r="N896">
        <v>49.753910064999999</v>
      </c>
    </row>
    <row r="897" spans="1:14" x14ac:dyDescent="0.25">
      <c r="A897">
        <v>1107.2394750000001</v>
      </c>
      <c r="B897" s="1">
        <f>DATE(2013,5,12) + TIME(5,44,50)</f>
        <v>41406.23946759259</v>
      </c>
      <c r="C897">
        <v>1380.0466309000001</v>
      </c>
      <c r="D897">
        <v>1366.059082</v>
      </c>
      <c r="E897">
        <v>1292.4711914</v>
      </c>
      <c r="F897">
        <v>1273.3422852000001</v>
      </c>
      <c r="G897">
        <v>2400</v>
      </c>
      <c r="H897">
        <v>0</v>
      </c>
      <c r="I897">
        <v>0</v>
      </c>
      <c r="J897">
        <v>2400</v>
      </c>
      <c r="K897">
        <v>80</v>
      </c>
      <c r="L897">
        <v>79.972869872999993</v>
      </c>
      <c r="M897">
        <v>50</v>
      </c>
      <c r="N897">
        <v>49.743896483999997</v>
      </c>
    </row>
    <row r="898" spans="1:14" x14ac:dyDescent="0.25">
      <c r="A898">
        <v>1107.7751410000001</v>
      </c>
      <c r="B898" s="1">
        <f>DATE(2013,5,12) + TIME(18,36,12)</f>
        <v>41406.775138888886</v>
      </c>
      <c r="C898">
        <v>1379.9968262</v>
      </c>
      <c r="D898">
        <v>1366.0207519999999</v>
      </c>
      <c r="E898">
        <v>1292.4697266000001</v>
      </c>
      <c r="F898">
        <v>1273.3399658000001</v>
      </c>
      <c r="G898">
        <v>2400</v>
      </c>
      <c r="H898">
        <v>0</v>
      </c>
      <c r="I898">
        <v>0</v>
      </c>
      <c r="J898">
        <v>2400</v>
      </c>
      <c r="K898">
        <v>80</v>
      </c>
      <c r="L898">
        <v>79.972915649000001</v>
      </c>
      <c r="M898">
        <v>50</v>
      </c>
      <c r="N898">
        <v>49.733726501</v>
      </c>
    </row>
    <row r="899" spans="1:14" x14ac:dyDescent="0.25">
      <c r="A899">
        <v>1108.321586</v>
      </c>
      <c r="B899" s="1">
        <f>DATE(2013,5,13) + TIME(7,43,5)</f>
        <v>41407.321585648147</v>
      </c>
      <c r="C899">
        <v>1379.9481201000001</v>
      </c>
      <c r="D899">
        <v>1365.9833983999999</v>
      </c>
      <c r="E899">
        <v>1292.4682617000001</v>
      </c>
      <c r="F899">
        <v>1273.3376464999999</v>
      </c>
      <c r="G899">
        <v>2400</v>
      </c>
      <c r="H899">
        <v>0</v>
      </c>
      <c r="I899">
        <v>0</v>
      </c>
      <c r="J899">
        <v>2400</v>
      </c>
      <c r="K899">
        <v>80</v>
      </c>
      <c r="L899">
        <v>79.972953795999999</v>
      </c>
      <c r="M899">
        <v>50</v>
      </c>
      <c r="N899">
        <v>49.723388671999999</v>
      </c>
    </row>
    <row r="900" spans="1:14" x14ac:dyDescent="0.25">
      <c r="A900">
        <v>1108.8822909999999</v>
      </c>
      <c r="B900" s="1">
        <f>DATE(2013,5,13) + TIME(21,10,29)</f>
        <v>41407.882280092592</v>
      </c>
      <c r="C900">
        <v>1379.9003906</v>
      </c>
      <c r="D900">
        <v>1365.9467772999999</v>
      </c>
      <c r="E900">
        <v>1292.4666748</v>
      </c>
      <c r="F900">
        <v>1273.3352050999999</v>
      </c>
      <c r="G900">
        <v>2400</v>
      </c>
      <c r="H900">
        <v>0</v>
      </c>
      <c r="I900">
        <v>0</v>
      </c>
      <c r="J900">
        <v>2400</v>
      </c>
      <c r="K900">
        <v>80</v>
      </c>
      <c r="L900">
        <v>79.972976685000006</v>
      </c>
      <c r="M900">
        <v>50</v>
      </c>
      <c r="N900">
        <v>49.712848663000003</v>
      </c>
    </row>
    <row r="901" spans="1:14" x14ac:dyDescent="0.25">
      <c r="A901">
        <v>1109.4608989999999</v>
      </c>
      <c r="B901" s="1">
        <f>DATE(2013,5,14) + TIME(11,3,41)</f>
        <v>41408.4608912037</v>
      </c>
      <c r="C901">
        <v>1379.8532714999999</v>
      </c>
      <c r="D901">
        <v>1365.9106445</v>
      </c>
      <c r="E901">
        <v>1292.4650879000001</v>
      </c>
      <c r="F901">
        <v>1273.3326416</v>
      </c>
      <c r="G901">
        <v>2400</v>
      </c>
      <c r="H901">
        <v>0</v>
      </c>
      <c r="I901">
        <v>0</v>
      </c>
      <c r="J901">
        <v>2400</v>
      </c>
      <c r="K901">
        <v>80</v>
      </c>
      <c r="L901">
        <v>79.972999572999996</v>
      </c>
      <c r="M901">
        <v>50</v>
      </c>
      <c r="N901">
        <v>49.702068328999999</v>
      </c>
    </row>
    <row r="902" spans="1:14" x14ac:dyDescent="0.25">
      <c r="A902">
        <v>1110.061377</v>
      </c>
      <c r="B902" s="1">
        <f>DATE(2013,5,15) + TIME(1,28,22)</f>
        <v>41409.061365740738</v>
      </c>
      <c r="C902">
        <v>1379.8062743999999</v>
      </c>
      <c r="D902">
        <v>1365.8746338000001</v>
      </c>
      <c r="E902">
        <v>1292.463501</v>
      </c>
      <c r="F902">
        <v>1273.3300781</v>
      </c>
      <c r="G902">
        <v>2400</v>
      </c>
      <c r="H902">
        <v>0</v>
      </c>
      <c r="I902">
        <v>0</v>
      </c>
      <c r="J902">
        <v>2400</v>
      </c>
      <c r="K902">
        <v>80</v>
      </c>
      <c r="L902">
        <v>79.973007202000005</v>
      </c>
      <c r="M902">
        <v>50</v>
      </c>
      <c r="N902">
        <v>49.690994263</v>
      </c>
    </row>
    <row r="903" spans="1:14" x14ac:dyDescent="0.25">
      <c r="A903">
        <v>1110.682272</v>
      </c>
      <c r="B903" s="1">
        <f>DATE(2013,5,15) + TIME(16,22,28)</f>
        <v>41409.682268518518</v>
      </c>
      <c r="C903">
        <v>1379.7592772999999</v>
      </c>
      <c r="D903">
        <v>1365.8387451000001</v>
      </c>
      <c r="E903">
        <v>1292.4617920000001</v>
      </c>
      <c r="F903">
        <v>1273.3273925999999</v>
      </c>
      <c r="G903">
        <v>2400</v>
      </c>
      <c r="H903">
        <v>0</v>
      </c>
      <c r="I903">
        <v>0</v>
      </c>
      <c r="J903">
        <v>2400</v>
      </c>
      <c r="K903">
        <v>80</v>
      </c>
      <c r="L903">
        <v>79.973014832000004</v>
      </c>
      <c r="M903">
        <v>50</v>
      </c>
      <c r="N903">
        <v>49.679618834999999</v>
      </c>
    </row>
    <row r="904" spans="1:14" x14ac:dyDescent="0.25">
      <c r="A904">
        <v>1111.323265</v>
      </c>
      <c r="B904" s="1">
        <f>DATE(2013,5,16) + TIME(7,45,30)</f>
        <v>41410.323263888888</v>
      </c>
      <c r="C904">
        <v>1379.7122803</v>
      </c>
      <c r="D904">
        <v>1365.8028564000001</v>
      </c>
      <c r="E904">
        <v>1292.4600829999999</v>
      </c>
      <c r="F904">
        <v>1273.324707</v>
      </c>
      <c r="G904">
        <v>2400</v>
      </c>
      <c r="H904">
        <v>0</v>
      </c>
      <c r="I904">
        <v>0</v>
      </c>
      <c r="J904">
        <v>2400</v>
      </c>
      <c r="K904">
        <v>80</v>
      </c>
      <c r="L904">
        <v>79.973022460999999</v>
      </c>
      <c r="M904">
        <v>50</v>
      </c>
      <c r="N904">
        <v>49.667945862000003</v>
      </c>
    </row>
    <row r="905" spans="1:14" x14ac:dyDescent="0.25">
      <c r="A905">
        <v>1111.988552</v>
      </c>
      <c r="B905" s="1">
        <f>DATE(2013,5,16) + TIME(23,43,30)</f>
        <v>41410.988541666666</v>
      </c>
      <c r="C905">
        <v>1379.6654053</v>
      </c>
      <c r="D905">
        <v>1365.7672118999999</v>
      </c>
      <c r="E905">
        <v>1292.4582519999999</v>
      </c>
      <c r="F905">
        <v>1273.3217772999999</v>
      </c>
      <c r="G905">
        <v>2400</v>
      </c>
      <c r="H905">
        <v>0</v>
      </c>
      <c r="I905">
        <v>0</v>
      </c>
      <c r="J905">
        <v>2400</v>
      </c>
      <c r="K905">
        <v>80</v>
      </c>
      <c r="L905">
        <v>79.973022460999999</v>
      </c>
      <c r="M905">
        <v>50</v>
      </c>
      <c r="N905">
        <v>49.655929565000001</v>
      </c>
    </row>
    <row r="906" spans="1:14" x14ac:dyDescent="0.25">
      <c r="A906">
        <v>1112.683074</v>
      </c>
      <c r="B906" s="1">
        <f>DATE(2013,5,17) + TIME(16,23,37)</f>
        <v>41411.683067129627</v>
      </c>
      <c r="C906">
        <v>1379.6185303</v>
      </c>
      <c r="D906">
        <v>1365.7314452999999</v>
      </c>
      <c r="E906">
        <v>1292.4562988</v>
      </c>
      <c r="F906">
        <v>1273.3188477000001</v>
      </c>
      <c r="G906">
        <v>2400</v>
      </c>
      <c r="H906">
        <v>0</v>
      </c>
      <c r="I906">
        <v>0</v>
      </c>
      <c r="J906">
        <v>2400</v>
      </c>
      <c r="K906">
        <v>80</v>
      </c>
      <c r="L906">
        <v>79.973022460999999</v>
      </c>
      <c r="M906">
        <v>50</v>
      </c>
      <c r="N906">
        <v>49.643508910999998</v>
      </c>
    </row>
    <row r="907" spans="1:14" x14ac:dyDescent="0.25">
      <c r="A907">
        <v>1113.3978509999999</v>
      </c>
      <c r="B907" s="1">
        <f>DATE(2013,5,18) + TIME(9,32,54)</f>
        <v>41412.397847222222</v>
      </c>
      <c r="C907">
        <v>1379.5711670000001</v>
      </c>
      <c r="D907">
        <v>1365.6954346</v>
      </c>
      <c r="E907">
        <v>1292.4543457</v>
      </c>
      <c r="F907">
        <v>1273.3156738</v>
      </c>
      <c r="G907">
        <v>2400</v>
      </c>
      <c r="H907">
        <v>0</v>
      </c>
      <c r="I907">
        <v>0</v>
      </c>
      <c r="J907">
        <v>2400</v>
      </c>
      <c r="K907">
        <v>80</v>
      </c>
      <c r="L907">
        <v>79.973022460999999</v>
      </c>
      <c r="M907">
        <v>50</v>
      </c>
      <c r="N907">
        <v>49.630752563000001</v>
      </c>
    </row>
    <row r="908" spans="1:14" x14ac:dyDescent="0.25">
      <c r="A908">
        <v>1114.1251830000001</v>
      </c>
      <c r="B908" s="1">
        <f>DATE(2013,5,19) + TIME(3,0,15)</f>
        <v>41413.125173611108</v>
      </c>
      <c r="C908">
        <v>1379.5240478999999</v>
      </c>
      <c r="D908">
        <v>1365.6595459</v>
      </c>
      <c r="E908">
        <v>1292.4522704999999</v>
      </c>
      <c r="F908">
        <v>1273.3125</v>
      </c>
      <c r="G908">
        <v>2400</v>
      </c>
      <c r="H908">
        <v>0</v>
      </c>
      <c r="I908">
        <v>0</v>
      </c>
      <c r="J908">
        <v>2400</v>
      </c>
      <c r="K908">
        <v>80</v>
      </c>
      <c r="L908">
        <v>79.973014832000004</v>
      </c>
      <c r="M908">
        <v>50</v>
      </c>
      <c r="N908">
        <v>49.617755889999998</v>
      </c>
    </row>
    <row r="909" spans="1:14" x14ac:dyDescent="0.25">
      <c r="A909">
        <v>1114.864971</v>
      </c>
      <c r="B909" s="1">
        <f>DATE(2013,5,19) + TIME(20,45,33)</f>
        <v>41413.864965277775</v>
      </c>
      <c r="C909">
        <v>1379.4776611</v>
      </c>
      <c r="D909">
        <v>1365.6243896000001</v>
      </c>
      <c r="E909">
        <v>1292.4501952999999</v>
      </c>
      <c r="F909">
        <v>1273.3092041</v>
      </c>
      <c r="G909">
        <v>2400</v>
      </c>
      <c r="H909">
        <v>0</v>
      </c>
      <c r="I909">
        <v>0</v>
      </c>
      <c r="J909">
        <v>2400</v>
      </c>
      <c r="K909">
        <v>80</v>
      </c>
      <c r="L909">
        <v>79.973014832000004</v>
      </c>
      <c r="M909">
        <v>50</v>
      </c>
      <c r="N909">
        <v>49.604560851999999</v>
      </c>
    </row>
    <row r="910" spans="1:14" x14ac:dyDescent="0.25">
      <c r="A910">
        <v>1115.622077</v>
      </c>
      <c r="B910" s="1">
        <f>DATE(2013,5,20) + TIME(14,55,47)</f>
        <v>41414.622071759259</v>
      </c>
      <c r="C910">
        <v>1379.4321289</v>
      </c>
      <c r="D910">
        <v>1365.5897216999999</v>
      </c>
      <c r="E910">
        <v>1292.4481201000001</v>
      </c>
      <c r="F910">
        <v>1273.3057861</v>
      </c>
      <c r="G910">
        <v>2400</v>
      </c>
      <c r="H910">
        <v>0</v>
      </c>
      <c r="I910">
        <v>0</v>
      </c>
      <c r="J910">
        <v>2400</v>
      </c>
      <c r="K910">
        <v>80</v>
      </c>
      <c r="L910">
        <v>79.973007202000005</v>
      </c>
      <c r="M910">
        <v>50</v>
      </c>
      <c r="N910">
        <v>49.591148376</v>
      </c>
    </row>
    <row r="911" spans="1:14" x14ac:dyDescent="0.25">
      <c r="A911">
        <v>1116.40149</v>
      </c>
      <c r="B911" s="1">
        <f>DATE(2013,5,21) + TIME(9,38,8)</f>
        <v>41415.40148148148</v>
      </c>
      <c r="C911">
        <v>1379.3868408000001</v>
      </c>
      <c r="D911">
        <v>1365.5554199000001</v>
      </c>
      <c r="E911">
        <v>1292.4459228999999</v>
      </c>
      <c r="F911">
        <v>1273.3023682</v>
      </c>
      <c r="G911">
        <v>2400</v>
      </c>
      <c r="H911">
        <v>0</v>
      </c>
      <c r="I911">
        <v>0</v>
      </c>
      <c r="J911">
        <v>2400</v>
      </c>
      <c r="K911">
        <v>80</v>
      </c>
      <c r="L911">
        <v>79.973007202000005</v>
      </c>
      <c r="M911">
        <v>50</v>
      </c>
      <c r="N911">
        <v>49.577472686999997</v>
      </c>
    </row>
    <row r="912" spans="1:14" x14ac:dyDescent="0.25">
      <c r="A912">
        <v>1117.2088000000001</v>
      </c>
      <c r="B912" s="1">
        <f>DATE(2013,5,22) + TIME(5,0,40)</f>
        <v>41416.208796296298</v>
      </c>
      <c r="C912">
        <v>1379.3417969</v>
      </c>
      <c r="D912">
        <v>1365.5212402</v>
      </c>
      <c r="E912">
        <v>1292.4437256000001</v>
      </c>
      <c r="F912">
        <v>1273.2988281</v>
      </c>
      <c r="G912">
        <v>2400</v>
      </c>
      <c r="H912">
        <v>0</v>
      </c>
      <c r="I912">
        <v>0</v>
      </c>
      <c r="J912">
        <v>2400</v>
      </c>
      <c r="K912">
        <v>80</v>
      </c>
      <c r="L912">
        <v>79.972999572999996</v>
      </c>
      <c r="M912">
        <v>50</v>
      </c>
      <c r="N912">
        <v>49.563457489000001</v>
      </c>
    </row>
    <row r="913" spans="1:14" x14ac:dyDescent="0.25">
      <c r="A913">
        <v>1118.050424</v>
      </c>
      <c r="B913" s="1">
        <f>DATE(2013,5,23) + TIME(1,12,36)</f>
        <v>41417.050416666665</v>
      </c>
      <c r="C913">
        <v>1379.2965088000001</v>
      </c>
      <c r="D913">
        <v>1365.4869385</v>
      </c>
      <c r="E913">
        <v>1292.4412841999999</v>
      </c>
      <c r="F913">
        <v>1273.2950439000001</v>
      </c>
      <c r="G913">
        <v>2400</v>
      </c>
      <c r="H913">
        <v>0</v>
      </c>
      <c r="I913">
        <v>0</v>
      </c>
      <c r="J913">
        <v>2400</v>
      </c>
      <c r="K913">
        <v>80</v>
      </c>
      <c r="L913">
        <v>79.972999572999996</v>
      </c>
      <c r="M913">
        <v>50</v>
      </c>
      <c r="N913">
        <v>49.549026488999999</v>
      </c>
    </row>
    <row r="914" spans="1:14" x14ac:dyDescent="0.25">
      <c r="A914">
        <v>1118.921932</v>
      </c>
      <c r="B914" s="1">
        <f>DATE(2013,5,23) + TIME(22,7,34)</f>
        <v>41417.9219212963</v>
      </c>
      <c r="C914">
        <v>1379.2506103999999</v>
      </c>
      <c r="D914">
        <v>1365.4522704999999</v>
      </c>
      <c r="E914">
        <v>1292.4388428</v>
      </c>
      <c r="F914">
        <v>1273.2911377</v>
      </c>
      <c r="G914">
        <v>2400</v>
      </c>
      <c r="H914">
        <v>0</v>
      </c>
      <c r="I914">
        <v>0</v>
      </c>
      <c r="J914">
        <v>2400</v>
      </c>
      <c r="K914">
        <v>80</v>
      </c>
      <c r="L914">
        <v>79.972999572999996</v>
      </c>
      <c r="M914">
        <v>50</v>
      </c>
      <c r="N914">
        <v>49.534168243000003</v>
      </c>
    </row>
    <row r="915" spans="1:14" x14ac:dyDescent="0.25">
      <c r="A915">
        <v>1119.8181629999999</v>
      </c>
      <c r="B915" s="1">
        <f>DATE(2013,5,24) + TIME(19,38,9)</f>
        <v>41418.818159722221</v>
      </c>
      <c r="C915">
        <v>1379.2047118999999</v>
      </c>
      <c r="D915">
        <v>1365.4174805</v>
      </c>
      <c r="E915">
        <v>1292.4362793</v>
      </c>
      <c r="F915">
        <v>1273.2871094</v>
      </c>
      <c r="G915">
        <v>2400</v>
      </c>
      <c r="H915">
        <v>0</v>
      </c>
      <c r="I915">
        <v>0</v>
      </c>
      <c r="J915">
        <v>2400</v>
      </c>
      <c r="K915">
        <v>80</v>
      </c>
      <c r="L915">
        <v>79.972991942999997</v>
      </c>
      <c r="M915">
        <v>50</v>
      </c>
      <c r="N915">
        <v>49.518932343000003</v>
      </c>
    </row>
    <row r="916" spans="1:14" x14ac:dyDescent="0.25">
      <c r="A916">
        <v>1120.7431859999999</v>
      </c>
      <c r="B916" s="1">
        <f>DATE(2013,5,25) + TIME(17,50,11)</f>
        <v>41419.74318287037</v>
      </c>
      <c r="C916">
        <v>1379.1588135</v>
      </c>
      <c r="D916">
        <v>1365.3828125</v>
      </c>
      <c r="E916">
        <v>1292.4337158000001</v>
      </c>
      <c r="F916">
        <v>1273.2829589999999</v>
      </c>
      <c r="G916">
        <v>2400</v>
      </c>
      <c r="H916">
        <v>0</v>
      </c>
      <c r="I916">
        <v>0</v>
      </c>
      <c r="J916">
        <v>2400</v>
      </c>
      <c r="K916">
        <v>80</v>
      </c>
      <c r="L916">
        <v>79.972991942999997</v>
      </c>
      <c r="M916">
        <v>50</v>
      </c>
      <c r="N916">
        <v>49.503311156999999</v>
      </c>
    </row>
    <row r="917" spans="1:14" x14ac:dyDescent="0.25">
      <c r="A917">
        <v>1121.6827410000001</v>
      </c>
      <c r="B917" s="1">
        <f>DATE(2013,5,26) + TIME(16,23,8)</f>
        <v>41420.68273148148</v>
      </c>
      <c r="C917">
        <v>1379.1129149999999</v>
      </c>
      <c r="D917">
        <v>1365.3481445</v>
      </c>
      <c r="E917">
        <v>1292.4309082</v>
      </c>
      <c r="F917">
        <v>1273.2785644999999</v>
      </c>
      <c r="G917">
        <v>2400</v>
      </c>
      <c r="H917">
        <v>0</v>
      </c>
      <c r="I917">
        <v>0</v>
      </c>
      <c r="J917">
        <v>2400</v>
      </c>
      <c r="K917">
        <v>80</v>
      </c>
      <c r="L917">
        <v>79.972991942999997</v>
      </c>
      <c r="M917">
        <v>50</v>
      </c>
      <c r="N917">
        <v>49.487415314000003</v>
      </c>
    </row>
    <row r="918" spans="1:14" x14ac:dyDescent="0.25">
      <c r="A918">
        <v>1122.6434870000001</v>
      </c>
      <c r="B918" s="1">
        <f>DATE(2013,5,27) + TIME(15,26,37)</f>
        <v>41421.643483796295</v>
      </c>
      <c r="C918">
        <v>1379.067749</v>
      </c>
      <c r="D918">
        <v>1365.3138428</v>
      </c>
      <c r="E918">
        <v>1292.4281006000001</v>
      </c>
      <c r="F918">
        <v>1273.2741699000001</v>
      </c>
      <c r="G918">
        <v>2400</v>
      </c>
      <c r="H918">
        <v>0</v>
      </c>
      <c r="I918">
        <v>0</v>
      </c>
      <c r="J918">
        <v>2400</v>
      </c>
      <c r="K918">
        <v>80</v>
      </c>
      <c r="L918">
        <v>79.972984314000001</v>
      </c>
      <c r="M918">
        <v>50</v>
      </c>
      <c r="N918">
        <v>49.471260071000003</v>
      </c>
    </row>
    <row r="919" spans="1:14" x14ac:dyDescent="0.25">
      <c r="A919">
        <v>1123.6299079999999</v>
      </c>
      <c r="B919" s="1">
        <f>DATE(2013,5,28) + TIME(15,7,4)</f>
        <v>41422.629907407405</v>
      </c>
      <c r="C919">
        <v>1379.0228271000001</v>
      </c>
      <c r="D919">
        <v>1365.2799072</v>
      </c>
      <c r="E919">
        <v>1292.425293</v>
      </c>
      <c r="F919">
        <v>1273.2695312000001</v>
      </c>
      <c r="G919">
        <v>2400</v>
      </c>
      <c r="H919">
        <v>0</v>
      </c>
      <c r="I919">
        <v>0</v>
      </c>
      <c r="J919">
        <v>2400</v>
      </c>
      <c r="K919">
        <v>80</v>
      </c>
      <c r="L919">
        <v>79.972984314000001</v>
      </c>
      <c r="M919">
        <v>50</v>
      </c>
      <c r="N919">
        <v>49.454814911</v>
      </c>
    </row>
    <row r="920" spans="1:14" x14ac:dyDescent="0.25">
      <c r="A920">
        <v>1124.6425770000001</v>
      </c>
      <c r="B920" s="1">
        <f>DATE(2013,5,29) + TIME(15,25,18)</f>
        <v>41423.642569444448</v>
      </c>
      <c r="C920">
        <v>1378.9780272999999</v>
      </c>
      <c r="D920">
        <v>1365.2459716999999</v>
      </c>
      <c r="E920">
        <v>1292.4222411999999</v>
      </c>
      <c r="F920">
        <v>1273.2647704999999</v>
      </c>
      <c r="G920">
        <v>2400</v>
      </c>
      <c r="H920">
        <v>0</v>
      </c>
      <c r="I920">
        <v>0</v>
      </c>
      <c r="J920">
        <v>2400</v>
      </c>
      <c r="K920">
        <v>80</v>
      </c>
      <c r="L920">
        <v>79.972984314000001</v>
      </c>
      <c r="M920">
        <v>50</v>
      </c>
      <c r="N920">
        <v>49.438056946000003</v>
      </c>
    </row>
    <row r="921" spans="1:14" x14ac:dyDescent="0.25">
      <c r="A921">
        <v>1125.6877810000001</v>
      </c>
      <c r="B921" s="1">
        <f>DATE(2013,5,30) + TIME(16,30,24)</f>
        <v>41424.687777777777</v>
      </c>
      <c r="C921">
        <v>1378.9333495999999</v>
      </c>
      <c r="D921">
        <v>1365.2122803</v>
      </c>
      <c r="E921">
        <v>1292.4191894999999</v>
      </c>
      <c r="F921">
        <v>1273.2597656</v>
      </c>
      <c r="G921">
        <v>2400</v>
      </c>
      <c r="H921">
        <v>0</v>
      </c>
      <c r="I921">
        <v>0</v>
      </c>
      <c r="J921">
        <v>2400</v>
      </c>
      <c r="K921">
        <v>80</v>
      </c>
      <c r="L921">
        <v>79.972984314000001</v>
      </c>
      <c r="M921">
        <v>50</v>
      </c>
      <c r="N921">
        <v>49.42093277</v>
      </c>
    </row>
    <row r="922" spans="1:14" x14ac:dyDescent="0.25">
      <c r="A922">
        <v>1126.768435</v>
      </c>
      <c r="B922" s="1">
        <f>DATE(2013,5,31) + TIME(18,26,32)</f>
        <v>41425.768425925926</v>
      </c>
      <c r="C922">
        <v>1378.8884277</v>
      </c>
      <c r="D922">
        <v>1365.1783447</v>
      </c>
      <c r="E922">
        <v>1292.4160156</v>
      </c>
      <c r="F922">
        <v>1273.2546387</v>
      </c>
      <c r="G922">
        <v>2400</v>
      </c>
      <c r="H922">
        <v>0</v>
      </c>
      <c r="I922">
        <v>0</v>
      </c>
      <c r="J922">
        <v>2400</v>
      </c>
      <c r="K922">
        <v>80</v>
      </c>
      <c r="L922">
        <v>79.972991942999997</v>
      </c>
      <c r="M922">
        <v>50</v>
      </c>
      <c r="N922">
        <v>49.403385161999999</v>
      </c>
    </row>
    <row r="923" spans="1:14" x14ac:dyDescent="0.25">
      <c r="A923">
        <v>1127</v>
      </c>
      <c r="B923" s="1">
        <f>DATE(2013,6,1) + TIME(0,0,0)</f>
        <v>41426</v>
      </c>
      <c r="C923">
        <v>1378.8436279</v>
      </c>
      <c r="D923">
        <v>1365.1445312000001</v>
      </c>
      <c r="E923">
        <v>1292.4113769999999</v>
      </c>
      <c r="F923">
        <v>1273.2501221</v>
      </c>
      <c r="G923">
        <v>2400</v>
      </c>
      <c r="H923">
        <v>0</v>
      </c>
      <c r="I923">
        <v>0</v>
      </c>
      <c r="J923">
        <v>2400</v>
      </c>
      <c r="K923">
        <v>80</v>
      </c>
      <c r="L923">
        <v>79.972984314000001</v>
      </c>
      <c r="M923">
        <v>50</v>
      </c>
      <c r="N923">
        <v>49.396579742</v>
      </c>
    </row>
    <row r="924" spans="1:14" x14ac:dyDescent="0.25">
      <c r="A924">
        <v>1128.1091349999999</v>
      </c>
      <c r="B924" s="1">
        <f>DATE(2013,6,2) + TIME(2,37,9)</f>
        <v>41427.109131944446</v>
      </c>
      <c r="C924">
        <v>1378.8338623</v>
      </c>
      <c r="D924">
        <v>1365.1369629000001</v>
      </c>
      <c r="E924">
        <v>1292.4119873</v>
      </c>
      <c r="F924">
        <v>1273.2478027</v>
      </c>
      <c r="G924">
        <v>2400</v>
      </c>
      <c r="H924">
        <v>0</v>
      </c>
      <c r="I924">
        <v>0</v>
      </c>
      <c r="J924">
        <v>2400</v>
      </c>
      <c r="K924">
        <v>80</v>
      </c>
      <c r="L924">
        <v>79.972991942999997</v>
      </c>
      <c r="M924">
        <v>50</v>
      </c>
      <c r="N924">
        <v>49.380332946999999</v>
      </c>
    </row>
    <row r="925" spans="1:14" x14ac:dyDescent="0.25">
      <c r="A925">
        <v>1129.2415309999999</v>
      </c>
      <c r="B925" s="1">
        <f>DATE(2013,6,3) + TIME(5,47,48)</f>
        <v>41428.241527777776</v>
      </c>
      <c r="C925">
        <v>1378.7893065999999</v>
      </c>
      <c r="D925">
        <v>1365.1032714999999</v>
      </c>
      <c r="E925">
        <v>1292.4084473</v>
      </c>
      <c r="F925">
        <v>1273.2423096</v>
      </c>
      <c r="G925">
        <v>2400</v>
      </c>
      <c r="H925">
        <v>0</v>
      </c>
      <c r="I925">
        <v>0</v>
      </c>
      <c r="J925">
        <v>2400</v>
      </c>
      <c r="K925">
        <v>80</v>
      </c>
      <c r="L925">
        <v>79.972991942999997</v>
      </c>
      <c r="M925">
        <v>50</v>
      </c>
      <c r="N925">
        <v>49.362800598</v>
      </c>
    </row>
    <row r="926" spans="1:14" x14ac:dyDescent="0.25">
      <c r="A926">
        <v>1130.386939</v>
      </c>
      <c r="B926" s="1">
        <f>DATE(2013,6,4) + TIME(9,17,11)</f>
        <v>41429.386932870373</v>
      </c>
      <c r="C926">
        <v>1378.7448730000001</v>
      </c>
      <c r="D926">
        <v>1365.0695800999999</v>
      </c>
      <c r="E926">
        <v>1292.4047852000001</v>
      </c>
      <c r="F926">
        <v>1273.2364502</v>
      </c>
      <c r="G926">
        <v>2400</v>
      </c>
      <c r="H926">
        <v>0</v>
      </c>
      <c r="I926">
        <v>0</v>
      </c>
      <c r="J926">
        <v>2400</v>
      </c>
      <c r="K926">
        <v>80</v>
      </c>
      <c r="L926">
        <v>79.972991942999997</v>
      </c>
      <c r="M926">
        <v>50</v>
      </c>
      <c r="N926">
        <v>49.344631194999998</v>
      </c>
    </row>
    <row r="927" spans="1:14" x14ac:dyDescent="0.25">
      <c r="A927">
        <v>1131.5530739999999</v>
      </c>
      <c r="B927" s="1">
        <f>DATE(2013,6,5) + TIME(13,16,25)</f>
        <v>41430.553067129629</v>
      </c>
      <c r="C927">
        <v>1378.7011719</v>
      </c>
      <c r="D927">
        <v>1365.036499</v>
      </c>
      <c r="E927">
        <v>1292.401001</v>
      </c>
      <c r="F927">
        <v>1273.2304687999999</v>
      </c>
      <c r="G927">
        <v>2400</v>
      </c>
      <c r="H927">
        <v>0</v>
      </c>
      <c r="I927">
        <v>0</v>
      </c>
      <c r="J927">
        <v>2400</v>
      </c>
      <c r="K927">
        <v>80</v>
      </c>
      <c r="L927">
        <v>79.972999572999996</v>
      </c>
      <c r="M927">
        <v>50</v>
      </c>
      <c r="N927">
        <v>49.326080322000003</v>
      </c>
    </row>
    <row r="928" spans="1:14" x14ac:dyDescent="0.25">
      <c r="A928">
        <v>1132.7475750000001</v>
      </c>
      <c r="B928" s="1">
        <f>DATE(2013,6,6) + TIME(17,56,30)</f>
        <v>41431.747569444444</v>
      </c>
      <c r="C928">
        <v>1378.6577147999999</v>
      </c>
      <c r="D928">
        <v>1365.0036620999999</v>
      </c>
      <c r="E928">
        <v>1292.3972168</v>
      </c>
      <c r="F928">
        <v>1273.2242432</v>
      </c>
      <c r="G928">
        <v>2400</v>
      </c>
      <c r="H928">
        <v>0</v>
      </c>
      <c r="I928">
        <v>0</v>
      </c>
      <c r="J928">
        <v>2400</v>
      </c>
      <c r="K928">
        <v>80</v>
      </c>
      <c r="L928">
        <v>79.972999572999996</v>
      </c>
      <c r="M928">
        <v>50</v>
      </c>
      <c r="N928">
        <v>49.307189940999997</v>
      </c>
    </row>
    <row r="929" spans="1:14" x14ac:dyDescent="0.25">
      <c r="A929">
        <v>1133.979133</v>
      </c>
      <c r="B929" s="1">
        <f>DATE(2013,6,7) + TIME(23,29,57)</f>
        <v>41432.979131944441</v>
      </c>
      <c r="C929">
        <v>1378.6145019999999</v>
      </c>
      <c r="D929">
        <v>1364.9708252</v>
      </c>
      <c r="E929">
        <v>1292.3931885</v>
      </c>
      <c r="F929">
        <v>1273.2177733999999</v>
      </c>
      <c r="G929">
        <v>2400</v>
      </c>
      <c r="H929">
        <v>0</v>
      </c>
      <c r="I929">
        <v>0</v>
      </c>
      <c r="J929">
        <v>2400</v>
      </c>
      <c r="K929">
        <v>80</v>
      </c>
      <c r="L929">
        <v>79.973007202000005</v>
      </c>
      <c r="M929">
        <v>50</v>
      </c>
      <c r="N929">
        <v>49.287902832</v>
      </c>
    </row>
    <row r="930" spans="1:14" x14ac:dyDescent="0.25">
      <c r="A930">
        <v>1135.257216</v>
      </c>
      <c r="B930" s="1">
        <f>DATE(2013,6,9) + TIME(6,10,23)</f>
        <v>41434.257210648146</v>
      </c>
      <c r="C930">
        <v>1378.5710449000001</v>
      </c>
      <c r="D930">
        <v>1364.9378661999999</v>
      </c>
      <c r="E930">
        <v>1292.3890381000001</v>
      </c>
      <c r="F930">
        <v>1273.2109375</v>
      </c>
      <c r="G930">
        <v>2400</v>
      </c>
      <c r="H930">
        <v>0</v>
      </c>
      <c r="I930">
        <v>0</v>
      </c>
      <c r="J930">
        <v>2400</v>
      </c>
      <c r="K930">
        <v>80</v>
      </c>
      <c r="L930">
        <v>79.973014832000004</v>
      </c>
      <c r="M930">
        <v>50</v>
      </c>
      <c r="N930">
        <v>49.268115997000002</v>
      </c>
    </row>
    <row r="931" spans="1:14" x14ac:dyDescent="0.25">
      <c r="A931">
        <v>1136.579526</v>
      </c>
      <c r="B931" s="1">
        <f>DATE(2013,6,10) + TIME(13,54,31)</f>
        <v>41435.579525462963</v>
      </c>
      <c r="C931">
        <v>1378.5270995999999</v>
      </c>
      <c r="D931">
        <v>1364.9044189000001</v>
      </c>
      <c r="E931">
        <v>1292.3846435999999</v>
      </c>
      <c r="F931">
        <v>1273.2037353999999</v>
      </c>
      <c r="G931">
        <v>2400</v>
      </c>
      <c r="H931">
        <v>0</v>
      </c>
      <c r="I931">
        <v>0</v>
      </c>
      <c r="J931">
        <v>2400</v>
      </c>
      <c r="K931">
        <v>80</v>
      </c>
      <c r="L931">
        <v>79.973022460999999</v>
      </c>
      <c r="M931">
        <v>50</v>
      </c>
      <c r="N931">
        <v>49.247776031000001</v>
      </c>
    </row>
    <row r="932" spans="1:14" x14ac:dyDescent="0.25">
      <c r="A932">
        <v>1137.931057</v>
      </c>
      <c r="B932" s="1">
        <f>DATE(2013,6,11) + TIME(22,20,43)</f>
        <v>41436.93105324074</v>
      </c>
      <c r="C932">
        <v>1378.4827881000001</v>
      </c>
      <c r="D932">
        <v>1364.8708495999999</v>
      </c>
      <c r="E932">
        <v>1292.3800048999999</v>
      </c>
      <c r="F932">
        <v>1273.1960449000001</v>
      </c>
      <c r="G932">
        <v>2400</v>
      </c>
      <c r="H932">
        <v>0</v>
      </c>
      <c r="I932">
        <v>0</v>
      </c>
      <c r="J932">
        <v>2400</v>
      </c>
      <c r="K932">
        <v>80</v>
      </c>
      <c r="L932">
        <v>79.973022460999999</v>
      </c>
      <c r="M932">
        <v>50</v>
      </c>
      <c r="N932">
        <v>49.226951599000003</v>
      </c>
    </row>
    <row r="933" spans="1:14" x14ac:dyDescent="0.25">
      <c r="A933">
        <v>1139.2904080000001</v>
      </c>
      <c r="B933" s="1">
        <f>DATE(2013,6,13) + TIME(6,58,11)</f>
        <v>41438.290405092594</v>
      </c>
      <c r="C933">
        <v>1378.4385986</v>
      </c>
      <c r="D933">
        <v>1364.8371582</v>
      </c>
      <c r="E933">
        <v>1292.3751221</v>
      </c>
      <c r="F933">
        <v>1273.1881103999999</v>
      </c>
      <c r="G933">
        <v>2400</v>
      </c>
      <c r="H933">
        <v>0</v>
      </c>
      <c r="I933">
        <v>0</v>
      </c>
      <c r="J933">
        <v>2400</v>
      </c>
      <c r="K933">
        <v>80</v>
      </c>
      <c r="L933">
        <v>79.973030089999995</v>
      </c>
      <c r="M933">
        <v>50</v>
      </c>
      <c r="N933">
        <v>49.205863952999998</v>
      </c>
    </row>
    <row r="934" spans="1:14" x14ac:dyDescent="0.25">
      <c r="A934">
        <v>1140.666686</v>
      </c>
      <c r="B934" s="1">
        <f>DATE(2013,6,14) + TIME(16,0,1)</f>
        <v>41439.666678240741</v>
      </c>
      <c r="C934">
        <v>1378.3952637</v>
      </c>
      <c r="D934">
        <v>1364.8041992000001</v>
      </c>
      <c r="E934">
        <v>1292.3701172000001</v>
      </c>
      <c r="F934">
        <v>1273.1799315999999</v>
      </c>
      <c r="G934">
        <v>2400</v>
      </c>
      <c r="H934">
        <v>0</v>
      </c>
      <c r="I934">
        <v>0</v>
      </c>
      <c r="J934">
        <v>2400</v>
      </c>
      <c r="K934">
        <v>80</v>
      </c>
      <c r="L934">
        <v>79.973037719999994</v>
      </c>
      <c r="M934">
        <v>50</v>
      </c>
      <c r="N934">
        <v>49.184616089000002</v>
      </c>
    </row>
    <row r="935" spans="1:14" x14ac:dyDescent="0.25">
      <c r="A935">
        <v>1142.069041</v>
      </c>
      <c r="B935" s="1">
        <f>DATE(2013,6,16) + TIME(1,39,25)</f>
        <v>41441.069039351853</v>
      </c>
      <c r="C935">
        <v>1378.3525391000001</v>
      </c>
      <c r="D935">
        <v>1364.7717285000001</v>
      </c>
      <c r="E935">
        <v>1292.3649902</v>
      </c>
      <c r="F935">
        <v>1273.1713867000001</v>
      </c>
      <c r="G935">
        <v>2400</v>
      </c>
      <c r="H935">
        <v>0</v>
      </c>
      <c r="I935">
        <v>0</v>
      </c>
      <c r="J935">
        <v>2400</v>
      </c>
      <c r="K935">
        <v>80</v>
      </c>
      <c r="L935">
        <v>79.973045349000003</v>
      </c>
      <c r="M935">
        <v>50</v>
      </c>
      <c r="N935">
        <v>49.163158416999998</v>
      </c>
    </row>
    <row r="936" spans="1:14" x14ac:dyDescent="0.25">
      <c r="A936">
        <v>1143.5069020000001</v>
      </c>
      <c r="B936" s="1">
        <f>DATE(2013,6,17) + TIME(12,9,56)</f>
        <v>41442.506898148145</v>
      </c>
      <c r="C936">
        <v>1378.3099365</v>
      </c>
      <c r="D936">
        <v>1364.7392577999999</v>
      </c>
      <c r="E936">
        <v>1292.3597411999999</v>
      </c>
      <c r="F936">
        <v>1273.1623535000001</v>
      </c>
      <c r="G936">
        <v>2400</v>
      </c>
      <c r="H936">
        <v>0</v>
      </c>
      <c r="I936">
        <v>0</v>
      </c>
      <c r="J936">
        <v>2400</v>
      </c>
      <c r="K936">
        <v>80</v>
      </c>
      <c r="L936">
        <v>79.973060607999997</v>
      </c>
      <c r="M936">
        <v>50</v>
      </c>
      <c r="N936">
        <v>49.141387938999998</v>
      </c>
    </row>
    <row r="937" spans="1:14" x14ac:dyDescent="0.25">
      <c r="A937">
        <v>1144.990896</v>
      </c>
      <c r="B937" s="1">
        <f>DATE(2013,6,18) + TIME(23,46,53)</f>
        <v>41443.990891203706</v>
      </c>
      <c r="C937">
        <v>1378.2674560999999</v>
      </c>
      <c r="D937">
        <v>1364.7067870999999</v>
      </c>
      <c r="E937">
        <v>1292.354126</v>
      </c>
      <c r="F937">
        <v>1273.1529541</v>
      </c>
      <c r="G937">
        <v>2400</v>
      </c>
      <c r="H937">
        <v>0</v>
      </c>
      <c r="I937">
        <v>0</v>
      </c>
      <c r="J937">
        <v>2400</v>
      </c>
      <c r="K937">
        <v>80</v>
      </c>
      <c r="L937">
        <v>79.973068237000007</v>
      </c>
      <c r="M937">
        <v>50</v>
      </c>
      <c r="N937">
        <v>49.119171143000003</v>
      </c>
    </row>
    <row r="938" spans="1:14" x14ac:dyDescent="0.25">
      <c r="A938">
        <v>1146.5197579999999</v>
      </c>
      <c r="B938" s="1">
        <f>DATE(2013,6,20) + TIME(12,28,27)</f>
        <v>41445.519756944443</v>
      </c>
      <c r="C938">
        <v>1378.2244873</v>
      </c>
      <c r="D938">
        <v>1364.6739502</v>
      </c>
      <c r="E938">
        <v>1292.3481445</v>
      </c>
      <c r="F938">
        <v>1273.1429443</v>
      </c>
      <c r="G938">
        <v>2400</v>
      </c>
      <c r="H938">
        <v>0</v>
      </c>
      <c r="I938">
        <v>0</v>
      </c>
      <c r="J938">
        <v>2400</v>
      </c>
      <c r="K938">
        <v>80</v>
      </c>
      <c r="L938">
        <v>79.973075867000006</v>
      </c>
      <c r="M938">
        <v>50</v>
      </c>
      <c r="N938">
        <v>49.096427917</v>
      </c>
    </row>
    <row r="939" spans="1:14" x14ac:dyDescent="0.25">
      <c r="A939">
        <v>1148.105294</v>
      </c>
      <c r="B939" s="1">
        <f>DATE(2013,6,22) + TIME(2,31,37)</f>
        <v>41447.10528935185</v>
      </c>
      <c r="C939">
        <v>1378.1813964999999</v>
      </c>
      <c r="D939">
        <v>1364.6409911999999</v>
      </c>
      <c r="E939">
        <v>1292.3419189000001</v>
      </c>
      <c r="F939">
        <v>1273.1323242000001</v>
      </c>
      <c r="G939">
        <v>2400</v>
      </c>
      <c r="H939">
        <v>0</v>
      </c>
      <c r="I939">
        <v>0</v>
      </c>
      <c r="J939">
        <v>2400</v>
      </c>
      <c r="K939">
        <v>80</v>
      </c>
      <c r="L939">
        <v>79.973091124999996</v>
      </c>
      <c r="M939">
        <v>50</v>
      </c>
      <c r="N939">
        <v>49.073066711000003</v>
      </c>
    </row>
    <row r="940" spans="1:14" x14ac:dyDescent="0.25">
      <c r="A940">
        <v>1149.711922</v>
      </c>
      <c r="B940" s="1">
        <f>DATE(2013,6,23) + TIME(17,5,10)</f>
        <v>41448.711921296293</v>
      </c>
      <c r="C940">
        <v>1378.1375731999999</v>
      </c>
      <c r="D940">
        <v>1364.6074219</v>
      </c>
      <c r="E940">
        <v>1292.3352050999999</v>
      </c>
      <c r="F940">
        <v>1273.1209716999999</v>
      </c>
      <c r="G940">
        <v>2400</v>
      </c>
      <c r="H940">
        <v>0</v>
      </c>
      <c r="I940">
        <v>0</v>
      </c>
      <c r="J940">
        <v>2400</v>
      </c>
      <c r="K940">
        <v>80</v>
      </c>
      <c r="L940">
        <v>79.973098754999995</v>
      </c>
      <c r="M940">
        <v>50</v>
      </c>
      <c r="N940">
        <v>49.049190521</v>
      </c>
    </row>
    <row r="941" spans="1:14" x14ac:dyDescent="0.25">
      <c r="A941">
        <v>1151.3270769999999</v>
      </c>
      <c r="B941" s="1">
        <f>DATE(2013,6,25) + TIME(7,50,59)</f>
        <v>41450.32707175926</v>
      </c>
      <c r="C941">
        <v>1378.0943603999999</v>
      </c>
      <c r="D941">
        <v>1364.5743408000001</v>
      </c>
      <c r="E941">
        <v>1292.3282471</v>
      </c>
      <c r="F941">
        <v>1273.1091309000001</v>
      </c>
      <c r="G941">
        <v>2400</v>
      </c>
      <c r="H941">
        <v>0</v>
      </c>
      <c r="I941">
        <v>0</v>
      </c>
      <c r="J941">
        <v>2400</v>
      </c>
      <c r="K941">
        <v>80</v>
      </c>
      <c r="L941">
        <v>79.973114014000004</v>
      </c>
      <c r="M941">
        <v>50</v>
      </c>
      <c r="N941">
        <v>49.025070190000001</v>
      </c>
    </row>
    <row r="942" spans="1:14" x14ac:dyDescent="0.25">
      <c r="A942">
        <v>1152.9611150000001</v>
      </c>
      <c r="B942" s="1">
        <f>DATE(2013,6,26) + TIME(23,4,0)</f>
        <v>41451.961111111108</v>
      </c>
      <c r="C942">
        <v>1378.0518798999999</v>
      </c>
      <c r="D942">
        <v>1364.541626</v>
      </c>
      <c r="E942">
        <v>1292.3210449000001</v>
      </c>
      <c r="F942">
        <v>1273.0968018000001</v>
      </c>
      <c r="G942">
        <v>2400</v>
      </c>
      <c r="H942">
        <v>0</v>
      </c>
      <c r="I942">
        <v>0</v>
      </c>
      <c r="J942">
        <v>2400</v>
      </c>
      <c r="K942">
        <v>80</v>
      </c>
      <c r="L942">
        <v>79.973129271999994</v>
      </c>
      <c r="M942">
        <v>50</v>
      </c>
      <c r="N942">
        <v>49.000804901000002</v>
      </c>
    </row>
    <row r="943" spans="1:14" x14ac:dyDescent="0.25">
      <c r="A943">
        <v>1154.624487</v>
      </c>
      <c r="B943" s="1">
        <f>DATE(2013,6,28) + TIME(14,59,15)</f>
        <v>41453.624479166669</v>
      </c>
      <c r="C943">
        <v>1378.0098877</v>
      </c>
      <c r="D943">
        <v>1364.5092772999999</v>
      </c>
      <c r="E943">
        <v>1292.3135986</v>
      </c>
      <c r="F943">
        <v>1273.0838623</v>
      </c>
      <c r="G943">
        <v>2400</v>
      </c>
      <c r="H943">
        <v>0</v>
      </c>
      <c r="I943">
        <v>0</v>
      </c>
      <c r="J943">
        <v>2400</v>
      </c>
      <c r="K943">
        <v>80</v>
      </c>
      <c r="L943">
        <v>79.973144531000003</v>
      </c>
      <c r="M943">
        <v>50</v>
      </c>
      <c r="N943">
        <v>48.976325989000003</v>
      </c>
    </row>
    <row r="944" spans="1:14" x14ac:dyDescent="0.25">
      <c r="A944">
        <v>1156.3277740000001</v>
      </c>
      <c r="B944" s="1">
        <f>DATE(2013,6,30) + TIME(7,51,59)</f>
        <v>41455.327766203707</v>
      </c>
      <c r="C944">
        <v>1377.9680175999999</v>
      </c>
      <c r="D944">
        <v>1364.4771728999999</v>
      </c>
      <c r="E944">
        <v>1292.3057861</v>
      </c>
      <c r="F944">
        <v>1273.0703125</v>
      </c>
      <c r="G944">
        <v>2400</v>
      </c>
      <c r="H944">
        <v>0</v>
      </c>
      <c r="I944">
        <v>0</v>
      </c>
      <c r="J944">
        <v>2400</v>
      </c>
      <c r="K944">
        <v>80</v>
      </c>
      <c r="L944">
        <v>79.973152161000002</v>
      </c>
      <c r="M944">
        <v>50</v>
      </c>
      <c r="N944">
        <v>48.951519011999999</v>
      </c>
    </row>
    <row r="945" spans="1:14" x14ac:dyDescent="0.25">
      <c r="A945">
        <v>1157</v>
      </c>
      <c r="B945" s="1">
        <f>DATE(2013,7,1) + TIME(0,0,0)</f>
        <v>41456</v>
      </c>
      <c r="C945">
        <v>1377.9261475000001</v>
      </c>
      <c r="D945">
        <v>1364.4448242000001</v>
      </c>
      <c r="E945">
        <v>1292.2969971</v>
      </c>
      <c r="F945">
        <v>1273.0574951000001</v>
      </c>
      <c r="G945">
        <v>2400</v>
      </c>
      <c r="H945">
        <v>0</v>
      </c>
      <c r="I945">
        <v>0</v>
      </c>
      <c r="J945">
        <v>2400</v>
      </c>
      <c r="K945">
        <v>80</v>
      </c>
      <c r="L945">
        <v>79.973152161000002</v>
      </c>
      <c r="M945">
        <v>50</v>
      </c>
      <c r="N945">
        <v>48.934940337999997</v>
      </c>
    </row>
    <row r="946" spans="1:14" x14ac:dyDescent="0.25">
      <c r="A946">
        <v>1158.755087</v>
      </c>
      <c r="B946" s="1">
        <f>DATE(2013,7,2) + TIME(18,7,19)</f>
        <v>41457.75508101852</v>
      </c>
      <c r="C946">
        <v>1377.9097899999999</v>
      </c>
      <c r="D946">
        <v>1364.432251</v>
      </c>
      <c r="E946">
        <v>1292.2940673999999</v>
      </c>
      <c r="F946">
        <v>1273.0493164</v>
      </c>
      <c r="G946">
        <v>2400</v>
      </c>
      <c r="H946">
        <v>0</v>
      </c>
      <c r="I946">
        <v>0</v>
      </c>
      <c r="J946">
        <v>2400</v>
      </c>
      <c r="K946">
        <v>80</v>
      </c>
      <c r="L946">
        <v>79.973175049000005</v>
      </c>
      <c r="M946">
        <v>50</v>
      </c>
      <c r="N946">
        <v>48.914161682</v>
      </c>
    </row>
    <row r="947" spans="1:14" x14ac:dyDescent="0.25">
      <c r="A947">
        <v>1160.6021049999999</v>
      </c>
      <c r="B947" s="1">
        <f>DATE(2013,7,4) + TIME(14,27,1)</f>
        <v>41459.602094907408</v>
      </c>
      <c r="C947">
        <v>1377.8680420000001</v>
      </c>
      <c r="D947">
        <v>1364.3999022999999</v>
      </c>
      <c r="E947">
        <v>1292.2852783000001</v>
      </c>
      <c r="F947">
        <v>1273.0343018000001</v>
      </c>
      <c r="G947">
        <v>2400</v>
      </c>
      <c r="H947">
        <v>0</v>
      </c>
      <c r="I947">
        <v>0</v>
      </c>
      <c r="J947">
        <v>2400</v>
      </c>
      <c r="K947">
        <v>80</v>
      </c>
      <c r="L947">
        <v>79.973190308</v>
      </c>
      <c r="M947">
        <v>50</v>
      </c>
      <c r="N947">
        <v>48.889652251999998</v>
      </c>
    </row>
    <row r="948" spans="1:14" x14ac:dyDescent="0.25">
      <c r="A948">
        <v>1162.45218</v>
      </c>
      <c r="B948" s="1">
        <f>DATE(2013,7,6) + TIME(10,51,8)</f>
        <v>41461.452175925922</v>
      </c>
      <c r="C948">
        <v>1377.8248291</v>
      </c>
      <c r="D948">
        <v>1364.3665771000001</v>
      </c>
      <c r="E948">
        <v>1292.2757568</v>
      </c>
      <c r="F948">
        <v>1273.0177002</v>
      </c>
      <c r="G948">
        <v>2400</v>
      </c>
      <c r="H948">
        <v>0</v>
      </c>
      <c r="I948">
        <v>0</v>
      </c>
      <c r="J948">
        <v>2400</v>
      </c>
      <c r="K948">
        <v>80</v>
      </c>
      <c r="L948">
        <v>79.973213196000003</v>
      </c>
      <c r="M948">
        <v>50</v>
      </c>
      <c r="N948">
        <v>48.863491058000001</v>
      </c>
    </row>
    <row r="949" spans="1:14" x14ac:dyDescent="0.25">
      <c r="A949">
        <v>1164.3169190000001</v>
      </c>
      <c r="B949" s="1">
        <f>DATE(2013,7,8) + TIME(7,36,21)</f>
        <v>41463.31690972222</v>
      </c>
      <c r="C949">
        <v>1377.7825928</v>
      </c>
      <c r="D949">
        <v>1364.3337402</v>
      </c>
      <c r="E949">
        <v>1292.2658690999999</v>
      </c>
      <c r="F949">
        <v>1273.0002440999999</v>
      </c>
      <c r="G949">
        <v>2400</v>
      </c>
      <c r="H949">
        <v>0</v>
      </c>
      <c r="I949">
        <v>0</v>
      </c>
      <c r="J949">
        <v>2400</v>
      </c>
      <c r="K949">
        <v>80</v>
      </c>
      <c r="L949">
        <v>79.973228454999997</v>
      </c>
      <c r="M949">
        <v>50</v>
      </c>
      <c r="N949">
        <v>48.836849213000001</v>
      </c>
    </row>
    <row r="950" spans="1:14" x14ac:dyDescent="0.25">
      <c r="A950">
        <v>1166.2082350000001</v>
      </c>
      <c r="B950" s="1">
        <f>DATE(2013,7,10) + TIME(4,59,51)</f>
        <v>41465.208229166667</v>
      </c>
      <c r="C950">
        <v>1377.7409668</v>
      </c>
      <c r="D950">
        <v>1364.3013916</v>
      </c>
      <c r="E950">
        <v>1292.2557373</v>
      </c>
      <c r="F950">
        <v>1272.9820557</v>
      </c>
      <c r="G950">
        <v>2400</v>
      </c>
      <c r="H950">
        <v>0</v>
      </c>
      <c r="I950">
        <v>0</v>
      </c>
      <c r="J950">
        <v>2400</v>
      </c>
      <c r="K950">
        <v>80</v>
      </c>
      <c r="L950">
        <v>79.973243713000002</v>
      </c>
      <c r="M950">
        <v>50</v>
      </c>
      <c r="N950">
        <v>48.809986115000001</v>
      </c>
    </row>
    <row r="951" spans="1:14" x14ac:dyDescent="0.25">
      <c r="A951">
        <v>1168.1382120000001</v>
      </c>
      <c r="B951" s="1">
        <f>DATE(2013,7,12) + TIME(3,19,1)</f>
        <v>41467.138206018521</v>
      </c>
      <c r="C951">
        <v>1377.6994629000001</v>
      </c>
      <c r="D951">
        <v>1364.2691649999999</v>
      </c>
      <c r="E951">
        <v>1292.2449951000001</v>
      </c>
      <c r="F951">
        <v>1272.9628906</v>
      </c>
      <c r="G951">
        <v>2400</v>
      </c>
      <c r="H951">
        <v>0</v>
      </c>
      <c r="I951">
        <v>0</v>
      </c>
      <c r="J951">
        <v>2400</v>
      </c>
      <c r="K951">
        <v>80</v>
      </c>
      <c r="L951">
        <v>79.973266601999995</v>
      </c>
      <c r="M951">
        <v>50</v>
      </c>
      <c r="N951">
        <v>48.782882690000001</v>
      </c>
    </row>
    <row r="952" spans="1:14" x14ac:dyDescent="0.25">
      <c r="A952">
        <v>1170.1193820000001</v>
      </c>
      <c r="B952" s="1">
        <f>DATE(2013,7,14) + TIME(2,51,54)</f>
        <v>41469.119375000002</v>
      </c>
      <c r="C952">
        <v>1377.6580810999999</v>
      </c>
      <c r="D952">
        <v>1364.2369385</v>
      </c>
      <c r="E952">
        <v>1292.2338867000001</v>
      </c>
      <c r="F952">
        <v>1272.942749</v>
      </c>
      <c r="G952">
        <v>2400</v>
      </c>
      <c r="H952">
        <v>0</v>
      </c>
      <c r="I952">
        <v>0</v>
      </c>
      <c r="J952">
        <v>2400</v>
      </c>
      <c r="K952">
        <v>80</v>
      </c>
      <c r="L952">
        <v>79.97328186</v>
      </c>
      <c r="M952">
        <v>50</v>
      </c>
      <c r="N952">
        <v>48.755443573000001</v>
      </c>
    </row>
    <row r="953" spans="1:14" x14ac:dyDescent="0.25">
      <c r="A953">
        <v>1172.1664020000001</v>
      </c>
      <c r="B953" s="1">
        <f>DATE(2013,7,16) + TIME(3,59,37)</f>
        <v>41471.166400462964</v>
      </c>
      <c r="C953">
        <v>1377.6164550999999</v>
      </c>
      <c r="D953">
        <v>1364.2044678</v>
      </c>
      <c r="E953">
        <v>1292.222168</v>
      </c>
      <c r="F953">
        <v>1272.9213867000001</v>
      </c>
      <c r="G953">
        <v>2400</v>
      </c>
      <c r="H953">
        <v>0</v>
      </c>
      <c r="I953">
        <v>0</v>
      </c>
      <c r="J953">
        <v>2400</v>
      </c>
      <c r="K953">
        <v>80</v>
      </c>
      <c r="L953">
        <v>79.973304748999993</v>
      </c>
      <c r="M953">
        <v>50</v>
      </c>
      <c r="N953">
        <v>48.727535248000002</v>
      </c>
    </row>
    <row r="954" spans="1:14" x14ac:dyDescent="0.25">
      <c r="A954">
        <v>1174.279581</v>
      </c>
      <c r="B954" s="1">
        <f>DATE(2013,7,18) + TIME(6,42,35)</f>
        <v>41473.27957175926</v>
      </c>
      <c r="C954">
        <v>1377.5743408000001</v>
      </c>
      <c r="D954">
        <v>1364.1715088000001</v>
      </c>
      <c r="E954">
        <v>1292.2097168</v>
      </c>
      <c r="F954">
        <v>1272.8986815999999</v>
      </c>
      <c r="G954">
        <v>2400</v>
      </c>
      <c r="H954">
        <v>0</v>
      </c>
      <c r="I954">
        <v>0</v>
      </c>
      <c r="J954">
        <v>2400</v>
      </c>
      <c r="K954">
        <v>80</v>
      </c>
      <c r="L954">
        <v>79.973327636999997</v>
      </c>
      <c r="M954">
        <v>50</v>
      </c>
      <c r="N954">
        <v>48.699066162000001</v>
      </c>
    </row>
    <row r="955" spans="1:14" x14ac:dyDescent="0.25">
      <c r="A955">
        <v>1176.400936</v>
      </c>
      <c r="B955" s="1">
        <f>DATE(2013,7,20) + TIME(9,37,20)</f>
        <v>41475.400925925926</v>
      </c>
      <c r="C955">
        <v>1377.5317382999999</v>
      </c>
      <c r="D955">
        <v>1364.1380615</v>
      </c>
      <c r="E955">
        <v>1292.1965332</v>
      </c>
      <c r="F955">
        <v>1272.8746338000001</v>
      </c>
      <c r="G955">
        <v>2400</v>
      </c>
      <c r="H955">
        <v>0</v>
      </c>
      <c r="I955">
        <v>0</v>
      </c>
      <c r="J955">
        <v>2400</v>
      </c>
      <c r="K955">
        <v>80</v>
      </c>
      <c r="L955">
        <v>79.973350525000001</v>
      </c>
      <c r="M955">
        <v>50</v>
      </c>
      <c r="N955">
        <v>48.670284271</v>
      </c>
    </row>
    <row r="956" spans="1:14" x14ac:dyDescent="0.25">
      <c r="A956">
        <v>1178.5415909999999</v>
      </c>
      <c r="B956" s="1">
        <f>DATE(2013,7,22) + TIME(12,59,53)</f>
        <v>41477.541585648149</v>
      </c>
      <c r="C956">
        <v>1377.4898682</v>
      </c>
      <c r="D956">
        <v>1364.1052245999999</v>
      </c>
      <c r="E956">
        <v>1292.1831055</v>
      </c>
      <c r="F956">
        <v>1272.8496094</v>
      </c>
      <c r="G956">
        <v>2400</v>
      </c>
      <c r="H956">
        <v>0</v>
      </c>
      <c r="I956">
        <v>0</v>
      </c>
      <c r="J956">
        <v>2400</v>
      </c>
      <c r="K956">
        <v>80</v>
      </c>
      <c r="L956">
        <v>79.973373413000004</v>
      </c>
      <c r="M956">
        <v>50</v>
      </c>
      <c r="N956">
        <v>48.641593933000003</v>
      </c>
    </row>
    <row r="957" spans="1:14" x14ac:dyDescent="0.25">
      <c r="A957">
        <v>1180.7153029999999</v>
      </c>
      <c r="B957" s="1">
        <f>DATE(2013,7,24) + TIME(17,10,2)</f>
        <v>41479.715300925927</v>
      </c>
      <c r="C957">
        <v>1377.4483643000001</v>
      </c>
      <c r="D957">
        <v>1364.0726318</v>
      </c>
      <c r="E957">
        <v>1292.1690673999999</v>
      </c>
      <c r="F957">
        <v>1272.8237305</v>
      </c>
      <c r="G957">
        <v>2400</v>
      </c>
      <c r="H957">
        <v>0</v>
      </c>
      <c r="I957">
        <v>0</v>
      </c>
      <c r="J957">
        <v>2400</v>
      </c>
      <c r="K957">
        <v>80</v>
      </c>
      <c r="L957">
        <v>79.973396300999994</v>
      </c>
      <c r="M957">
        <v>50</v>
      </c>
      <c r="N957">
        <v>48.613040924000003</v>
      </c>
    </row>
    <row r="958" spans="1:14" x14ac:dyDescent="0.25">
      <c r="A958">
        <v>1182.936033</v>
      </c>
      <c r="B958" s="1">
        <f>DATE(2013,7,26) + TIME(22,27,53)</f>
        <v>41481.936030092591</v>
      </c>
      <c r="C958">
        <v>1377.4071045000001</v>
      </c>
      <c r="D958">
        <v>1364.0400391000001</v>
      </c>
      <c r="E958">
        <v>1292.1546631000001</v>
      </c>
      <c r="F958">
        <v>1272.7966309000001</v>
      </c>
      <c r="G958">
        <v>2400</v>
      </c>
      <c r="H958">
        <v>0</v>
      </c>
      <c r="I958">
        <v>0</v>
      </c>
      <c r="J958">
        <v>2400</v>
      </c>
      <c r="K958">
        <v>80</v>
      </c>
      <c r="L958">
        <v>79.973419188999998</v>
      </c>
      <c r="M958">
        <v>50</v>
      </c>
      <c r="N958">
        <v>48.584560394</v>
      </c>
    </row>
    <row r="959" spans="1:14" x14ac:dyDescent="0.25">
      <c r="A959">
        <v>1185.2121749999999</v>
      </c>
      <c r="B959" s="1">
        <f>DATE(2013,7,29) + TIME(5,5,31)</f>
        <v>41484.212164351855</v>
      </c>
      <c r="C959">
        <v>1377.3657227000001</v>
      </c>
      <c r="D959">
        <v>1364.0074463000001</v>
      </c>
      <c r="E959">
        <v>1292.1396483999999</v>
      </c>
      <c r="F959">
        <v>1272.7684326000001</v>
      </c>
      <c r="G959">
        <v>2400</v>
      </c>
      <c r="H959">
        <v>0</v>
      </c>
      <c r="I959">
        <v>0</v>
      </c>
      <c r="J959">
        <v>2400</v>
      </c>
      <c r="K959">
        <v>80</v>
      </c>
      <c r="L959">
        <v>79.973442078000005</v>
      </c>
      <c r="M959">
        <v>50</v>
      </c>
      <c r="N959">
        <v>48.556091309000003</v>
      </c>
    </row>
    <row r="960" spans="1:14" x14ac:dyDescent="0.25">
      <c r="A960">
        <v>1187.550524</v>
      </c>
      <c r="B960" s="1">
        <f>DATE(2013,7,31) + TIME(13,12,45)</f>
        <v>41486.550520833334</v>
      </c>
      <c r="C960">
        <v>1377.3240966999999</v>
      </c>
      <c r="D960">
        <v>1363.9744873</v>
      </c>
      <c r="E960">
        <v>1292.1240233999999</v>
      </c>
      <c r="F960">
        <v>1272.7387695</v>
      </c>
      <c r="G960">
        <v>2400</v>
      </c>
      <c r="H960">
        <v>0</v>
      </c>
      <c r="I960">
        <v>0</v>
      </c>
      <c r="J960">
        <v>2400</v>
      </c>
      <c r="K960">
        <v>80</v>
      </c>
      <c r="L960">
        <v>79.973472595000004</v>
      </c>
      <c r="M960">
        <v>50</v>
      </c>
      <c r="N960">
        <v>48.527637482000003</v>
      </c>
    </row>
    <row r="961" spans="1:14" x14ac:dyDescent="0.25">
      <c r="A961">
        <v>1188</v>
      </c>
      <c r="B961" s="1">
        <f>DATE(2013,8,1) + TIME(0,0,0)</f>
        <v>41487</v>
      </c>
      <c r="C961">
        <v>1377.2825928</v>
      </c>
      <c r="D961">
        <v>1363.9416504000001</v>
      </c>
      <c r="E961">
        <v>1292.1088867000001</v>
      </c>
      <c r="F961">
        <v>1272.7139893000001</v>
      </c>
      <c r="G961">
        <v>2400</v>
      </c>
      <c r="H961">
        <v>0</v>
      </c>
      <c r="I961">
        <v>0</v>
      </c>
      <c r="J961">
        <v>2400</v>
      </c>
      <c r="K961">
        <v>80</v>
      </c>
      <c r="L961">
        <v>79.973464965999995</v>
      </c>
      <c r="M961">
        <v>50</v>
      </c>
      <c r="N961">
        <v>48.514331818000002</v>
      </c>
    </row>
    <row r="962" spans="1:14" x14ac:dyDescent="0.25">
      <c r="A962">
        <v>1190.4126450000001</v>
      </c>
      <c r="B962" s="1">
        <f>DATE(2013,8,3) + TIME(9,54,12)</f>
        <v>41489.412638888891</v>
      </c>
      <c r="C962">
        <v>1377.2742920000001</v>
      </c>
      <c r="D962">
        <v>1363.9349365</v>
      </c>
      <c r="E962">
        <v>1292.1040039</v>
      </c>
      <c r="F962">
        <v>1272.6998291</v>
      </c>
      <c r="G962">
        <v>2400</v>
      </c>
      <c r="H962">
        <v>0</v>
      </c>
      <c r="I962">
        <v>0</v>
      </c>
      <c r="J962">
        <v>2400</v>
      </c>
      <c r="K962">
        <v>80</v>
      </c>
      <c r="L962">
        <v>79.973503113000007</v>
      </c>
      <c r="M962">
        <v>50</v>
      </c>
      <c r="N962">
        <v>48.491886139000002</v>
      </c>
    </row>
    <row r="963" spans="1:14" x14ac:dyDescent="0.25">
      <c r="A963">
        <v>1192.842746</v>
      </c>
      <c r="B963" s="1">
        <f>DATE(2013,8,5) + TIME(20,13,33)</f>
        <v>41491.842743055553</v>
      </c>
      <c r="C963">
        <v>1377.2320557</v>
      </c>
      <c r="D963">
        <v>1363.9014893000001</v>
      </c>
      <c r="E963">
        <v>1292.0875243999999</v>
      </c>
      <c r="F963">
        <v>1272.668457</v>
      </c>
      <c r="G963">
        <v>2400</v>
      </c>
      <c r="H963">
        <v>0</v>
      </c>
      <c r="I963">
        <v>0</v>
      </c>
      <c r="J963">
        <v>2400</v>
      </c>
      <c r="K963">
        <v>80</v>
      </c>
      <c r="L963">
        <v>79.973526000999996</v>
      </c>
      <c r="M963">
        <v>50</v>
      </c>
      <c r="N963">
        <v>48.465435028000002</v>
      </c>
    </row>
    <row r="964" spans="1:14" x14ac:dyDescent="0.25">
      <c r="A964">
        <v>1195.3029240000001</v>
      </c>
      <c r="B964" s="1">
        <f>DATE(2013,8,8) + TIME(7,16,12)</f>
        <v>41494.302916666667</v>
      </c>
      <c r="C964">
        <v>1377.1903076000001</v>
      </c>
      <c r="D964">
        <v>1363.8681641000001</v>
      </c>
      <c r="E964">
        <v>1292.0703125</v>
      </c>
      <c r="F964">
        <v>1272.6352539</v>
      </c>
      <c r="G964">
        <v>2400</v>
      </c>
      <c r="H964">
        <v>0</v>
      </c>
      <c r="I964">
        <v>0</v>
      </c>
      <c r="J964">
        <v>2400</v>
      </c>
      <c r="K964">
        <v>80</v>
      </c>
      <c r="L964">
        <v>79.973556518999999</v>
      </c>
      <c r="M964">
        <v>50</v>
      </c>
      <c r="N964">
        <v>48.438617706000002</v>
      </c>
    </row>
    <row r="965" spans="1:14" x14ac:dyDescent="0.25">
      <c r="A965">
        <v>1197.7991050000001</v>
      </c>
      <c r="B965" s="1">
        <f>DATE(2013,8,10) + TIME(19,10,42)</f>
        <v>41496.799097222225</v>
      </c>
      <c r="C965">
        <v>1377.1488036999999</v>
      </c>
      <c r="D965">
        <v>1363.8350829999999</v>
      </c>
      <c r="E965">
        <v>1292.0527344</v>
      </c>
      <c r="F965">
        <v>1272.6008300999999</v>
      </c>
      <c r="G965">
        <v>2400</v>
      </c>
      <c r="H965">
        <v>0</v>
      </c>
      <c r="I965">
        <v>0</v>
      </c>
      <c r="J965">
        <v>2400</v>
      </c>
      <c r="K965">
        <v>80</v>
      </c>
      <c r="L965">
        <v>79.973587035999998</v>
      </c>
      <c r="M965">
        <v>50</v>
      </c>
      <c r="N965">
        <v>48.412399292000003</v>
      </c>
    </row>
    <row r="966" spans="1:14" x14ac:dyDescent="0.25">
      <c r="A966">
        <v>1200.347043</v>
      </c>
      <c r="B966" s="1">
        <f>DATE(2013,8,13) + TIME(8,19,44)</f>
        <v>41499.347037037034</v>
      </c>
      <c r="C966">
        <v>1377.1074219</v>
      </c>
      <c r="D966">
        <v>1363.8020019999999</v>
      </c>
      <c r="E966">
        <v>1292.0349120999999</v>
      </c>
      <c r="F966">
        <v>1272.5655518000001</v>
      </c>
      <c r="G966">
        <v>2400</v>
      </c>
      <c r="H966">
        <v>0</v>
      </c>
      <c r="I966">
        <v>0</v>
      </c>
      <c r="J966">
        <v>2400</v>
      </c>
      <c r="K966">
        <v>80</v>
      </c>
      <c r="L966">
        <v>79.973617554</v>
      </c>
      <c r="M966">
        <v>50</v>
      </c>
      <c r="N966">
        <v>48.387088775999999</v>
      </c>
    </row>
    <row r="967" spans="1:14" x14ac:dyDescent="0.25">
      <c r="A967">
        <v>1202.96327</v>
      </c>
      <c r="B967" s="1">
        <f>DATE(2013,8,15) + TIME(23,7,6)</f>
        <v>41501.963263888887</v>
      </c>
      <c r="C967">
        <v>1377.0660399999999</v>
      </c>
      <c r="D967">
        <v>1363.7687988</v>
      </c>
      <c r="E967">
        <v>1292.0166016000001</v>
      </c>
      <c r="F967">
        <v>1272.5291748</v>
      </c>
      <c r="G967">
        <v>2400</v>
      </c>
      <c r="H967">
        <v>0</v>
      </c>
      <c r="I967">
        <v>0</v>
      </c>
      <c r="J967">
        <v>2400</v>
      </c>
      <c r="K967">
        <v>80</v>
      </c>
      <c r="L967">
        <v>79.973648071</v>
      </c>
      <c r="M967">
        <v>50</v>
      </c>
      <c r="N967">
        <v>48.362815857000001</v>
      </c>
    </row>
    <row r="968" spans="1:14" x14ac:dyDescent="0.25">
      <c r="A968">
        <v>1205.666221</v>
      </c>
      <c r="B968" s="1">
        <f>DATE(2013,8,18) + TIME(15,59,21)</f>
        <v>41504.666215277779</v>
      </c>
      <c r="C968">
        <v>1377.0241699000001</v>
      </c>
      <c r="D968">
        <v>1363.7351074000001</v>
      </c>
      <c r="E968">
        <v>1291.9980469</v>
      </c>
      <c r="F968">
        <v>1272.4916992000001</v>
      </c>
      <c r="G968">
        <v>2400</v>
      </c>
      <c r="H968">
        <v>0</v>
      </c>
      <c r="I968">
        <v>0</v>
      </c>
      <c r="J968">
        <v>2400</v>
      </c>
      <c r="K968">
        <v>80</v>
      </c>
      <c r="L968">
        <v>79.973678589000002</v>
      </c>
      <c r="M968">
        <v>50</v>
      </c>
      <c r="N968">
        <v>48.339691162000001</v>
      </c>
    </row>
    <row r="969" spans="1:14" x14ac:dyDescent="0.25">
      <c r="A969">
        <v>1208.402433</v>
      </c>
      <c r="B969" s="1">
        <f>DATE(2013,8,21) + TIME(9,39,30)</f>
        <v>41507.402430555558</v>
      </c>
      <c r="C969">
        <v>1376.9818115</v>
      </c>
      <c r="D969">
        <v>1363.7010498</v>
      </c>
      <c r="E969">
        <v>1291.9790039</v>
      </c>
      <c r="F969">
        <v>1272.4530029</v>
      </c>
      <c r="G969">
        <v>2400</v>
      </c>
      <c r="H969">
        <v>0</v>
      </c>
      <c r="I969">
        <v>0</v>
      </c>
      <c r="J969">
        <v>2400</v>
      </c>
      <c r="K969">
        <v>80</v>
      </c>
      <c r="L969">
        <v>79.973709106000001</v>
      </c>
      <c r="M969">
        <v>50</v>
      </c>
      <c r="N969">
        <v>48.318008423000002</v>
      </c>
    </row>
    <row r="970" spans="1:14" x14ac:dyDescent="0.25">
      <c r="A970">
        <v>1211.15834</v>
      </c>
      <c r="B970" s="1">
        <f>DATE(2013,8,24) + TIME(3,48,0)</f>
        <v>41510.158333333333</v>
      </c>
      <c r="C970">
        <v>1376.9396973</v>
      </c>
      <c r="D970">
        <v>1363.6669922000001</v>
      </c>
      <c r="E970">
        <v>1291.9599608999999</v>
      </c>
      <c r="F970">
        <v>1272.4139404</v>
      </c>
      <c r="G970">
        <v>2400</v>
      </c>
      <c r="H970">
        <v>0</v>
      </c>
      <c r="I970">
        <v>0</v>
      </c>
      <c r="J970">
        <v>2400</v>
      </c>
      <c r="K970">
        <v>80</v>
      </c>
      <c r="L970">
        <v>79.973739624000004</v>
      </c>
      <c r="M970">
        <v>50</v>
      </c>
      <c r="N970">
        <v>48.298305511000002</v>
      </c>
    </row>
    <row r="971" spans="1:14" x14ac:dyDescent="0.25">
      <c r="A971">
        <v>1213.951204</v>
      </c>
      <c r="B971" s="1">
        <f>DATE(2013,8,26) + TIME(22,49,44)</f>
        <v>41512.951203703706</v>
      </c>
      <c r="C971">
        <v>1376.8979492000001</v>
      </c>
      <c r="D971">
        <v>1363.6331786999999</v>
      </c>
      <c r="E971">
        <v>1291.9411620999999</v>
      </c>
      <c r="F971">
        <v>1272.3747559000001</v>
      </c>
      <c r="G971">
        <v>2400</v>
      </c>
      <c r="H971">
        <v>0</v>
      </c>
      <c r="I971">
        <v>0</v>
      </c>
      <c r="J971">
        <v>2400</v>
      </c>
      <c r="K971">
        <v>80</v>
      </c>
      <c r="L971">
        <v>79.973770142000006</v>
      </c>
      <c r="M971">
        <v>50</v>
      </c>
      <c r="N971">
        <v>48.280918120999999</v>
      </c>
    </row>
    <row r="972" spans="1:14" x14ac:dyDescent="0.25">
      <c r="A972">
        <v>1216.7986880000001</v>
      </c>
      <c r="B972" s="1">
        <f>DATE(2013,8,29) + TIME(19,10,6)</f>
        <v>41515.798680555556</v>
      </c>
      <c r="C972">
        <v>1376.8564452999999</v>
      </c>
      <c r="D972">
        <v>1363.5994873</v>
      </c>
      <c r="E972">
        <v>1291.9226074000001</v>
      </c>
      <c r="F972">
        <v>1272.3355713000001</v>
      </c>
      <c r="G972">
        <v>2400</v>
      </c>
      <c r="H972">
        <v>0</v>
      </c>
      <c r="I972">
        <v>0</v>
      </c>
      <c r="J972">
        <v>2400</v>
      </c>
      <c r="K972">
        <v>80</v>
      </c>
      <c r="L972">
        <v>79.973808289000004</v>
      </c>
      <c r="M972">
        <v>50</v>
      </c>
      <c r="N972">
        <v>48.266067505000002</v>
      </c>
    </row>
    <row r="973" spans="1:14" x14ac:dyDescent="0.25">
      <c r="A973">
        <v>1219</v>
      </c>
      <c r="B973" s="1">
        <f>DATE(2013,9,1) + TIME(0,0,0)</f>
        <v>41518</v>
      </c>
      <c r="C973">
        <v>1376.8148193</v>
      </c>
      <c r="D973">
        <v>1363.5656738</v>
      </c>
      <c r="E973">
        <v>1291.9047852000001</v>
      </c>
      <c r="F973">
        <v>1272.2973632999999</v>
      </c>
      <c r="G973">
        <v>2400</v>
      </c>
      <c r="H973">
        <v>0</v>
      </c>
      <c r="I973">
        <v>0</v>
      </c>
      <c r="J973">
        <v>2400</v>
      </c>
      <c r="K973">
        <v>80</v>
      </c>
      <c r="L973">
        <v>79.973831176999994</v>
      </c>
      <c r="M973">
        <v>50</v>
      </c>
      <c r="N973">
        <v>48.254821776999997</v>
      </c>
    </row>
    <row r="974" spans="1:14" x14ac:dyDescent="0.25">
      <c r="A974">
        <v>1221.9208639999999</v>
      </c>
      <c r="B974" s="1">
        <f>DATE(2013,9,3) + TIME(22,6,2)</f>
        <v>41520.920856481483</v>
      </c>
      <c r="C974">
        <v>1376.7830810999999</v>
      </c>
      <c r="D974">
        <v>1363.5397949000001</v>
      </c>
      <c r="E974">
        <v>1291.8898925999999</v>
      </c>
      <c r="F974">
        <v>1272.2651367000001</v>
      </c>
      <c r="G974">
        <v>2400</v>
      </c>
      <c r="H974">
        <v>0</v>
      </c>
      <c r="I974">
        <v>0</v>
      </c>
      <c r="J974">
        <v>2400</v>
      </c>
      <c r="K974">
        <v>80</v>
      </c>
      <c r="L974">
        <v>79.973869324000006</v>
      </c>
      <c r="M974">
        <v>50</v>
      </c>
      <c r="N974">
        <v>48.246784210000001</v>
      </c>
    </row>
    <row r="975" spans="1:14" x14ac:dyDescent="0.25">
      <c r="A975">
        <v>1224.9548649999999</v>
      </c>
      <c r="B975" s="1">
        <f>DATE(2013,9,6) + TIME(22,55,0)</f>
        <v>41523.954861111109</v>
      </c>
      <c r="C975">
        <v>1376.7416992000001</v>
      </c>
      <c r="D975">
        <v>1363.5059814000001</v>
      </c>
      <c r="E975">
        <v>1291.8729248</v>
      </c>
      <c r="F975">
        <v>1272.2275391000001</v>
      </c>
      <c r="G975">
        <v>2400</v>
      </c>
      <c r="H975">
        <v>0</v>
      </c>
      <c r="I975">
        <v>0</v>
      </c>
      <c r="J975">
        <v>2400</v>
      </c>
      <c r="K975">
        <v>80</v>
      </c>
      <c r="L975">
        <v>79.973899841000005</v>
      </c>
      <c r="M975">
        <v>50</v>
      </c>
      <c r="N975">
        <v>48.240924835000001</v>
      </c>
    </row>
    <row r="976" spans="1:14" x14ac:dyDescent="0.25">
      <c r="A976">
        <v>1228.039499</v>
      </c>
      <c r="B976" s="1">
        <f>DATE(2013,9,10) + TIME(0,56,52)</f>
        <v>41527.039490740739</v>
      </c>
      <c r="C976">
        <v>1376.6993408000001</v>
      </c>
      <c r="D976">
        <v>1363.4713135</v>
      </c>
      <c r="E976">
        <v>1291.855957</v>
      </c>
      <c r="F976">
        <v>1272.1890868999999</v>
      </c>
      <c r="G976">
        <v>2400</v>
      </c>
      <c r="H976">
        <v>0</v>
      </c>
      <c r="I976">
        <v>0</v>
      </c>
      <c r="J976">
        <v>2400</v>
      </c>
      <c r="K976">
        <v>80</v>
      </c>
      <c r="L976">
        <v>79.973937988000003</v>
      </c>
      <c r="M976">
        <v>50</v>
      </c>
      <c r="N976">
        <v>48.238651275999999</v>
      </c>
    </row>
    <row r="977" spans="1:14" x14ac:dyDescent="0.25">
      <c r="A977">
        <v>1231.1588240000001</v>
      </c>
      <c r="B977" s="1">
        <f>DATE(2013,9,13) + TIME(3,48,42)</f>
        <v>41530.158819444441</v>
      </c>
      <c r="C977">
        <v>1376.6569824000001</v>
      </c>
      <c r="D977">
        <v>1363.4366454999999</v>
      </c>
      <c r="E977">
        <v>1291.8395995999999</v>
      </c>
      <c r="F977">
        <v>1272.1513672000001</v>
      </c>
      <c r="G977">
        <v>2400</v>
      </c>
      <c r="H977">
        <v>0</v>
      </c>
      <c r="I977">
        <v>0</v>
      </c>
      <c r="J977">
        <v>2400</v>
      </c>
      <c r="K977">
        <v>80</v>
      </c>
      <c r="L977">
        <v>79.973976135000001</v>
      </c>
      <c r="M977">
        <v>50</v>
      </c>
      <c r="N977">
        <v>48.240730286000002</v>
      </c>
    </row>
    <row r="978" spans="1:14" x14ac:dyDescent="0.25">
      <c r="A978">
        <v>1234.3327830000001</v>
      </c>
      <c r="B978" s="1">
        <f>DATE(2013,9,16) + TIME(7,59,12)</f>
        <v>41533.332777777781</v>
      </c>
      <c r="C978">
        <v>1376.6148682</v>
      </c>
      <c r="D978">
        <v>1363.4019774999999</v>
      </c>
      <c r="E978">
        <v>1291.8243408000001</v>
      </c>
      <c r="F978">
        <v>1272.1151123</v>
      </c>
      <c r="G978">
        <v>2400</v>
      </c>
      <c r="H978">
        <v>0</v>
      </c>
      <c r="I978">
        <v>0</v>
      </c>
      <c r="J978">
        <v>2400</v>
      </c>
      <c r="K978">
        <v>80</v>
      </c>
      <c r="L978">
        <v>79.974014281999999</v>
      </c>
      <c r="M978">
        <v>50</v>
      </c>
      <c r="N978">
        <v>48.247680664000001</v>
      </c>
    </row>
    <row r="979" spans="1:14" x14ac:dyDescent="0.25">
      <c r="A979">
        <v>1237.582232</v>
      </c>
      <c r="B979" s="1">
        <f>DATE(2013,9,19) + TIME(13,58,24)</f>
        <v>41536.58222222222</v>
      </c>
      <c r="C979">
        <v>1376.5727539</v>
      </c>
      <c r="D979">
        <v>1363.3671875</v>
      </c>
      <c r="E979">
        <v>1291.8103027</v>
      </c>
      <c r="F979">
        <v>1272.0803223</v>
      </c>
      <c r="G979">
        <v>2400</v>
      </c>
      <c r="H979">
        <v>0</v>
      </c>
      <c r="I979">
        <v>0</v>
      </c>
      <c r="J979">
        <v>2400</v>
      </c>
      <c r="K979">
        <v>80</v>
      </c>
      <c r="L979">
        <v>79.974052428999997</v>
      </c>
      <c r="M979">
        <v>50</v>
      </c>
      <c r="N979">
        <v>48.260021209999998</v>
      </c>
    </row>
    <row r="980" spans="1:14" x14ac:dyDescent="0.25">
      <c r="A980">
        <v>1240.8827550000001</v>
      </c>
      <c r="B980" s="1">
        <f>DATE(2013,9,22) + TIME(21,11,10)</f>
        <v>41539.882754629631</v>
      </c>
      <c r="C980">
        <v>1376.5302733999999</v>
      </c>
      <c r="D980">
        <v>1363.3321533000001</v>
      </c>
      <c r="E980">
        <v>1291.7977295000001</v>
      </c>
      <c r="F980">
        <v>1272.0474853999999</v>
      </c>
      <c r="G980">
        <v>2400</v>
      </c>
      <c r="H980">
        <v>0</v>
      </c>
      <c r="I980">
        <v>0</v>
      </c>
      <c r="J980">
        <v>2400</v>
      </c>
      <c r="K980">
        <v>80</v>
      </c>
      <c r="L980">
        <v>79.974090575999995</v>
      </c>
      <c r="M980">
        <v>50</v>
      </c>
      <c r="N980">
        <v>48.278366089000002</v>
      </c>
    </row>
    <row r="981" spans="1:14" x14ac:dyDescent="0.25">
      <c r="A981">
        <v>1244.2419749999999</v>
      </c>
      <c r="B981" s="1">
        <f>DATE(2013,9,26) + TIME(5,48,26)</f>
        <v>41543.241967592592</v>
      </c>
      <c r="C981">
        <v>1376.4879149999999</v>
      </c>
      <c r="D981">
        <v>1363.2969971</v>
      </c>
      <c r="E981">
        <v>1291.7866211</v>
      </c>
      <c r="F981">
        <v>1272.0169678</v>
      </c>
      <c r="G981">
        <v>2400</v>
      </c>
      <c r="H981">
        <v>0</v>
      </c>
      <c r="I981">
        <v>0</v>
      </c>
      <c r="J981">
        <v>2400</v>
      </c>
      <c r="K981">
        <v>80</v>
      </c>
      <c r="L981">
        <v>79.974136353000006</v>
      </c>
      <c r="M981">
        <v>50</v>
      </c>
      <c r="N981">
        <v>48.303283690999997</v>
      </c>
    </row>
    <row r="982" spans="1:14" x14ac:dyDescent="0.25">
      <c r="A982">
        <v>1247.6655149999999</v>
      </c>
      <c r="B982" s="1">
        <f>DATE(2013,9,29) + TIME(15,58,20)</f>
        <v>41546.665509259263</v>
      </c>
      <c r="C982">
        <v>1376.4454346</v>
      </c>
      <c r="D982">
        <v>1363.2617187999999</v>
      </c>
      <c r="E982">
        <v>1291.7774658000001</v>
      </c>
      <c r="F982">
        <v>1271.9893798999999</v>
      </c>
      <c r="G982">
        <v>2400</v>
      </c>
      <c r="H982">
        <v>0</v>
      </c>
      <c r="I982">
        <v>0</v>
      </c>
      <c r="J982">
        <v>2400</v>
      </c>
      <c r="K982">
        <v>80</v>
      </c>
      <c r="L982">
        <v>79.974174500000004</v>
      </c>
      <c r="M982">
        <v>50</v>
      </c>
      <c r="N982">
        <v>48.335418701000002</v>
      </c>
    </row>
    <row r="983" spans="1:14" x14ac:dyDescent="0.25">
      <c r="A983">
        <v>1249</v>
      </c>
      <c r="B983" s="1">
        <f>DATE(2013,10,1) + TIME(0,0,0)</f>
        <v>41548</v>
      </c>
      <c r="C983">
        <v>1376.402832</v>
      </c>
      <c r="D983">
        <v>1363.2261963000001</v>
      </c>
      <c r="E983">
        <v>1291.7744141000001</v>
      </c>
      <c r="F983">
        <v>1271.9685059000001</v>
      </c>
      <c r="G983">
        <v>2400</v>
      </c>
      <c r="H983">
        <v>0</v>
      </c>
      <c r="I983">
        <v>0</v>
      </c>
      <c r="J983">
        <v>2400</v>
      </c>
      <c r="K983">
        <v>80</v>
      </c>
      <c r="L983">
        <v>79.974182128999999</v>
      </c>
      <c r="M983">
        <v>50</v>
      </c>
      <c r="N983">
        <v>48.365966796999999</v>
      </c>
    </row>
    <row r="984" spans="1:14" x14ac:dyDescent="0.25">
      <c r="A984">
        <v>1252.500896</v>
      </c>
      <c r="B984" s="1">
        <f>DATE(2013,10,4) + TIME(12,1,17)</f>
        <v>41551.500891203701</v>
      </c>
      <c r="C984">
        <v>1376.3863524999999</v>
      </c>
      <c r="D984">
        <v>1363.2124022999999</v>
      </c>
      <c r="E984">
        <v>1291.7668457</v>
      </c>
      <c r="F984">
        <v>1271.9553223</v>
      </c>
      <c r="G984">
        <v>2400</v>
      </c>
      <c r="H984">
        <v>0</v>
      </c>
      <c r="I984">
        <v>0</v>
      </c>
      <c r="J984">
        <v>2400</v>
      </c>
      <c r="K984">
        <v>80</v>
      </c>
      <c r="L984">
        <v>79.974227905000006</v>
      </c>
      <c r="M984">
        <v>50</v>
      </c>
      <c r="N984">
        <v>48.397010803000001</v>
      </c>
    </row>
    <row r="985" spans="1:14" x14ac:dyDescent="0.25">
      <c r="A985">
        <v>1256.0819080000001</v>
      </c>
      <c r="B985" s="1">
        <f>DATE(2013,10,8) + TIME(1,57,56)</f>
        <v>41555.08189814815</v>
      </c>
      <c r="C985">
        <v>1376.3438721</v>
      </c>
      <c r="D985">
        <v>1363.1768798999999</v>
      </c>
      <c r="E985">
        <v>1291.7645264</v>
      </c>
      <c r="F985">
        <v>1271.9377440999999</v>
      </c>
      <c r="G985">
        <v>2400</v>
      </c>
      <c r="H985">
        <v>0</v>
      </c>
      <c r="I985">
        <v>0</v>
      </c>
      <c r="J985">
        <v>2400</v>
      </c>
      <c r="K985">
        <v>80</v>
      </c>
      <c r="L985">
        <v>79.974273682000003</v>
      </c>
      <c r="M985">
        <v>50</v>
      </c>
      <c r="N985">
        <v>48.446765900000003</v>
      </c>
    </row>
    <row r="986" spans="1:14" x14ac:dyDescent="0.25">
      <c r="A986">
        <v>1259.703201</v>
      </c>
      <c r="B986" s="1">
        <f>DATE(2013,10,11) + TIME(16,52,36)</f>
        <v>41558.703194444446</v>
      </c>
      <c r="C986">
        <v>1376.3010254000001</v>
      </c>
      <c r="D986">
        <v>1363.1409911999999</v>
      </c>
      <c r="E986">
        <v>1291.7637939000001</v>
      </c>
      <c r="F986">
        <v>1271.9235839999999</v>
      </c>
      <c r="G986">
        <v>2400</v>
      </c>
      <c r="H986">
        <v>0</v>
      </c>
      <c r="I986">
        <v>0</v>
      </c>
      <c r="J986">
        <v>2400</v>
      </c>
      <c r="K986">
        <v>80</v>
      </c>
      <c r="L986">
        <v>79.974319457999997</v>
      </c>
      <c r="M986">
        <v>50</v>
      </c>
      <c r="N986">
        <v>48.508281707999998</v>
      </c>
    </row>
    <row r="987" spans="1:14" x14ac:dyDescent="0.25">
      <c r="A987">
        <v>1263.3767809999999</v>
      </c>
      <c r="B987" s="1">
        <f>DATE(2013,10,15) + TIME(9,2,33)</f>
        <v>41562.376770833333</v>
      </c>
      <c r="C987">
        <v>1376.2583007999999</v>
      </c>
      <c r="D987">
        <v>1363.1051024999999</v>
      </c>
      <c r="E987">
        <v>1291.7658690999999</v>
      </c>
      <c r="F987">
        <v>1271.9141846</v>
      </c>
      <c r="G987">
        <v>2400</v>
      </c>
      <c r="H987">
        <v>0</v>
      </c>
      <c r="I987">
        <v>0</v>
      </c>
      <c r="J987">
        <v>2400</v>
      </c>
      <c r="K987">
        <v>80</v>
      </c>
      <c r="L987">
        <v>79.974365234000004</v>
      </c>
      <c r="M987">
        <v>50</v>
      </c>
      <c r="N987">
        <v>48.580318450999997</v>
      </c>
    </row>
    <row r="988" spans="1:14" x14ac:dyDescent="0.25">
      <c r="A988">
        <v>1267.1192659999999</v>
      </c>
      <c r="B988" s="1">
        <f>DATE(2013,10,19) + TIME(2,51,44)</f>
        <v>41566.119259259256</v>
      </c>
      <c r="C988">
        <v>1376.2156981999999</v>
      </c>
      <c r="D988">
        <v>1363.0692139</v>
      </c>
      <c r="E988">
        <v>1291.7711182</v>
      </c>
      <c r="F988">
        <v>1271.9105225000001</v>
      </c>
      <c r="G988">
        <v>2400</v>
      </c>
      <c r="H988">
        <v>0</v>
      </c>
      <c r="I988">
        <v>0</v>
      </c>
      <c r="J988">
        <v>2400</v>
      </c>
      <c r="K988">
        <v>80</v>
      </c>
      <c r="L988">
        <v>79.974403381000002</v>
      </c>
      <c r="M988">
        <v>50</v>
      </c>
      <c r="N988">
        <v>48.663448334000002</v>
      </c>
    </row>
    <row r="989" spans="1:14" x14ac:dyDescent="0.25">
      <c r="A989">
        <v>1270.955013</v>
      </c>
      <c r="B989" s="1">
        <f>DATE(2013,10,22) + TIME(22,55,13)</f>
        <v>41569.955011574071</v>
      </c>
      <c r="C989">
        <v>1376.1729736</v>
      </c>
      <c r="D989">
        <v>1363.0332031</v>
      </c>
      <c r="E989">
        <v>1291.7797852000001</v>
      </c>
      <c r="F989">
        <v>1271.9130858999999</v>
      </c>
      <c r="G989">
        <v>2400</v>
      </c>
      <c r="H989">
        <v>0</v>
      </c>
      <c r="I989">
        <v>0</v>
      </c>
      <c r="J989">
        <v>2400</v>
      </c>
      <c r="K989">
        <v>80</v>
      </c>
      <c r="L989">
        <v>79.974449157999999</v>
      </c>
      <c r="M989">
        <v>50</v>
      </c>
      <c r="N989">
        <v>48.758712768999999</v>
      </c>
    </row>
    <row r="990" spans="1:14" x14ac:dyDescent="0.25">
      <c r="A990">
        <v>1274.8733549999999</v>
      </c>
      <c r="B990" s="1">
        <f>DATE(2013,10,26) + TIME(20,57,37)</f>
        <v>41573.873344907406</v>
      </c>
      <c r="C990">
        <v>1376.1300048999999</v>
      </c>
      <c r="D990">
        <v>1362.9968262</v>
      </c>
      <c r="E990">
        <v>1291.7924805</v>
      </c>
      <c r="F990">
        <v>1271.9223632999999</v>
      </c>
      <c r="G990">
        <v>2400</v>
      </c>
      <c r="H990">
        <v>0</v>
      </c>
      <c r="I990">
        <v>0</v>
      </c>
      <c r="J990">
        <v>2400</v>
      </c>
      <c r="K990">
        <v>80</v>
      </c>
      <c r="L990">
        <v>79.974494934000006</v>
      </c>
      <c r="M990">
        <v>50</v>
      </c>
      <c r="N990">
        <v>48.867450714</v>
      </c>
    </row>
    <row r="991" spans="1:14" x14ac:dyDescent="0.25">
      <c r="A991">
        <v>1278.8262569999999</v>
      </c>
      <c r="B991" s="1">
        <f>DATE(2013,10,30) + TIME(19,49,48)</f>
        <v>41577.826249999998</v>
      </c>
      <c r="C991">
        <v>1376.0866699000001</v>
      </c>
      <c r="D991">
        <v>1362.9600829999999</v>
      </c>
      <c r="E991">
        <v>1291.8093262</v>
      </c>
      <c r="F991">
        <v>1271.9393310999999</v>
      </c>
      <c r="G991">
        <v>2400</v>
      </c>
      <c r="H991">
        <v>0</v>
      </c>
      <c r="I991">
        <v>0</v>
      </c>
      <c r="J991">
        <v>2400</v>
      </c>
      <c r="K991">
        <v>80</v>
      </c>
      <c r="L991">
        <v>79.974548339999998</v>
      </c>
      <c r="M991">
        <v>50</v>
      </c>
      <c r="N991">
        <v>48.990222930999998</v>
      </c>
    </row>
    <row r="992" spans="1:14" x14ac:dyDescent="0.25">
      <c r="A992">
        <v>1280</v>
      </c>
      <c r="B992" s="1">
        <f>DATE(2013,11,1) + TIME(0,0,0)</f>
        <v>41579</v>
      </c>
      <c r="C992">
        <v>1376.0438231999999</v>
      </c>
      <c r="D992">
        <v>1362.9237060999999</v>
      </c>
      <c r="E992">
        <v>1291.8381348</v>
      </c>
      <c r="F992">
        <v>1271.9638672000001</v>
      </c>
      <c r="G992">
        <v>2400</v>
      </c>
      <c r="H992">
        <v>0</v>
      </c>
      <c r="I992">
        <v>0</v>
      </c>
      <c r="J992">
        <v>2400</v>
      </c>
      <c r="K992">
        <v>80</v>
      </c>
      <c r="L992">
        <v>79.974548339999998</v>
      </c>
      <c r="M992">
        <v>50</v>
      </c>
      <c r="N992">
        <v>49.087013245000001</v>
      </c>
    </row>
    <row r="993" spans="1:14" x14ac:dyDescent="0.25">
      <c r="A993">
        <v>1280.0000010000001</v>
      </c>
      <c r="B993" s="1">
        <f>DATE(2013,11,1) + TIME(0,0,0)</f>
        <v>41579</v>
      </c>
      <c r="C993">
        <v>1362.0517577999999</v>
      </c>
      <c r="D993">
        <v>1349.859375</v>
      </c>
      <c r="E993">
        <v>1312.4833983999999</v>
      </c>
      <c r="F993">
        <v>1292.7296143000001</v>
      </c>
      <c r="G993">
        <v>0</v>
      </c>
      <c r="H993">
        <v>2400</v>
      </c>
      <c r="I993">
        <v>2400</v>
      </c>
      <c r="J993">
        <v>0</v>
      </c>
      <c r="K993">
        <v>80</v>
      </c>
      <c r="L993">
        <v>79.974426269999995</v>
      </c>
      <c r="M993">
        <v>50</v>
      </c>
      <c r="N993">
        <v>49.087123871000003</v>
      </c>
    </row>
    <row r="994" spans="1:14" x14ac:dyDescent="0.25">
      <c r="A994">
        <v>1280.000004</v>
      </c>
      <c r="B994" s="1">
        <f>DATE(2013,11,1) + TIME(0,0,0)</f>
        <v>41579</v>
      </c>
      <c r="C994">
        <v>1359.848999</v>
      </c>
      <c r="D994">
        <v>1347.65625</v>
      </c>
      <c r="E994">
        <v>1314.8276367000001</v>
      </c>
      <c r="F994">
        <v>1295.1097411999999</v>
      </c>
      <c r="G994">
        <v>0</v>
      </c>
      <c r="H994">
        <v>2400</v>
      </c>
      <c r="I994">
        <v>2400</v>
      </c>
      <c r="J994">
        <v>0</v>
      </c>
      <c r="K994">
        <v>80</v>
      </c>
      <c r="L994">
        <v>79.974113463999998</v>
      </c>
      <c r="M994">
        <v>50</v>
      </c>
      <c r="N994">
        <v>49.087425232000001</v>
      </c>
    </row>
    <row r="995" spans="1:14" x14ac:dyDescent="0.25">
      <c r="A995">
        <v>1280.0000130000001</v>
      </c>
      <c r="B995" s="1">
        <f>DATE(2013,11,1) + TIME(0,0,1)</f>
        <v>41579.000011574077</v>
      </c>
      <c r="C995">
        <v>1355.4025879000001</v>
      </c>
      <c r="D995">
        <v>1343.2095947</v>
      </c>
      <c r="E995">
        <v>1320.1262207</v>
      </c>
      <c r="F995">
        <v>1300.4624022999999</v>
      </c>
      <c r="G995">
        <v>0</v>
      </c>
      <c r="H995">
        <v>2400</v>
      </c>
      <c r="I995">
        <v>2400</v>
      </c>
      <c r="J995">
        <v>0</v>
      </c>
      <c r="K995">
        <v>80</v>
      </c>
      <c r="L995">
        <v>79.973480225000003</v>
      </c>
      <c r="M995">
        <v>50</v>
      </c>
      <c r="N995">
        <v>49.088108063</v>
      </c>
    </row>
    <row r="996" spans="1:14" x14ac:dyDescent="0.25">
      <c r="A996">
        <v>1280.0000399999999</v>
      </c>
      <c r="B996" s="1">
        <f>DATE(2013,11,1) + TIME(0,0,3)</f>
        <v>41579.000034722223</v>
      </c>
      <c r="C996">
        <v>1348.9084473</v>
      </c>
      <c r="D996">
        <v>1336.7166748</v>
      </c>
      <c r="E996">
        <v>1329.0706786999999</v>
      </c>
      <c r="F996">
        <v>1309.4366454999999</v>
      </c>
      <c r="G996">
        <v>0</v>
      </c>
      <c r="H996">
        <v>2400</v>
      </c>
      <c r="I996">
        <v>2400</v>
      </c>
      <c r="J996">
        <v>0</v>
      </c>
      <c r="K996">
        <v>80</v>
      </c>
      <c r="L996">
        <v>79.972557068</v>
      </c>
      <c r="M996">
        <v>50</v>
      </c>
      <c r="N996">
        <v>49.089263916</v>
      </c>
    </row>
    <row r="997" spans="1:14" x14ac:dyDescent="0.25">
      <c r="A997">
        <v>1280.000121</v>
      </c>
      <c r="B997" s="1">
        <f>DATE(2013,11,1) + TIME(0,0,10)</f>
        <v>41579.000115740739</v>
      </c>
      <c r="C997">
        <v>1341.6839600000001</v>
      </c>
      <c r="D997">
        <v>1329.4952393000001</v>
      </c>
      <c r="E997">
        <v>1340.0817870999999</v>
      </c>
      <c r="F997">
        <v>1320.4436035000001</v>
      </c>
      <c r="G997">
        <v>0</v>
      </c>
      <c r="H997">
        <v>2400</v>
      </c>
      <c r="I997">
        <v>2400</v>
      </c>
      <c r="J997">
        <v>0</v>
      </c>
      <c r="K997">
        <v>80</v>
      </c>
      <c r="L997">
        <v>79.971519470000004</v>
      </c>
      <c r="M997">
        <v>50</v>
      </c>
      <c r="N997">
        <v>49.090732574</v>
      </c>
    </row>
    <row r="998" spans="1:14" x14ac:dyDescent="0.25">
      <c r="A998">
        <v>1280.000364</v>
      </c>
      <c r="B998" s="1">
        <f>DATE(2013,11,1) + TIME(0,0,31)</f>
        <v>41579.000358796293</v>
      </c>
      <c r="C998">
        <v>1334.4276123</v>
      </c>
      <c r="D998">
        <v>1322.2431641000001</v>
      </c>
      <c r="E998">
        <v>1351.4599608999999</v>
      </c>
      <c r="F998">
        <v>1331.8133545000001</v>
      </c>
      <c r="G998">
        <v>0</v>
      </c>
      <c r="H998">
        <v>2400</v>
      </c>
      <c r="I998">
        <v>2400</v>
      </c>
      <c r="J998">
        <v>0</v>
      </c>
      <c r="K998">
        <v>80</v>
      </c>
      <c r="L998">
        <v>79.970466614000003</v>
      </c>
      <c r="M998">
        <v>50</v>
      </c>
      <c r="N998">
        <v>49.092422485</v>
      </c>
    </row>
    <row r="999" spans="1:14" x14ac:dyDescent="0.25">
      <c r="A999">
        <v>1280.0010930000001</v>
      </c>
      <c r="B999" s="1">
        <f>DATE(2013,11,1) + TIME(0,1,34)</f>
        <v>41579.001087962963</v>
      </c>
      <c r="C999">
        <v>1327.1721190999999</v>
      </c>
      <c r="D999">
        <v>1314.9825439000001</v>
      </c>
      <c r="E999">
        <v>1362.8299560999999</v>
      </c>
      <c r="F999">
        <v>1343.1662598</v>
      </c>
      <c r="G999">
        <v>0</v>
      </c>
      <c r="H999">
        <v>2400</v>
      </c>
      <c r="I999">
        <v>2400</v>
      </c>
      <c r="J999">
        <v>0</v>
      </c>
      <c r="K999">
        <v>80</v>
      </c>
      <c r="L999">
        <v>79.969345093000001</v>
      </c>
      <c r="M999">
        <v>50</v>
      </c>
      <c r="N999">
        <v>49.094642639</v>
      </c>
    </row>
    <row r="1000" spans="1:14" x14ac:dyDescent="0.25">
      <c r="A1000">
        <v>1280.0032799999999</v>
      </c>
      <c r="B1000" s="1">
        <f>DATE(2013,11,1) + TIME(0,4,43)</f>
        <v>41579.003275462965</v>
      </c>
      <c r="C1000">
        <v>1319.9027100000001</v>
      </c>
      <c r="D1000">
        <v>1307.6660156</v>
      </c>
      <c r="E1000">
        <v>1373.9667969</v>
      </c>
      <c r="F1000">
        <v>1354.2574463000001</v>
      </c>
      <c r="G1000">
        <v>0</v>
      </c>
      <c r="H1000">
        <v>2400</v>
      </c>
      <c r="I1000">
        <v>2400</v>
      </c>
      <c r="J1000">
        <v>0</v>
      </c>
      <c r="K1000">
        <v>80</v>
      </c>
      <c r="L1000">
        <v>79.968055724999999</v>
      </c>
      <c r="M1000">
        <v>50</v>
      </c>
      <c r="N1000">
        <v>49.098407745000003</v>
      </c>
    </row>
    <row r="1001" spans="1:14" x14ac:dyDescent="0.25">
      <c r="A1001">
        <v>1280.0098410000001</v>
      </c>
      <c r="B1001" s="1">
        <f>DATE(2013,11,1) + TIME(0,14,10)</f>
        <v>41579.009837962964</v>
      </c>
      <c r="C1001">
        <v>1313.2166748</v>
      </c>
      <c r="D1001">
        <v>1300.9122314000001</v>
      </c>
      <c r="E1001">
        <v>1383.5605469</v>
      </c>
      <c r="F1001">
        <v>1363.7856445</v>
      </c>
      <c r="G1001">
        <v>0</v>
      </c>
      <c r="H1001">
        <v>2400</v>
      </c>
      <c r="I1001">
        <v>2400</v>
      </c>
      <c r="J1001">
        <v>0</v>
      </c>
      <c r="K1001">
        <v>80</v>
      </c>
      <c r="L1001">
        <v>79.966331482000001</v>
      </c>
      <c r="M1001">
        <v>50</v>
      </c>
      <c r="N1001">
        <v>49.106689453000001</v>
      </c>
    </row>
    <row r="1002" spans="1:14" x14ac:dyDescent="0.25">
      <c r="A1002">
        <v>1280.029524</v>
      </c>
      <c r="B1002" s="1">
        <f>DATE(2013,11,1) + TIME(0,42,30)</f>
        <v>41579.029513888891</v>
      </c>
      <c r="C1002">
        <v>1308.6300048999999</v>
      </c>
      <c r="D1002">
        <v>1296.2901611</v>
      </c>
      <c r="E1002">
        <v>1389.4113769999999</v>
      </c>
      <c r="F1002">
        <v>1369.5960693</v>
      </c>
      <c r="G1002">
        <v>0</v>
      </c>
      <c r="H1002">
        <v>2400</v>
      </c>
      <c r="I1002">
        <v>2400</v>
      </c>
      <c r="J1002">
        <v>0</v>
      </c>
      <c r="K1002">
        <v>80</v>
      </c>
      <c r="L1002">
        <v>79.963378906000003</v>
      </c>
      <c r="M1002">
        <v>50</v>
      </c>
      <c r="N1002">
        <v>49.128200530999997</v>
      </c>
    </row>
    <row r="1003" spans="1:14" x14ac:dyDescent="0.25">
      <c r="A1003">
        <v>1280.088573</v>
      </c>
      <c r="B1003" s="1">
        <f>DATE(2013,11,1) + TIME(2,7,32)</f>
        <v>41579.088564814818</v>
      </c>
      <c r="C1003">
        <v>1306.8513184000001</v>
      </c>
      <c r="D1003">
        <v>1294.5018310999999</v>
      </c>
      <c r="E1003">
        <v>1391.2011719</v>
      </c>
      <c r="F1003">
        <v>1371.3968506000001</v>
      </c>
      <c r="G1003">
        <v>0</v>
      </c>
      <c r="H1003">
        <v>2400</v>
      </c>
      <c r="I1003">
        <v>2400</v>
      </c>
      <c r="J1003">
        <v>0</v>
      </c>
      <c r="K1003">
        <v>80</v>
      </c>
      <c r="L1003">
        <v>79.956542968999997</v>
      </c>
      <c r="M1003">
        <v>50</v>
      </c>
      <c r="N1003">
        <v>49.186580657999997</v>
      </c>
    </row>
    <row r="1004" spans="1:14" x14ac:dyDescent="0.25">
      <c r="A1004">
        <v>1280.2657200000001</v>
      </c>
      <c r="B1004" s="1">
        <f>DATE(2013,11,1) + TIME(6,22,38)</f>
        <v>41579.265717592592</v>
      </c>
      <c r="C1004">
        <v>1306.536499</v>
      </c>
      <c r="D1004">
        <v>1294.1846923999999</v>
      </c>
      <c r="E1004">
        <v>1391.2598877</v>
      </c>
      <c r="F1004">
        <v>1371.5219727000001</v>
      </c>
      <c r="G1004">
        <v>0</v>
      </c>
      <c r="H1004">
        <v>2400</v>
      </c>
      <c r="I1004">
        <v>2400</v>
      </c>
      <c r="J1004">
        <v>0</v>
      </c>
      <c r="K1004">
        <v>80</v>
      </c>
      <c r="L1004">
        <v>79.939338684000006</v>
      </c>
      <c r="M1004">
        <v>50</v>
      </c>
      <c r="N1004">
        <v>49.329849242999998</v>
      </c>
    </row>
    <row r="1005" spans="1:14" x14ac:dyDescent="0.25">
      <c r="A1005">
        <v>1280.4960659999999</v>
      </c>
      <c r="B1005" s="1">
        <f>DATE(2013,11,1) + TIME(11,54,20)</f>
        <v>41579.496064814812</v>
      </c>
      <c r="C1005">
        <v>1306.5106201000001</v>
      </c>
      <c r="D1005">
        <v>1294.1578368999999</v>
      </c>
      <c r="E1005">
        <v>1391.1191406</v>
      </c>
      <c r="F1005">
        <v>1371.4475098</v>
      </c>
      <c r="G1005">
        <v>0</v>
      </c>
      <c r="H1005">
        <v>2400</v>
      </c>
      <c r="I1005">
        <v>2400</v>
      </c>
      <c r="J1005">
        <v>0</v>
      </c>
      <c r="K1005">
        <v>80</v>
      </c>
      <c r="L1005">
        <v>79.918739318999997</v>
      </c>
      <c r="M1005">
        <v>50</v>
      </c>
      <c r="N1005">
        <v>49.475063323999997</v>
      </c>
    </row>
    <row r="1006" spans="1:14" x14ac:dyDescent="0.25">
      <c r="A1006">
        <v>1280.785611</v>
      </c>
      <c r="B1006" s="1">
        <f>DATE(2013,11,1) + TIME(18,51,16)</f>
        <v>41579.785601851851</v>
      </c>
      <c r="C1006">
        <v>1306.5043945</v>
      </c>
      <c r="D1006">
        <v>1294.1505127</v>
      </c>
      <c r="E1006">
        <v>1390.9821777</v>
      </c>
      <c r="F1006">
        <v>1371.3724365</v>
      </c>
      <c r="G1006">
        <v>0</v>
      </c>
      <c r="H1006">
        <v>2400</v>
      </c>
      <c r="I1006">
        <v>2400</v>
      </c>
      <c r="J1006">
        <v>0</v>
      </c>
      <c r="K1006">
        <v>80</v>
      </c>
      <c r="L1006">
        <v>79.894752502000003</v>
      </c>
      <c r="M1006">
        <v>50</v>
      </c>
      <c r="N1006">
        <v>49.609817505000002</v>
      </c>
    </row>
    <row r="1007" spans="1:14" x14ac:dyDescent="0.25">
      <c r="A1007">
        <v>1281.1696589999999</v>
      </c>
      <c r="B1007" s="1">
        <f>DATE(2013,11,2) + TIME(4,4,18)</f>
        <v>41580.169652777775</v>
      </c>
      <c r="C1007">
        <v>1306.4982910000001</v>
      </c>
      <c r="D1007">
        <v>1294.1433105000001</v>
      </c>
      <c r="E1007">
        <v>1390.8544922000001</v>
      </c>
      <c r="F1007">
        <v>1371.3016356999999</v>
      </c>
      <c r="G1007">
        <v>0</v>
      </c>
      <c r="H1007">
        <v>2400</v>
      </c>
      <c r="I1007">
        <v>2400</v>
      </c>
      <c r="J1007">
        <v>0</v>
      </c>
      <c r="K1007">
        <v>80</v>
      </c>
      <c r="L1007">
        <v>79.865715026999993</v>
      </c>
      <c r="M1007">
        <v>50</v>
      </c>
      <c r="N1007">
        <v>49.731460571</v>
      </c>
    </row>
    <row r="1008" spans="1:14" x14ac:dyDescent="0.25">
      <c r="A1008">
        <v>1281.7215309999999</v>
      </c>
      <c r="B1008" s="1">
        <f>DATE(2013,11,2) + TIME(17,19,0)</f>
        <v>41580.72152777778</v>
      </c>
      <c r="C1008">
        <v>1306.4903564000001</v>
      </c>
      <c r="D1008">
        <v>1294.1339111</v>
      </c>
      <c r="E1008">
        <v>1390.7382812000001</v>
      </c>
      <c r="F1008">
        <v>1371.2358397999999</v>
      </c>
      <c r="G1008">
        <v>0</v>
      </c>
      <c r="H1008">
        <v>2400</v>
      </c>
      <c r="I1008">
        <v>2400</v>
      </c>
      <c r="J1008">
        <v>0</v>
      </c>
      <c r="K1008">
        <v>80</v>
      </c>
      <c r="L1008">
        <v>79.828605651999993</v>
      </c>
      <c r="M1008">
        <v>50</v>
      </c>
      <c r="N1008">
        <v>49.835948944000002</v>
      </c>
    </row>
    <row r="1009" spans="1:14" x14ac:dyDescent="0.25">
      <c r="A1009">
        <v>1282.44318</v>
      </c>
      <c r="B1009" s="1">
        <f>DATE(2013,11,3) + TIME(10,38,10)</f>
        <v>41581.443171296298</v>
      </c>
      <c r="C1009">
        <v>1306.4788818</v>
      </c>
      <c r="D1009">
        <v>1294.1208495999999</v>
      </c>
      <c r="E1009">
        <v>1390.6461182</v>
      </c>
      <c r="F1009">
        <v>1371.1813964999999</v>
      </c>
      <c r="G1009">
        <v>0</v>
      </c>
      <c r="H1009">
        <v>2400</v>
      </c>
      <c r="I1009">
        <v>2400</v>
      </c>
      <c r="J1009">
        <v>0</v>
      </c>
      <c r="K1009">
        <v>80</v>
      </c>
      <c r="L1009">
        <v>79.782836914000001</v>
      </c>
      <c r="M1009">
        <v>50</v>
      </c>
      <c r="N1009">
        <v>49.908740997000002</v>
      </c>
    </row>
    <row r="1010" spans="1:14" x14ac:dyDescent="0.25">
      <c r="A1010">
        <v>1283.24334</v>
      </c>
      <c r="B1010" s="1">
        <f>DATE(2013,11,4) + TIME(5,50,24)</f>
        <v>41582.243333333332</v>
      </c>
      <c r="C1010">
        <v>1306.4636230000001</v>
      </c>
      <c r="D1010">
        <v>1294.104126</v>
      </c>
      <c r="E1010">
        <v>1390.5782471</v>
      </c>
      <c r="F1010">
        <v>1371.1387939000001</v>
      </c>
      <c r="G1010">
        <v>0</v>
      </c>
      <c r="H1010">
        <v>2400</v>
      </c>
      <c r="I1010">
        <v>2400</v>
      </c>
      <c r="J1010">
        <v>0</v>
      </c>
      <c r="K1010">
        <v>80</v>
      </c>
      <c r="L1010">
        <v>79.730285644999995</v>
      </c>
      <c r="M1010">
        <v>50</v>
      </c>
      <c r="N1010">
        <v>49.949726105000003</v>
      </c>
    </row>
    <row r="1011" spans="1:14" x14ac:dyDescent="0.25">
      <c r="A1011">
        <v>1284.2238150000001</v>
      </c>
      <c r="B1011" s="1">
        <f>DATE(2013,11,5) + TIME(5,22,17)</f>
        <v>41583.223807870374</v>
      </c>
      <c r="C1011">
        <v>1306.4470214999999</v>
      </c>
      <c r="D1011">
        <v>1294.0853271000001</v>
      </c>
      <c r="E1011">
        <v>1390.5263672000001</v>
      </c>
      <c r="F1011">
        <v>1371.1048584</v>
      </c>
      <c r="G1011">
        <v>0</v>
      </c>
      <c r="H1011">
        <v>2400</v>
      </c>
      <c r="I1011">
        <v>2400</v>
      </c>
      <c r="J1011">
        <v>0</v>
      </c>
      <c r="K1011">
        <v>80</v>
      </c>
      <c r="L1011">
        <v>79.668907165999997</v>
      </c>
      <c r="M1011">
        <v>50</v>
      </c>
      <c r="N1011">
        <v>49.972751617</v>
      </c>
    </row>
    <row r="1012" spans="1:14" x14ac:dyDescent="0.25">
      <c r="A1012">
        <v>1285.2704189999999</v>
      </c>
      <c r="B1012" s="1">
        <f>DATE(2013,11,6) + TIME(6,29,24)</f>
        <v>41584.270416666666</v>
      </c>
      <c r="C1012">
        <v>1306.4265137</v>
      </c>
      <c r="D1012">
        <v>1294.0628661999999</v>
      </c>
      <c r="E1012">
        <v>1390.4835204999999</v>
      </c>
      <c r="F1012">
        <v>1371.0755615</v>
      </c>
      <c r="G1012">
        <v>0</v>
      </c>
      <c r="H1012">
        <v>2400</v>
      </c>
      <c r="I1012">
        <v>2400</v>
      </c>
      <c r="J1012">
        <v>0</v>
      </c>
      <c r="K1012">
        <v>80</v>
      </c>
      <c r="L1012">
        <v>79.600738524999997</v>
      </c>
      <c r="M1012">
        <v>50</v>
      </c>
      <c r="N1012">
        <v>49.983665465999998</v>
      </c>
    </row>
    <row r="1013" spans="1:14" x14ac:dyDescent="0.25">
      <c r="A1013">
        <v>1286.4654459999999</v>
      </c>
      <c r="B1013" s="1">
        <f>DATE(2013,11,7) + TIME(11,10,14)</f>
        <v>41585.465439814812</v>
      </c>
      <c r="C1013">
        <v>1306.4049072</v>
      </c>
      <c r="D1013">
        <v>1294.0386963000001</v>
      </c>
      <c r="E1013">
        <v>1390.4494629000001</v>
      </c>
      <c r="F1013">
        <v>1371.0517577999999</v>
      </c>
      <c r="G1013">
        <v>0</v>
      </c>
      <c r="H1013">
        <v>2400</v>
      </c>
      <c r="I1013">
        <v>2400</v>
      </c>
      <c r="J1013">
        <v>0</v>
      </c>
      <c r="K1013">
        <v>80</v>
      </c>
      <c r="L1013">
        <v>79.525695800999998</v>
      </c>
      <c r="M1013">
        <v>50</v>
      </c>
      <c r="N1013">
        <v>49.988822937000002</v>
      </c>
    </row>
    <row r="1014" spans="1:14" x14ac:dyDescent="0.25">
      <c r="A1014">
        <v>1287.8751850000001</v>
      </c>
      <c r="B1014" s="1">
        <f>DATE(2013,11,8) + TIME(21,0,15)</f>
        <v>41586.875173611108</v>
      </c>
      <c r="C1014">
        <v>1306.3803711</v>
      </c>
      <c r="D1014">
        <v>1294.0111084</v>
      </c>
      <c r="E1014">
        <v>1390.4194336</v>
      </c>
      <c r="F1014">
        <v>1371.0308838000001</v>
      </c>
      <c r="G1014">
        <v>0</v>
      </c>
      <c r="H1014">
        <v>2400</v>
      </c>
      <c r="I1014">
        <v>2400</v>
      </c>
      <c r="J1014">
        <v>0</v>
      </c>
      <c r="K1014">
        <v>80</v>
      </c>
      <c r="L1014">
        <v>79.441619872999993</v>
      </c>
      <c r="M1014">
        <v>50</v>
      </c>
      <c r="N1014">
        <v>49.991127014</v>
      </c>
    </row>
    <row r="1015" spans="1:14" x14ac:dyDescent="0.25">
      <c r="A1015">
        <v>1289.3065549999999</v>
      </c>
      <c r="B1015" s="1">
        <f>DATE(2013,11,10) + TIME(7,21,26)</f>
        <v>41588.306550925925</v>
      </c>
      <c r="C1015">
        <v>1306.3510742000001</v>
      </c>
      <c r="D1015">
        <v>1293.9790039</v>
      </c>
      <c r="E1015">
        <v>1390.3916016000001</v>
      </c>
      <c r="F1015">
        <v>1371.0114745999999</v>
      </c>
      <c r="G1015">
        <v>0</v>
      </c>
      <c r="H1015">
        <v>2400</v>
      </c>
      <c r="I1015">
        <v>2400</v>
      </c>
      <c r="J1015">
        <v>0</v>
      </c>
      <c r="K1015">
        <v>80</v>
      </c>
      <c r="L1015">
        <v>79.350982665999993</v>
      </c>
      <c r="M1015">
        <v>50</v>
      </c>
      <c r="N1015">
        <v>49.992012023999997</v>
      </c>
    </row>
    <row r="1016" spans="1:14" x14ac:dyDescent="0.25">
      <c r="A1016">
        <v>1290.8376459999999</v>
      </c>
      <c r="B1016" s="1">
        <f>DATE(2013,11,11) + TIME(20,6,12)</f>
        <v>41589.837638888886</v>
      </c>
      <c r="C1016">
        <v>1306.3215332</v>
      </c>
      <c r="D1016">
        <v>1293.9459228999999</v>
      </c>
      <c r="E1016">
        <v>1390.3690185999999</v>
      </c>
      <c r="F1016">
        <v>1370.9960937999999</v>
      </c>
      <c r="G1016">
        <v>0</v>
      </c>
      <c r="H1016">
        <v>2400</v>
      </c>
      <c r="I1016">
        <v>2400</v>
      </c>
      <c r="J1016">
        <v>0</v>
      </c>
      <c r="K1016">
        <v>80</v>
      </c>
      <c r="L1016">
        <v>79.256713867000002</v>
      </c>
      <c r="M1016">
        <v>50</v>
      </c>
      <c r="N1016">
        <v>49.992362976000003</v>
      </c>
    </row>
    <row r="1017" spans="1:14" x14ac:dyDescent="0.25">
      <c r="A1017">
        <v>1292.5555899999999</v>
      </c>
      <c r="B1017" s="1">
        <f>DATE(2013,11,13) + TIME(13,20,2)</f>
        <v>41591.555578703701</v>
      </c>
      <c r="C1017">
        <v>1306.2899170000001</v>
      </c>
      <c r="D1017">
        <v>1293.9105225000001</v>
      </c>
      <c r="E1017">
        <v>1390.3491211</v>
      </c>
      <c r="F1017">
        <v>1370.9826660000001</v>
      </c>
      <c r="G1017">
        <v>0</v>
      </c>
      <c r="H1017">
        <v>2400</v>
      </c>
      <c r="I1017">
        <v>2400</v>
      </c>
      <c r="J1017">
        <v>0</v>
      </c>
      <c r="K1017">
        <v>80</v>
      </c>
      <c r="L1017">
        <v>79.156814574999999</v>
      </c>
      <c r="M1017">
        <v>50</v>
      </c>
      <c r="N1017">
        <v>49.99250412</v>
      </c>
    </row>
    <row r="1018" spans="1:14" x14ac:dyDescent="0.25">
      <c r="A1018">
        <v>1294.4061200000001</v>
      </c>
      <c r="B1018" s="1">
        <f>DATE(2013,11,15) + TIME(9,44,48)</f>
        <v>41593.406111111108</v>
      </c>
      <c r="C1018">
        <v>1306.2541504000001</v>
      </c>
      <c r="D1018">
        <v>1293.8707274999999</v>
      </c>
      <c r="E1018">
        <v>1390.3304443</v>
      </c>
      <c r="F1018">
        <v>1370.9703368999999</v>
      </c>
      <c r="G1018">
        <v>0</v>
      </c>
      <c r="H1018">
        <v>2400</v>
      </c>
      <c r="I1018">
        <v>2400</v>
      </c>
      <c r="J1018">
        <v>0</v>
      </c>
      <c r="K1018">
        <v>80</v>
      </c>
      <c r="L1018">
        <v>79.050056458</v>
      </c>
      <c r="M1018">
        <v>50</v>
      </c>
      <c r="N1018">
        <v>49.992557525999999</v>
      </c>
    </row>
    <row r="1019" spans="1:14" x14ac:dyDescent="0.25">
      <c r="A1019">
        <v>1296.3117400000001</v>
      </c>
      <c r="B1019" s="1">
        <f>DATE(2013,11,17) + TIME(7,28,54)</f>
        <v>41595.311736111114</v>
      </c>
      <c r="C1019">
        <v>1306.215332</v>
      </c>
      <c r="D1019">
        <v>1293.8275146000001</v>
      </c>
      <c r="E1019">
        <v>1390.3134766000001</v>
      </c>
      <c r="F1019">
        <v>1370.9593506000001</v>
      </c>
      <c r="G1019">
        <v>0</v>
      </c>
      <c r="H1019">
        <v>2400</v>
      </c>
      <c r="I1019">
        <v>2400</v>
      </c>
      <c r="J1019">
        <v>0</v>
      </c>
      <c r="K1019">
        <v>80</v>
      </c>
      <c r="L1019">
        <v>78.938774108999993</v>
      </c>
      <c r="M1019">
        <v>50</v>
      </c>
      <c r="N1019">
        <v>49.992584229000002</v>
      </c>
    </row>
    <row r="1020" spans="1:14" x14ac:dyDescent="0.25">
      <c r="A1020">
        <v>1298.3530270000001</v>
      </c>
      <c r="B1020" s="1">
        <f>DATE(2013,11,19) + TIME(8,28,21)</f>
        <v>41597.353020833332</v>
      </c>
      <c r="C1020">
        <v>1306.1750488</v>
      </c>
      <c r="D1020">
        <v>1293.7823486</v>
      </c>
      <c r="E1020">
        <v>1390.2988281</v>
      </c>
      <c r="F1020">
        <v>1370.9500731999999</v>
      </c>
      <c r="G1020">
        <v>0</v>
      </c>
      <c r="H1020">
        <v>2400</v>
      </c>
      <c r="I1020">
        <v>2400</v>
      </c>
      <c r="J1020">
        <v>0</v>
      </c>
      <c r="K1020">
        <v>80</v>
      </c>
      <c r="L1020">
        <v>78.824310303000004</v>
      </c>
      <c r="M1020">
        <v>50</v>
      </c>
      <c r="N1020">
        <v>49.992599487</v>
      </c>
    </row>
    <row r="1021" spans="1:14" x14ac:dyDescent="0.25">
      <c r="A1021">
        <v>1300.6213359999999</v>
      </c>
      <c r="B1021" s="1">
        <f>DATE(2013,11,21) + TIME(14,54,43)</f>
        <v>41599.621331018519</v>
      </c>
      <c r="C1021">
        <v>1306.1314697</v>
      </c>
      <c r="D1021">
        <v>1293.7333983999999</v>
      </c>
      <c r="E1021">
        <v>1390.2852783000001</v>
      </c>
      <c r="F1021">
        <v>1370.9416504000001</v>
      </c>
      <c r="G1021">
        <v>0</v>
      </c>
      <c r="H1021">
        <v>2400</v>
      </c>
      <c r="I1021">
        <v>2400</v>
      </c>
      <c r="J1021">
        <v>0</v>
      </c>
      <c r="K1021">
        <v>80</v>
      </c>
      <c r="L1021">
        <v>78.704040527000004</v>
      </c>
      <c r="M1021">
        <v>50</v>
      </c>
      <c r="N1021">
        <v>49.992610931000002</v>
      </c>
    </row>
    <row r="1022" spans="1:14" x14ac:dyDescent="0.25">
      <c r="A1022">
        <v>1302.922321</v>
      </c>
      <c r="B1022" s="1">
        <f>DATE(2013,11,23) + TIME(22,8,8)</f>
        <v>41601.922314814816</v>
      </c>
      <c r="C1022">
        <v>1306.0822754000001</v>
      </c>
      <c r="D1022">
        <v>1293.6783447</v>
      </c>
      <c r="E1022">
        <v>1390.2724608999999</v>
      </c>
      <c r="F1022">
        <v>1370.9339600000001</v>
      </c>
      <c r="G1022">
        <v>0</v>
      </c>
      <c r="H1022">
        <v>2400</v>
      </c>
      <c r="I1022">
        <v>2400</v>
      </c>
      <c r="J1022">
        <v>0</v>
      </c>
      <c r="K1022">
        <v>80</v>
      </c>
      <c r="L1022">
        <v>78.577919006000002</v>
      </c>
      <c r="M1022">
        <v>50</v>
      </c>
      <c r="N1022">
        <v>49.992626190000003</v>
      </c>
    </row>
    <row r="1023" spans="1:14" x14ac:dyDescent="0.25">
      <c r="A1023">
        <v>1305.3177189999999</v>
      </c>
      <c r="B1023" s="1">
        <f>DATE(2013,11,26) + TIME(7,37,30)</f>
        <v>41604.317708333336</v>
      </c>
      <c r="C1023">
        <v>1306.0314940999999</v>
      </c>
      <c r="D1023">
        <v>1293.6210937999999</v>
      </c>
      <c r="E1023">
        <v>1390.2613524999999</v>
      </c>
      <c r="F1023">
        <v>1370.9273682</v>
      </c>
      <c r="G1023">
        <v>0</v>
      </c>
      <c r="H1023">
        <v>2400</v>
      </c>
      <c r="I1023">
        <v>2400</v>
      </c>
      <c r="J1023">
        <v>0</v>
      </c>
      <c r="K1023">
        <v>80</v>
      </c>
      <c r="L1023">
        <v>78.450355529999996</v>
      </c>
      <c r="M1023">
        <v>50</v>
      </c>
      <c r="N1023">
        <v>49.992637633999998</v>
      </c>
    </row>
    <row r="1024" spans="1:14" x14ac:dyDescent="0.25">
      <c r="A1024">
        <v>1307.800217</v>
      </c>
      <c r="B1024" s="1">
        <f>DATE(2013,11,28) + TIME(19,12,18)</f>
        <v>41606.800208333334</v>
      </c>
      <c r="C1024">
        <v>1305.9776611</v>
      </c>
      <c r="D1024">
        <v>1293.5600586</v>
      </c>
      <c r="E1024">
        <v>1390.2513428</v>
      </c>
      <c r="F1024">
        <v>1370.9216309000001</v>
      </c>
      <c r="G1024">
        <v>0</v>
      </c>
      <c r="H1024">
        <v>2400</v>
      </c>
      <c r="I1024">
        <v>2400</v>
      </c>
      <c r="J1024">
        <v>0</v>
      </c>
      <c r="K1024">
        <v>80</v>
      </c>
      <c r="L1024">
        <v>78.321105957</v>
      </c>
      <c r="M1024">
        <v>50</v>
      </c>
      <c r="N1024">
        <v>49.992649077999999</v>
      </c>
    </row>
    <row r="1025" spans="1:14" x14ac:dyDescent="0.25">
      <c r="A1025">
        <v>1310</v>
      </c>
      <c r="B1025" s="1">
        <f>DATE(2013,12,1) + TIME(0,0,0)</f>
        <v>41609</v>
      </c>
      <c r="C1025">
        <v>1305.9202881000001</v>
      </c>
      <c r="D1025">
        <v>1293.4952393000001</v>
      </c>
      <c r="E1025">
        <v>1390.2423096</v>
      </c>
      <c r="F1025">
        <v>1370.9165039</v>
      </c>
      <c r="G1025">
        <v>0</v>
      </c>
      <c r="H1025">
        <v>2400</v>
      </c>
      <c r="I1025">
        <v>2400</v>
      </c>
      <c r="J1025">
        <v>0</v>
      </c>
      <c r="K1025">
        <v>80</v>
      </c>
      <c r="L1025">
        <v>78.195648192999997</v>
      </c>
      <c r="M1025">
        <v>50</v>
      </c>
      <c r="N1025">
        <v>49.992660522000001</v>
      </c>
    </row>
    <row r="1026" spans="1:14" x14ac:dyDescent="0.25">
      <c r="A1026">
        <v>1312.559266</v>
      </c>
      <c r="B1026" s="1">
        <f>DATE(2013,12,3) + TIME(13,25,20)</f>
        <v>41611.559259259258</v>
      </c>
      <c r="C1026">
        <v>1305.8685303</v>
      </c>
      <c r="D1026">
        <v>1293.4349365</v>
      </c>
      <c r="E1026">
        <v>1390.2354736</v>
      </c>
      <c r="F1026">
        <v>1370.9127197</v>
      </c>
      <c r="G1026">
        <v>0</v>
      </c>
      <c r="H1026">
        <v>2400</v>
      </c>
      <c r="I1026">
        <v>2400</v>
      </c>
      <c r="J1026">
        <v>0</v>
      </c>
      <c r="K1026">
        <v>80</v>
      </c>
      <c r="L1026">
        <v>78.074951171999999</v>
      </c>
      <c r="M1026">
        <v>50</v>
      </c>
      <c r="N1026">
        <v>49.992671967</v>
      </c>
    </row>
    <row r="1027" spans="1:14" x14ac:dyDescent="0.25">
      <c r="A1027">
        <v>1315.235312</v>
      </c>
      <c r="B1027" s="1">
        <f>DATE(2013,12,6) + TIME(5,38,50)</f>
        <v>41614.235300925924</v>
      </c>
      <c r="C1027">
        <v>1305.8066406</v>
      </c>
      <c r="D1027">
        <v>1293.3638916</v>
      </c>
      <c r="E1027">
        <v>1390.2282714999999</v>
      </c>
      <c r="F1027">
        <v>1370.9089355000001</v>
      </c>
      <c r="G1027">
        <v>0</v>
      </c>
      <c r="H1027">
        <v>2400</v>
      </c>
      <c r="I1027">
        <v>2400</v>
      </c>
      <c r="J1027">
        <v>0</v>
      </c>
      <c r="K1027">
        <v>80</v>
      </c>
      <c r="L1027">
        <v>77.947502135999997</v>
      </c>
      <c r="M1027">
        <v>50</v>
      </c>
      <c r="N1027">
        <v>49.992687224999997</v>
      </c>
    </row>
    <row r="1028" spans="1:14" x14ac:dyDescent="0.25">
      <c r="A1028">
        <v>1317.9618720000001</v>
      </c>
      <c r="B1028" s="1">
        <f>DATE(2013,12,8) + TIME(23,5,5)</f>
        <v>41616.961863425924</v>
      </c>
      <c r="C1028">
        <v>1305.7398682</v>
      </c>
      <c r="D1028">
        <v>1293.2863769999999</v>
      </c>
      <c r="E1028">
        <v>1390.2215576000001</v>
      </c>
      <c r="F1028">
        <v>1370.9055175999999</v>
      </c>
      <c r="G1028">
        <v>0</v>
      </c>
      <c r="H1028">
        <v>2400</v>
      </c>
      <c r="I1028">
        <v>2400</v>
      </c>
      <c r="J1028">
        <v>0</v>
      </c>
      <c r="K1028">
        <v>80</v>
      </c>
      <c r="L1028">
        <v>77.817100525000001</v>
      </c>
      <c r="M1028">
        <v>50</v>
      </c>
      <c r="N1028">
        <v>49.992702483999999</v>
      </c>
    </row>
    <row r="1029" spans="1:14" x14ac:dyDescent="0.25">
      <c r="A1029">
        <v>1320.7546139999999</v>
      </c>
      <c r="B1029" s="1">
        <f>DATE(2013,12,11) + TIME(18,6,38)</f>
        <v>41619.754606481481</v>
      </c>
      <c r="C1029">
        <v>1305.6693115</v>
      </c>
      <c r="D1029">
        <v>1293.2036132999999</v>
      </c>
      <c r="E1029">
        <v>1390.2156981999999</v>
      </c>
      <c r="F1029">
        <v>1370.9025879000001</v>
      </c>
      <c r="G1029">
        <v>0</v>
      </c>
      <c r="H1029">
        <v>2400</v>
      </c>
      <c r="I1029">
        <v>2400</v>
      </c>
      <c r="J1029">
        <v>0</v>
      </c>
      <c r="K1029">
        <v>80</v>
      </c>
      <c r="L1029">
        <v>77.686256408999995</v>
      </c>
      <c r="M1029">
        <v>50</v>
      </c>
      <c r="N1029">
        <v>49.992713928000001</v>
      </c>
    </row>
    <row r="1030" spans="1:14" x14ac:dyDescent="0.25">
      <c r="A1030">
        <v>1323.6293129999999</v>
      </c>
      <c r="B1030" s="1">
        <f>DATE(2013,12,14) + TIME(15,6,12)</f>
        <v>41622.629305555558</v>
      </c>
      <c r="C1030">
        <v>1305.5944824000001</v>
      </c>
      <c r="D1030">
        <v>1293.1149902</v>
      </c>
      <c r="E1030">
        <v>1390.2103271000001</v>
      </c>
      <c r="F1030">
        <v>1370.9001464999999</v>
      </c>
      <c r="G1030">
        <v>0</v>
      </c>
      <c r="H1030">
        <v>2400</v>
      </c>
      <c r="I1030">
        <v>2400</v>
      </c>
      <c r="J1030">
        <v>0</v>
      </c>
      <c r="K1030">
        <v>80</v>
      </c>
      <c r="L1030">
        <v>77.555007935000006</v>
      </c>
      <c r="M1030">
        <v>50</v>
      </c>
      <c r="N1030">
        <v>49.992729187000002</v>
      </c>
    </row>
    <row r="1031" spans="1:14" x14ac:dyDescent="0.25">
      <c r="A1031">
        <v>1326.5582939999999</v>
      </c>
      <c r="B1031" s="1">
        <f>DATE(2013,12,17) + TIME(13,23,56)</f>
        <v>41625.558287037034</v>
      </c>
      <c r="C1031">
        <v>1305.5141602000001</v>
      </c>
      <c r="D1031">
        <v>1293.019043</v>
      </c>
      <c r="E1031">
        <v>1390.2054443</v>
      </c>
      <c r="F1031">
        <v>1370.8978271000001</v>
      </c>
      <c r="G1031">
        <v>0</v>
      </c>
      <c r="H1031">
        <v>2400</v>
      </c>
      <c r="I1031">
        <v>2400</v>
      </c>
      <c r="J1031">
        <v>0</v>
      </c>
      <c r="K1031">
        <v>80</v>
      </c>
      <c r="L1031">
        <v>77.423263550000001</v>
      </c>
      <c r="M1031">
        <v>50</v>
      </c>
      <c r="N1031">
        <v>49.992744446000003</v>
      </c>
    </row>
    <row r="1032" spans="1:14" x14ac:dyDescent="0.25">
      <c r="A1032">
        <v>1329.5424539999999</v>
      </c>
      <c r="B1032" s="1">
        <f>DATE(2013,12,20) + TIME(13,1,7)</f>
        <v>41628.542442129627</v>
      </c>
      <c r="C1032">
        <v>1305.4289550999999</v>
      </c>
      <c r="D1032">
        <v>1292.9161377</v>
      </c>
      <c r="E1032">
        <v>1390.2010498</v>
      </c>
      <c r="F1032">
        <v>1370.8959961</v>
      </c>
      <c r="G1032">
        <v>0</v>
      </c>
      <c r="H1032">
        <v>2400</v>
      </c>
      <c r="I1032">
        <v>2400</v>
      </c>
      <c r="J1032">
        <v>0</v>
      </c>
      <c r="K1032">
        <v>80</v>
      </c>
      <c r="L1032">
        <v>77.291618346999996</v>
      </c>
      <c r="M1032">
        <v>50</v>
      </c>
      <c r="N1032">
        <v>49.992759704999997</v>
      </c>
    </row>
    <row r="1033" spans="1:14" x14ac:dyDescent="0.25">
      <c r="A1033">
        <v>1332.5989119999999</v>
      </c>
      <c r="B1033" s="1">
        <f>DATE(2013,12,23) + TIME(14,22,25)</f>
        <v>41631.598900462966</v>
      </c>
      <c r="C1033">
        <v>1305.3381348</v>
      </c>
      <c r="D1033">
        <v>1292.8054199000001</v>
      </c>
      <c r="E1033">
        <v>1390.1971435999999</v>
      </c>
      <c r="F1033">
        <v>1370.8944091999999</v>
      </c>
      <c r="G1033">
        <v>0</v>
      </c>
      <c r="H1033">
        <v>2400</v>
      </c>
      <c r="I1033">
        <v>2400</v>
      </c>
      <c r="J1033">
        <v>0</v>
      </c>
      <c r="K1033">
        <v>80</v>
      </c>
      <c r="L1033">
        <v>77.159965514999996</v>
      </c>
      <c r="M1033">
        <v>50</v>
      </c>
      <c r="N1033">
        <v>49.992774963000002</v>
      </c>
    </row>
    <row r="1034" spans="1:14" x14ac:dyDescent="0.25">
      <c r="A1034">
        <v>1335.704148</v>
      </c>
      <c r="B1034" s="1">
        <f>DATE(2013,12,26) + TIME(16,53,58)</f>
        <v>41634.704143518517</v>
      </c>
      <c r="C1034">
        <v>1305.2409668</v>
      </c>
      <c r="D1034">
        <v>1292.6855469</v>
      </c>
      <c r="E1034">
        <v>1390.1934814000001</v>
      </c>
      <c r="F1034">
        <v>1370.8930664</v>
      </c>
      <c r="G1034">
        <v>0</v>
      </c>
      <c r="H1034">
        <v>2400</v>
      </c>
      <c r="I1034">
        <v>2400</v>
      </c>
      <c r="J1034">
        <v>0</v>
      </c>
      <c r="K1034">
        <v>80</v>
      </c>
      <c r="L1034">
        <v>77.02796936</v>
      </c>
      <c r="M1034">
        <v>50</v>
      </c>
      <c r="N1034">
        <v>49.992790221999996</v>
      </c>
    </row>
    <row r="1035" spans="1:14" x14ac:dyDescent="0.25">
      <c r="A1035">
        <v>1338.857896</v>
      </c>
      <c r="B1035" s="1">
        <f>DATE(2013,12,29) + TIME(20,35,22)</f>
        <v>41637.857893518521</v>
      </c>
      <c r="C1035">
        <v>1305.1374512</v>
      </c>
      <c r="D1035">
        <v>1292.5567627</v>
      </c>
      <c r="E1035">
        <v>1390.1903076000001</v>
      </c>
      <c r="F1035">
        <v>1370.8919678</v>
      </c>
      <c r="G1035">
        <v>0</v>
      </c>
      <c r="H1035">
        <v>2400</v>
      </c>
      <c r="I1035">
        <v>2400</v>
      </c>
      <c r="J1035">
        <v>0</v>
      </c>
      <c r="K1035">
        <v>80</v>
      </c>
      <c r="L1035">
        <v>76.896018982000001</v>
      </c>
      <c r="M1035">
        <v>50</v>
      </c>
      <c r="N1035">
        <v>49.992805480999998</v>
      </c>
    </row>
    <row r="1036" spans="1:14" x14ac:dyDescent="0.25">
      <c r="A1036">
        <v>1341</v>
      </c>
      <c r="B1036" s="1">
        <f>DATE(2014,1,1) + TIME(0,0,0)</f>
        <v>41640</v>
      </c>
      <c r="C1036">
        <v>1305.0279541</v>
      </c>
      <c r="D1036">
        <v>1292.4208983999999</v>
      </c>
      <c r="E1036">
        <v>1390.1873779</v>
      </c>
      <c r="F1036">
        <v>1370.8908690999999</v>
      </c>
      <c r="G1036">
        <v>0</v>
      </c>
      <c r="H1036">
        <v>2400</v>
      </c>
      <c r="I1036">
        <v>2400</v>
      </c>
      <c r="J1036">
        <v>0</v>
      </c>
      <c r="K1036">
        <v>80</v>
      </c>
      <c r="L1036">
        <v>76.776489257999998</v>
      </c>
      <c r="M1036">
        <v>50</v>
      </c>
      <c r="N1036">
        <v>49.992816925</v>
      </c>
    </row>
    <row r="1037" spans="1:14" x14ac:dyDescent="0.25">
      <c r="A1037">
        <v>1344.218341</v>
      </c>
      <c r="B1037" s="1">
        <f>DATE(2014,1,4) + TIME(5,14,24)</f>
        <v>41643.218333333331</v>
      </c>
      <c r="C1037">
        <v>1304.9471435999999</v>
      </c>
      <c r="D1037">
        <v>1292.3146973</v>
      </c>
      <c r="E1037">
        <v>1390.1856689000001</v>
      </c>
      <c r="F1037">
        <v>1370.8905029</v>
      </c>
      <c r="G1037">
        <v>0</v>
      </c>
      <c r="H1037">
        <v>2400</v>
      </c>
      <c r="I1037">
        <v>2400</v>
      </c>
      <c r="J1037">
        <v>0</v>
      </c>
      <c r="K1037">
        <v>80</v>
      </c>
      <c r="L1037">
        <v>76.668914795000006</v>
      </c>
      <c r="M1037">
        <v>50</v>
      </c>
      <c r="N1037">
        <v>49.992832184000001</v>
      </c>
    </row>
    <row r="1038" spans="1:14" x14ac:dyDescent="0.25">
      <c r="A1038">
        <v>1347.521512</v>
      </c>
      <c r="B1038" s="1">
        <f>DATE(2014,1,7) + TIME(12,30,58)</f>
        <v>41646.521504629629</v>
      </c>
      <c r="C1038">
        <v>1304.8277588000001</v>
      </c>
      <c r="D1038">
        <v>1292.1633300999999</v>
      </c>
      <c r="E1038">
        <v>1390.1833495999999</v>
      </c>
      <c r="F1038">
        <v>1370.8898925999999</v>
      </c>
      <c r="G1038">
        <v>0</v>
      </c>
      <c r="H1038">
        <v>2400</v>
      </c>
      <c r="I1038">
        <v>2400</v>
      </c>
      <c r="J1038">
        <v>0</v>
      </c>
      <c r="K1038">
        <v>80</v>
      </c>
      <c r="L1038">
        <v>76.541740417</v>
      </c>
      <c r="M1038">
        <v>50</v>
      </c>
      <c r="N1038">
        <v>49.992847443000002</v>
      </c>
    </row>
    <row r="1039" spans="1:14" x14ac:dyDescent="0.25">
      <c r="A1039">
        <v>1350.8663320000001</v>
      </c>
      <c r="B1039" s="1">
        <f>DATE(2014,1,10) + TIME(20,47,31)</f>
        <v>41649.866331018522</v>
      </c>
      <c r="C1039">
        <v>1304.6982422000001</v>
      </c>
      <c r="D1039">
        <v>1291.9967041</v>
      </c>
      <c r="E1039">
        <v>1390.1811522999999</v>
      </c>
      <c r="F1039">
        <v>1370.8895264</v>
      </c>
      <c r="G1039">
        <v>0</v>
      </c>
      <c r="H1039">
        <v>2400</v>
      </c>
      <c r="I1039">
        <v>2400</v>
      </c>
      <c r="J1039">
        <v>0</v>
      </c>
      <c r="K1039">
        <v>80</v>
      </c>
      <c r="L1039">
        <v>76.408981323000006</v>
      </c>
      <c r="M1039">
        <v>50</v>
      </c>
      <c r="N1039">
        <v>49.992866515999999</v>
      </c>
    </row>
    <row r="1040" spans="1:14" x14ac:dyDescent="0.25">
      <c r="A1040">
        <v>1354.2648569999999</v>
      </c>
      <c r="B1040" s="1">
        <f>DATE(2014,1,14) + TIME(6,21,23)</f>
        <v>41653.264849537038</v>
      </c>
      <c r="C1040">
        <v>1304.5607910000001</v>
      </c>
      <c r="D1040">
        <v>1291.8179932</v>
      </c>
      <c r="E1040">
        <v>1390.1793213000001</v>
      </c>
      <c r="F1040">
        <v>1370.8892822</v>
      </c>
      <c r="G1040">
        <v>0</v>
      </c>
      <c r="H1040">
        <v>2400</v>
      </c>
      <c r="I1040">
        <v>2400</v>
      </c>
      <c r="J1040">
        <v>0</v>
      </c>
      <c r="K1040">
        <v>80</v>
      </c>
      <c r="L1040">
        <v>76.274314880000006</v>
      </c>
      <c r="M1040">
        <v>50</v>
      </c>
      <c r="N1040">
        <v>49.992881775000001</v>
      </c>
    </row>
    <row r="1041" spans="1:14" x14ac:dyDescent="0.25">
      <c r="A1041">
        <v>1357.7010620000001</v>
      </c>
      <c r="B1041" s="1">
        <f>DATE(2014,1,17) + TIME(16,49,31)</f>
        <v>41656.701053240744</v>
      </c>
      <c r="C1041">
        <v>1304.4150391000001</v>
      </c>
      <c r="D1041">
        <v>1291.6269531</v>
      </c>
      <c r="E1041">
        <v>1390.1776123</v>
      </c>
      <c r="F1041">
        <v>1370.8891602000001</v>
      </c>
      <c r="G1041">
        <v>0</v>
      </c>
      <c r="H1041">
        <v>2400</v>
      </c>
      <c r="I1041">
        <v>2400</v>
      </c>
      <c r="J1041">
        <v>0</v>
      </c>
      <c r="K1041">
        <v>80</v>
      </c>
      <c r="L1041">
        <v>76.138015746999997</v>
      </c>
      <c r="M1041">
        <v>50</v>
      </c>
      <c r="N1041">
        <v>49.992897034000002</v>
      </c>
    </row>
    <row r="1042" spans="1:14" x14ac:dyDescent="0.25">
      <c r="A1042">
        <v>1361.1941469999999</v>
      </c>
      <c r="B1042" s="1">
        <f>DATE(2014,1,21) + TIME(4,39,34)</f>
        <v>41660.194143518522</v>
      </c>
      <c r="C1042">
        <v>1304.2614745999999</v>
      </c>
      <c r="D1042">
        <v>1291.4241943</v>
      </c>
      <c r="E1042">
        <v>1390.1762695</v>
      </c>
      <c r="F1042">
        <v>1370.8891602000001</v>
      </c>
      <c r="G1042">
        <v>0</v>
      </c>
      <c r="H1042">
        <v>2400</v>
      </c>
      <c r="I1042">
        <v>2400</v>
      </c>
      <c r="J1042">
        <v>0</v>
      </c>
      <c r="K1042">
        <v>80</v>
      </c>
      <c r="L1042">
        <v>76.000045775999993</v>
      </c>
      <c r="M1042">
        <v>50</v>
      </c>
      <c r="N1042">
        <v>49.992916106999999</v>
      </c>
    </row>
    <row r="1043" spans="1:14" x14ac:dyDescent="0.25">
      <c r="A1043">
        <v>1364.7587739999999</v>
      </c>
      <c r="B1043" s="1">
        <f>DATE(2014,1,24) + TIME(18,12,38)</f>
        <v>41663.758773148147</v>
      </c>
      <c r="C1043">
        <v>1304.0993652</v>
      </c>
      <c r="D1043">
        <v>1291.208374</v>
      </c>
      <c r="E1043">
        <v>1390.1749268000001</v>
      </c>
      <c r="F1043">
        <v>1370.8894043</v>
      </c>
      <c r="G1043">
        <v>0</v>
      </c>
      <c r="H1043">
        <v>2400</v>
      </c>
      <c r="I1043">
        <v>2400</v>
      </c>
      <c r="J1043">
        <v>0</v>
      </c>
      <c r="K1043">
        <v>80</v>
      </c>
      <c r="L1043">
        <v>75.859466553000004</v>
      </c>
      <c r="M1043">
        <v>50</v>
      </c>
      <c r="N1043">
        <v>49.992931366000001</v>
      </c>
    </row>
    <row r="1044" spans="1:14" x14ac:dyDescent="0.25">
      <c r="A1044">
        <v>1368.3764510000001</v>
      </c>
      <c r="B1044" s="1">
        <f>DATE(2014,1,28) + TIME(9,2,5)</f>
        <v>41667.376446759263</v>
      </c>
      <c r="C1044">
        <v>1303.9277344</v>
      </c>
      <c r="D1044">
        <v>1290.9785156</v>
      </c>
      <c r="E1044">
        <v>1390.1738281</v>
      </c>
      <c r="F1044">
        <v>1370.8896483999999</v>
      </c>
      <c r="G1044">
        <v>0</v>
      </c>
      <c r="H1044">
        <v>2400</v>
      </c>
      <c r="I1044">
        <v>2400</v>
      </c>
      <c r="J1044">
        <v>0</v>
      </c>
      <c r="K1044">
        <v>80</v>
      </c>
      <c r="L1044">
        <v>75.715438843000001</v>
      </c>
      <c r="M1044">
        <v>50</v>
      </c>
      <c r="N1044">
        <v>49.992950438999998</v>
      </c>
    </row>
    <row r="1045" spans="1:14" x14ac:dyDescent="0.25">
      <c r="A1045">
        <v>1372</v>
      </c>
      <c r="B1045" s="1">
        <f>DATE(2014,2,1) + TIME(0,0,0)</f>
        <v>41671</v>
      </c>
      <c r="C1045">
        <v>1303.7473144999999</v>
      </c>
      <c r="D1045">
        <v>1290.7354736</v>
      </c>
      <c r="E1045">
        <v>1390.1728516000001</v>
      </c>
      <c r="F1045">
        <v>1370.8900146000001</v>
      </c>
      <c r="G1045">
        <v>0</v>
      </c>
      <c r="H1045">
        <v>2400</v>
      </c>
      <c r="I1045">
        <v>2400</v>
      </c>
      <c r="J1045">
        <v>0</v>
      </c>
      <c r="K1045">
        <v>80</v>
      </c>
      <c r="L1045">
        <v>75.568183899000005</v>
      </c>
      <c r="M1045">
        <v>50</v>
      </c>
      <c r="N1045">
        <v>49.992965697999999</v>
      </c>
    </row>
    <row r="1046" spans="1:14" x14ac:dyDescent="0.25">
      <c r="A1046">
        <v>1375.663607</v>
      </c>
      <c r="B1046" s="1">
        <f>DATE(2014,2,4) + TIME(15,55,35)</f>
        <v>41674.663599537038</v>
      </c>
      <c r="C1046">
        <v>1303.5603027</v>
      </c>
      <c r="D1046">
        <v>1290.4818115</v>
      </c>
      <c r="E1046">
        <v>1390.1721190999999</v>
      </c>
      <c r="F1046">
        <v>1370.8903809000001</v>
      </c>
      <c r="G1046">
        <v>0</v>
      </c>
      <c r="H1046">
        <v>2400</v>
      </c>
      <c r="I1046">
        <v>2400</v>
      </c>
      <c r="J1046">
        <v>0</v>
      </c>
      <c r="K1046">
        <v>80</v>
      </c>
      <c r="L1046">
        <v>75.418212890999996</v>
      </c>
      <c r="M1046">
        <v>50</v>
      </c>
      <c r="N1046">
        <v>49.992984772</v>
      </c>
    </row>
    <row r="1047" spans="1:14" x14ac:dyDescent="0.25">
      <c r="A1047">
        <v>1379.434291</v>
      </c>
      <c r="B1047" s="1">
        <f>DATE(2014,2,8) + TIME(10,25,22)</f>
        <v>41678.434282407405</v>
      </c>
      <c r="C1047">
        <v>1303.3654785000001</v>
      </c>
      <c r="D1047">
        <v>1290.2160644999999</v>
      </c>
      <c r="E1047">
        <v>1390.1713867000001</v>
      </c>
      <c r="F1047">
        <v>1370.8908690999999</v>
      </c>
      <c r="G1047">
        <v>0</v>
      </c>
      <c r="H1047">
        <v>2400</v>
      </c>
      <c r="I1047">
        <v>2400</v>
      </c>
      <c r="J1047">
        <v>0</v>
      </c>
      <c r="K1047">
        <v>80</v>
      </c>
      <c r="L1047">
        <v>75.263801575000002</v>
      </c>
      <c r="M1047">
        <v>50</v>
      </c>
      <c r="N1047">
        <v>49.993000031000001</v>
      </c>
    </row>
    <row r="1048" spans="1:14" x14ac:dyDescent="0.25">
      <c r="A1048">
        <v>1383.2870250000001</v>
      </c>
      <c r="B1048" s="1">
        <f>DATE(2014,2,12) + TIME(6,53,18)</f>
        <v>41682.28701388889</v>
      </c>
      <c r="C1048">
        <v>1303.159668</v>
      </c>
      <c r="D1048">
        <v>1289.934082</v>
      </c>
      <c r="E1048">
        <v>1390.1707764</v>
      </c>
      <c r="F1048">
        <v>1370.8914795000001</v>
      </c>
      <c r="G1048">
        <v>0</v>
      </c>
      <c r="H1048">
        <v>2400</v>
      </c>
      <c r="I1048">
        <v>2400</v>
      </c>
      <c r="J1048">
        <v>0</v>
      </c>
      <c r="K1048">
        <v>80</v>
      </c>
      <c r="L1048">
        <v>75.102493285999998</v>
      </c>
      <c r="M1048">
        <v>50</v>
      </c>
      <c r="N1048">
        <v>49.993019103999998</v>
      </c>
    </row>
    <row r="1049" spans="1:14" x14ac:dyDescent="0.25">
      <c r="A1049">
        <v>1387.1852289999999</v>
      </c>
      <c r="B1049" s="1">
        <f>DATE(2014,2,16) + TIME(4,26,43)</f>
        <v>41686.185219907406</v>
      </c>
      <c r="C1049">
        <v>1302.9439697</v>
      </c>
      <c r="D1049">
        <v>1289.6368408000001</v>
      </c>
      <c r="E1049">
        <v>1390.1701660000001</v>
      </c>
      <c r="F1049">
        <v>1370.8920897999999</v>
      </c>
      <c r="G1049">
        <v>0</v>
      </c>
      <c r="H1049">
        <v>2400</v>
      </c>
      <c r="I1049">
        <v>2400</v>
      </c>
      <c r="J1049">
        <v>0</v>
      </c>
      <c r="K1049">
        <v>80</v>
      </c>
      <c r="L1049">
        <v>74.93421936</v>
      </c>
      <c r="M1049">
        <v>50</v>
      </c>
      <c r="N1049">
        <v>49.993034363</v>
      </c>
    </row>
    <row r="1050" spans="1:14" x14ac:dyDescent="0.25">
      <c r="A1050">
        <v>1391.139715</v>
      </c>
      <c r="B1050" s="1">
        <f>DATE(2014,2,20) + TIME(3,21,11)</f>
        <v>41690.139710648145</v>
      </c>
      <c r="C1050">
        <v>1302.7199707</v>
      </c>
      <c r="D1050">
        <v>1289.3269043</v>
      </c>
      <c r="E1050">
        <v>1390.1696777</v>
      </c>
      <c r="F1050">
        <v>1370.8927002</v>
      </c>
      <c r="G1050">
        <v>0</v>
      </c>
      <c r="H1050">
        <v>2400</v>
      </c>
      <c r="I1050">
        <v>2400</v>
      </c>
      <c r="J1050">
        <v>0</v>
      </c>
      <c r="K1050">
        <v>80</v>
      </c>
      <c r="L1050">
        <v>74.759155273000005</v>
      </c>
      <c r="M1050">
        <v>50</v>
      </c>
      <c r="N1050">
        <v>49.993053435999997</v>
      </c>
    </row>
    <row r="1051" spans="1:14" x14ac:dyDescent="0.25">
      <c r="A1051">
        <v>1395.171235</v>
      </c>
      <c r="B1051" s="1">
        <f>DATE(2014,2,24) + TIME(4,6,34)</f>
        <v>41694.171226851853</v>
      </c>
      <c r="C1051">
        <v>1302.4879149999999</v>
      </c>
      <c r="D1051">
        <v>1289.0041504000001</v>
      </c>
      <c r="E1051">
        <v>1390.1691894999999</v>
      </c>
      <c r="F1051">
        <v>1370.8934326000001</v>
      </c>
      <c r="G1051">
        <v>0</v>
      </c>
      <c r="H1051">
        <v>2400</v>
      </c>
      <c r="I1051">
        <v>2400</v>
      </c>
      <c r="J1051">
        <v>0</v>
      </c>
      <c r="K1051">
        <v>80</v>
      </c>
      <c r="L1051">
        <v>74.576210021999998</v>
      </c>
      <c r="M1051">
        <v>50</v>
      </c>
      <c r="N1051">
        <v>49.993072509999998</v>
      </c>
    </row>
    <row r="1052" spans="1:14" x14ac:dyDescent="0.25">
      <c r="A1052">
        <v>1399.2985369999999</v>
      </c>
      <c r="B1052" s="1">
        <f>DATE(2014,2,28) + TIME(7,9,53)</f>
        <v>41698.298530092594</v>
      </c>
      <c r="C1052">
        <v>1302.2468262</v>
      </c>
      <c r="D1052">
        <v>1288.6674805</v>
      </c>
      <c r="E1052">
        <v>1390.1687012</v>
      </c>
      <c r="F1052">
        <v>1370.894043</v>
      </c>
      <c r="G1052">
        <v>0</v>
      </c>
      <c r="H1052">
        <v>2400</v>
      </c>
      <c r="I1052">
        <v>2400</v>
      </c>
      <c r="J1052">
        <v>0</v>
      </c>
      <c r="K1052">
        <v>80</v>
      </c>
      <c r="L1052">
        <v>74.383789062000005</v>
      </c>
      <c r="M1052">
        <v>50</v>
      </c>
      <c r="N1052">
        <v>49.993087768999999</v>
      </c>
    </row>
    <row r="1053" spans="1:14" x14ac:dyDescent="0.25">
      <c r="A1053">
        <v>1400</v>
      </c>
      <c r="B1053" s="1">
        <f>DATE(2014,3,1) + TIME(0,0,0)</f>
        <v>41699</v>
      </c>
      <c r="C1053">
        <v>1302.0131836</v>
      </c>
      <c r="D1053">
        <v>1288.3602295000001</v>
      </c>
      <c r="E1053">
        <v>1390.1677245999999</v>
      </c>
      <c r="F1053">
        <v>1370.8941649999999</v>
      </c>
      <c r="G1053">
        <v>0</v>
      </c>
      <c r="H1053">
        <v>2400</v>
      </c>
      <c r="I1053">
        <v>2400</v>
      </c>
      <c r="J1053">
        <v>0</v>
      </c>
      <c r="K1053">
        <v>80</v>
      </c>
      <c r="L1053">
        <v>74.271385193</v>
      </c>
      <c r="M1053">
        <v>50</v>
      </c>
      <c r="N1053">
        <v>49.993091583000002</v>
      </c>
    </row>
    <row r="1054" spans="1:14" x14ac:dyDescent="0.25">
      <c r="A1054">
        <v>1404.200552</v>
      </c>
      <c r="B1054" s="1">
        <f>DATE(2014,3,5) + TIME(4,48,47)</f>
        <v>41703.200543981482</v>
      </c>
      <c r="C1054">
        <v>1301.9376221</v>
      </c>
      <c r="D1054">
        <v>1288.2272949000001</v>
      </c>
      <c r="E1054">
        <v>1390.1682129000001</v>
      </c>
      <c r="F1054">
        <v>1370.8947754000001</v>
      </c>
      <c r="G1054">
        <v>0</v>
      </c>
      <c r="H1054">
        <v>2400</v>
      </c>
      <c r="I1054">
        <v>2400</v>
      </c>
      <c r="J1054">
        <v>0</v>
      </c>
      <c r="K1054">
        <v>80</v>
      </c>
      <c r="L1054">
        <v>74.131851196</v>
      </c>
      <c r="M1054">
        <v>50</v>
      </c>
      <c r="N1054">
        <v>49.993110657000003</v>
      </c>
    </row>
    <row r="1055" spans="1:14" x14ac:dyDescent="0.25">
      <c r="A1055">
        <v>1408.506764</v>
      </c>
      <c r="B1055" s="1">
        <f>DATE(2014,3,9) + TIME(12,9,44)</f>
        <v>41707.50675925926</v>
      </c>
      <c r="C1055">
        <v>1301.6904297000001</v>
      </c>
      <c r="D1055">
        <v>1287.8840332</v>
      </c>
      <c r="E1055">
        <v>1390.1677245999999</v>
      </c>
      <c r="F1055">
        <v>1370.8953856999999</v>
      </c>
      <c r="G1055">
        <v>0</v>
      </c>
      <c r="H1055">
        <v>2400</v>
      </c>
      <c r="I1055">
        <v>2400</v>
      </c>
      <c r="J1055">
        <v>0</v>
      </c>
      <c r="K1055">
        <v>80</v>
      </c>
      <c r="L1055">
        <v>73.926361084000007</v>
      </c>
      <c r="M1055">
        <v>50</v>
      </c>
      <c r="N1055">
        <v>49.99312973</v>
      </c>
    </row>
    <row r="1056" spans="1:14" x14ac:dyDescent="0.25">
      <c r="A1056">
        <v>1412.901832</v>
      </c>
      <c r="B1056" s="1">
        <f>DATE(2014,3,13) + TIME(21,38,38)</f>
        <v>41711.901828703703</v>
      </c>
      <c r="C1056">
        <v>1301.4229736</v>
      </c>
      <c r="D1056">
        <v>1287.5067139</v>
      </c>
      <c r="E1056">
        <v>1390.1671143000001</v>
      </c>
      <c r="F1056">
        <v>1370.895874</v>
      </c>
      <c r="G1056">
        <v>0</v>
      </c>
      <c r="H1056">
        <v>2400</v>
      </c>
      <c r="I1056">
        <v>2400</v>
      </c>
      <c r="J1056">
        <v>0</v>
      </c>
      <c r="K1056">
        <v>80</v>
      </c>
      <c r="L1056">
        <v>73.698455811000002</v>
      </c>
      <c r="M1056">
        <v>50</v>
      </c>
      <c r="N1056">
        <v>49.993148804</v>
      </c>
    </row>
    <row r="1057" spans="1:14" x14ac:dyDescent="0.25">
      <c r="A1057">
        <v>1417.363034</v>
      </c>
      <c r="B1057" s="1">
        <f>DATE(2014,3,18) + TIME(8,42,46)</f>
        <v>41716.363032407404</v>
      </c>
      <c r="C1057">
        <v>1301.1455077999999</v>
      </c>
      <c r="D1057">
        <v>1287.112793</v>
      </c>
      <c r="E1057">
        <v>1390.1663818</v>
      </c>
      <c r="F1057">
        <v>1370.8962402</v>
      </c>
      <c r="G1057">
        <v>0</v>
      </c>
      <c r="H1057">
        <v>2400</v>
      </c>
      <c r="I1057">
        <v>2400</v>
      </c>
      <c r="J1057">
        <v>0</v>
      </c>
      <c r="K1057">
        <v>80</v>
      </c>
      <c r="L1057">
        <v>73.455497742000006</v>
      </c>
      <c r="M1057">
        <v>50</v>
      </c>
      <c r="N1057">
        <v>49.993164061999998</v>
      </c>
    </row>
    <row r="1058" spans="1:14" x14ac:dyDescent="0.25">
      <c r="A1058">
        <v>1421.915569</v>
      </c>
      <c r="B1058" s="1">
        <f>DATE(2014,3,22) + TIME(21,58,25)</f>
        <v>41720.915567129632</v>
      </c>
      <c r="C1058">
        <v>1300.8610839999999</v>
      </c>
      <c r="D1058">
        <v>1286.7073975000001</v>
      </c>
      <c r="E1058">
        <v>1390.1655272999999</v>
      </c>
      <c r="F1058">
        <v>1370.8966064000001</v>
      </c>
      <c r="G1058">
        <v>0</v>
      </c>
      <c r="H1058">
        <v>2400</v>
      </c>
      <c r="I1058">
        <v>2400</v>
      </c>
      <c r="J1058">
        <v>0</v>
      </c>
      <c r="K1058">
        <v>80</v>
      </c>
      <c r="L1058">
        <v>73.198524474999999</v>
      </c>
      <c r="M1058">
        <v>50</v>
      </c>
      <c r="N1058">
        <v>49.993183135999999</v>
      </c>
    </row>
    <row r="1059" spans="1:14" x14ac:dyDescent="0.25">
      <c r="A1059">
        <v>1426.581034</v>
      </c>
      <c r="B1059" s="1">
        <f>DATE(2014,3,27) + TIME(13,56,41)</f>
        <v>41725.581030092595</v>
      </c>
      <c r="C1059">
        <v>1300.5693358999999</v>
      </c>
      <c r="D1059">
        <v>1286.2900391000001</v>
      </c>
      <c r="E1059">
        <v>1390.1646728999999</v>
      </c>
      <c r="F1059">
        <v>1370.8968506000001</v>
      </c>
      <c r="G1059">
        <v>0</v>
      </c>
      <c r="H1059">
        <v>2400</v>
      </c>
      <c r="I1059">
        <v>2400</v>
      </c>
      <c r="J1059">
        <v>0</v>
      </c>
      <c r="K1059">
        <v>80</v>
      </c>
      <c r="L1059">
        <v>72.925964355000005</v>
      </c>
      <c r="M1059">
        <v>50</v>
      </c>
      <c r="N1059">
        <v>49.993202209000003</v>
      </c>
    </row>
    <row r="1060" spans="1:14" x14ac:dyDescent="0.25">
      <c r="A1060">
        <v>1431</v>
      </c>
      <c r="B1060" s="1">
        <f>DATE(2014,4,1) + TIME(0,0,0)</f>
        <v>41730</v>
      </c>
      <c r="C1060">
        <v>1300.2698975000001</v>
      </c>
      <c r="D1060">
        <v>1285.8610839999999</v>
      </c>
      <c r="E1060">
        <v>1390.1634521000001</v>
      </c>
      <c r="F1060">
        <v>1370.8968506000001</v>
      </c>
      <c r="G1060">
        <v>0</v>
      </c>
      <c r="H1060">
        <v>2400</v>
      </c>
      <c r="I1060">
        <v>2400</v>
      </c>
      <c r="J1060">
        <v>0</v>
      </c>
      <c r="K1060">
        <v>80</v>
      </c>
      <c r="L1060">
        <v>72.639213561999995</v>
      </c>
      <c r="M1060">
        <v>50</v>
      </c>
      <c r="N1060">
        <v>49.993221282999997</v>
      </c>
    </row>
    <row r="1061" spans="1:14" x14ac:dyDescent="0.25">
      <c r="A1061">
        <v>1435.802289</v>
      </c>
      <c r="B1061" s="1">
        <f>DATE(2014,4,5) + TIME(19,15,17)</f>
        <v>41734.80228009259</v>
      </c>
      <c r="C1061">
        <v>1299.9821777</v>
      </c>
      <c r="D1061">
        <v>1285.4448242000001</v>
      </c>
      <c r="E1061">
        <v>1390.1623535000001</v>
      </c>
      <c r="F1061">
        <v>1370.8967285000001</v>
      </c>
      <c r="G1061">
        <v>0</v>
      </c>
      <c r="H1061">
        <v>2400</v>
      </c>
      <c r="I1061">
        <v>2400</v>
      </c>
      <c r="J1061">
        <v>0</v>
      </c>
      <c r="K1061">
        <v>80</v>
      </c>
      <c r="L1061">
        <v>72.348548889</v>
      </c>
      <c r="M1061">
        <v>50</v>
      </c>
      <c r="N1061">
        <v>49.993240356000001</v>
      </c>
    </row>
    <row r="1062" spans="1:14" x14ac:dyDescent="0.25">
      <c r="A1062">
        <v>1440.863519</v>
      </c>
      <c r="B1062" s="1">
        <f>DATE(2014,4,10) + TIME(20,43,28)</f>
        <v>41739.863518518519</v>
      </c>
      <c r="C1062">
        <v>1299.675293</v>
      </c>
      <c r="D1062">
        <v>1285.0019531</v>
      </c>
      <c r="E1062">
        <v>1390.1608887</v>
      </c>
      <c r="F1062">
        <v>1370.8963623</v>
      </c>
      <c r="G1062">
        <v>0</v>
      </c>
      <c r="H1062">
        <v>2400</v>
      </c>
      <c r="I1062">
        <v>2400</v>
      </c>
      <c r="J1062">
        <v>0</v>
      </c>
      <c r="K1062">
        <v>80</v>
      </c>
      <c r="L1062">
        <v>72.028068542</v>
      </c>
      <c r="M1062">
        <v>50</v>
      </c>
      <c r="N1062">
        <v>49.993259430000002</v>
      </c>
    </row>
    <row r="1063" spans="1:14" x14ac:dyDescent="0.25">
      <c r="A1063">
        <v>1446.060007</v>
      </c>
      <c r="B1063" s="1">
        <f>DATE(2014,4,16) + TIME(1,26,24)</f>
        <v>41745.06</v>
      </c>
      <c r="C1063">
        <v>1299.3524170000001</v>
      </c>
      <c r="D1063">
        <v>1284.5343018000001</v>
      </c>
      <c r="E1063">
        <v>1390.1590576000001</v>
      </c>
      <c r="F1063">
        <v>1370.895874</v>
      </c>
      <c r="G1063">
        <v>0</v>
      </c>
      <c r="H1063">
        <v>2400</v>
      </c>
      <c r="I1063">
        <v>2400</v>
      </c>
      <c r="J1063">
        <v>0</v>
      </c>
      <c r="K1063">
        <v>80</v>
      </c>
      <c r="L1063">
        <v>71.678794861</v>
      </c>
      <c r="M1063">
        <v>50</v>
      </c>
      <c r="N1063">
        <v>49.993282317999999</v>
      </c>
    </row>
    <row r="1064" spans="1:14" x14ac:dyDescent="0.25">
      <c r="A1064">
        <v>1451.3952899999999</v>
      </c>
      <c r="B1064" s="1">
        <f>DATE(2014,4,21) + TIME(9,29,13)</f>
        <v>41750.395289351851</v>
      </c>
      <c r="C1064">
        <v>1299.0214844</v>
      </c>
      <c r="D1064">
        <v>1284.0528564000001</v>
      </c>
      <c r="E1064">
        <v>1390.1569824000001</v>
      </c>
      <c r="F1064">
        <v>1370.8950195</v>
      </c>
      <c r="G1064">
        <v>0</v>
      </c>
      <c r="H1064">
        <v>2400</v>
      </c>
      <c r="I1064">
        <v>2400</v>
      </c>
      <c r="J1064">
        <v>0</v>
      </c>
      <c r="K1064">
        <v>80</v>
      </c>
      <c r="L1064">
        <v>71.306449889999996</v>
      </c>
      <c r="M1064">
        <v>50</v>
      </c>
      <c r="N1064">
        <v>49.993301391999999</v>
      </c>
    </row>
    <row r="1065" spans="1:14" x14ac:dyDescent="0.25">
      <c r="A1065">
        <v>1456.8993049999999</v>
      </c>
      <c r="B1065" s="1">
        <f>DATE(2014,4,26) + TIME(21,34,59)</f>
        <v>41755.899293981478</v>
      </c>
      <c r="C1065">
        <v>1298.6839600000001</v>
      </c>
      <c r="D1065">
        <v>1283.5601807</v>
      </c>
      <c r="E1065">
        <v>1390.1546631000001</v>
      </c>
      <c r="F1065">
        <v>1370.8939209</v>
      </c>
      <c r="G1065">
        <v>0</v>
      </c>
      <c r="H1065">
        <v>2400</v>
      </c>
      <c r="I1065">
        <v>2400</v>
      </c>
      <c r="J1065">
        <v>0</v>
      </c>
      <c r="K1065">
        <v>80</v>
      </c>
      <c r="L1065">
        <v>70.910842896000005</v>
      </c>
      <c r="M1065">
        <v>50</v>
      </c>
      <c r="N1065">
        <v>49.993324280000003</v>
      </c>
    </row>
    <row r="1066" spans="1:14" x14ac:dyDescent="0.25">
      <c r="A1066">
        <v>1461</v>
      </c>
      <c r="B1066" s="1">
        <f>DATE(2014,5,1) + TIME(0,0,0)</f>
        <v>41760</v>
      </c>
      <c r="C1066">
        <v>1298.3414307</v>
      </c>
      <c r="D1066">
        <v>1283.0629882999999</v>
      </c>
      <c r="E1066">
        <v>1390.1518555</v>
      </c>
      <c r="F1066">
        <v>1370.8924560999999</v>
      </c>
      <c r="G1066">
        <v>0</v>
      </c>
      <c r="H1066">
        <v>2400</v>
      </c>
      <c r="I1066">
        <v>2400</v>
      </c>
      <c r="J1066">
        <v>0</v>
      </c>
      <c r="K1066">
        <v>80</v>
      </c>
      <c r="L1066">
        <v>70.508674622000001</v>
      </c>
      <c r="M1066">
        <v>50</v>
      </c>
      <c r="N1066">
        <v>49.993339538999997</v>
      </c>
    </row>
    <row r="1067" spans="1:14" x14ac:dyDescent="0.25">
      <c r="A1067">
        <v>1461.0000010000001</v>
      </c>
      <c r="B1067" s="1">
        <f>DATE(2014,5,1) + TIME(0,0,0)</f>
        <v>41760</v>
      </c>
      <c r="C1067">
        <v>1315.1560059000001</v>
      </c>
      <c r="D1067">
        <v>1299.2960204999999</v>
      </c>
      <c r="E1067">
        <v>1370.0178223</v>
      </c>
      <c r="F1067">
        <v>1350.9388428</v>
      </c>
      <c r="G1067">
        <v>2400</v>
      </c>
      <c r="H1067">
        <v>0</v>
      </c>
      <c r="I1067">
        <v>0</v>
      </c>
      <c r="J1067">
        <v>2400</v>
      </c>
      <c r="K1067">
        <v>80</v>
      </c>
      <c r="L1067">
        <v>70.508819579999994</v>
      </c>
      <c r="M1067">
        <v>50</v>
      </c>
      <c r="N1067">
        <v>49.993228911999999</v>
      </c>
    </row>
    <row r="1068" spans="1:14" x14ac:dyDescent="0.25">
      <c r="A1068">
        <v>1461.000004</v>
      </c>
      <c r="B1068" s="1">
        <f>DATE(2014,5,1) + TIME(0,0,0)</f>
        <v>41760</v>
      </c>
      <c r="C1068">
        <v>1317.4462891000001</v>
      </c>
      <c r="D1068">
        <v>1301.7391356999999</v>
      </c>
      <c r="E1068">
        <v>1367.6848144999999</v>
      </c>
      <c r="F1068">
        <v>1348.6057129000001</v>
      </c>
      <c r="G1068">
        <v>2400</v>
      </c>
      <c r="H1068">
        <v>0</v>
      </c>
      <c r="I1068">
        <v>0</v>
      </c>
      <c r="J1068">
        <v>2400</v>
      </c>
      <c r="K1068">
        <v>80</v>
      </c>
      <c r="L1068">
        <v>70.509193420000003</v>
      </c>
      <c r="M1068">
        <v>50</v>
      </c>
      <c r="N1068">
        <v>49.992935181</v>
      </c>
    </row>
    <row r="1069" spans="1:14" x14ac:dyDescent="0.25">
      <c r="A1069">
        <v>1461.0000130000001</v>
      </c>
      <c r="B1069" s="1">
        <f>DATE(2014,5,1) + TIME(0,0,1)</f>
        <v>41760.000011574077</v>
      </c>
      <c r="C1069">
        <v>1322.3287353999999</v>
      </c>
      <c r="D1069">
        <v>1306.8043213000001</v>
      </c>
      <c r="E1069">
        <v>1362.4521483999999</v>
      </c>
      <c r="F1069">
        <v>1343.3725586</v>
      </c>
      <c r="G1069">
        <v>2400</v>
      </c>
      <c r="H1069">
        <v>0</v>
      </c>
      <c r="I1069">
        <v>0</v>
      </c>
      <c r="J1069">
        <v>2400</v>
      </c>
      <c r="K1069">
        <v>80</v>
      </c>
      <c r="L1069">
        <v>70.510002135999997</v>
      </c>
      <c r="M1069">
        <v>50</v>
      </c>
      <c r="N1069">
        <v>49.992275237999998</v>
      </c>
    </row>
    <row r="1070" spans="1:14" x14ac:dyDescent="0.25">
      <c r="A1070">
        <v>1461.0000399999999</v>
      </c>
      <c r="B1070" s="1">
        <f>DATE(2014,5,1) + TIME(0,0,3)</f>
        <v>41760.000034722223</v>
      </c>
      <c r="C1070">
        <v>1329.9542236</v>
      </c>
      <c r="D1070">
        <v>1314.4790039</v>
      </c>
      <c r="E1070">
        <v>1353.7099608999999</v>
      </c>
      <c r="F1070">
        <v>1334.6303711</v>
      </c>
      <c r="G1070">
        <v>2400</v>
      </c>
      <c r="H1070">
        <v>0</v>
      </c>
      <c r="I1070">
        <v>0</v>
      </c>
      <c r="J1070">
        <v>2400</v>
      </c>
      <c r="K1070">
        <v>80</v>
      </c>
      <c r="L1070">
        <v>70.511390685999999</v>
      </c>
      <c r="M1070">
        <v>50</v>
      </c>
      <c r="N1070">
        <v>49.991172790999997</v>
      </c>
    </row>
    <row r="1071" spans="1:14" x14ac:dyDescent="0.25">
      <c r="A1071">
        <v>1461.000121</v>
      </c>
      <c r="B1071" s="1">
        <f>DATE(2014,5,1) + TIME(0,0,10)</f>
        <v>41760.000115740739</v>
      </c>
      <c r="C1071">
        <v>1338.838501</v>
      </c>
      <c r="D1071">
        <v>1323.2901611</v>
      </c>
      <c r="E1071">
        <v>1343.0426024999999</v>
      </c>
      <c r="F1071">
        <v>1323.9639893000001</v>
      </c>
      <c r="G1071">
        <v>2400</v>
      </c>
      <c r="H1071">
        <v>0</v>
      </c>
      <c r="I1071">
        <v>0</v>
      </c>
      <c r="J1071">
        <v>2400</v>
      </c>
      <c r="K1071">
        <v>80</v>
      </c>
      <c r="L1071">
        <v>70.513626099000007</v>
      </c>
      <c r="M1071">
        <v>50</v>
      </c>
      <c r="N1071">
        <v>49.989826202000003</v>
      </c>
    </row>
    <row r="1072" spans="1:14" x14ac:dyDescent="0.25">
      <c r="A1072">
        <v>1461.000364</v>
      </c>
      <c r="B1072" s="1">
        <f>DATE(2014,5,1) + TIME(0,0,31)</f>
        <v>41760.000358796293</v>
      </c>
      <c r="C1072">
        <v>1347.9261475000001</v>
      </c>
      <c r="D1072">
        <v>1332.2906493999999</v>
      </c>
      <c r="E1072">
        <v>1332.0684814000001</v>
      </c>
      <c r="F1072">
        <v>1312.9920654</v>
      </c>
      <c r="G1072">
        <v>2400</v>
      </c>
      <c r="H1072">
        <v>0</v>
      </c>
      <c r="I1072">
        <v>0</v>
      </c>
      <c r="J1072">
        <v>2400</v>
      </c>
      <c r="K1072">
        <v>80</v>
      </c>
      <c r="L1072">
        <v>70.517951964999995</v>
      </c>
      <c r="M1072">
        <v>50</v>
      </c>
      <c r="N1072">
        <v>49.988437652999998</v>
      </c>
    </row>
    <row r="1073" spans="1:14" x14ac:dyDescent="0.25">
      <c r="A1073">
        <v>1461.0010930000001</v>
      </c>
      <c r="B1073" s="1">
        <f>DATE(2014,5,1) + TIME(0,1,34)</f>
        <v>41760.001087962963</v>
      </c>
      <c r="C1073">
        <v>1357.1602783000001</v>
      </c>
      <c r="D1073">
        <v>1341.4255370999999</v>
      </c>
      <c r="E1073">
        <v>1321.1306152</v>
      </c>
      <c r="F1073">
        <v>1302.0565185999999</v>
      </c>
      <c r="G1073">
        <v>2400</v>
      </c>
      <c r="H1073">
        <v>0</v>
      </c>
      <c r="I1073">
        <v>0</v>
      </c>
      <c r="J1073">
        <v>2400</v>
      </c>
      <c r="K1073">
        <v>80</v>
      </c>
      <c r="L1073">
        <v>70.528526306000003</v>
      </c>
      <c r="M1073">
        <v>50</v>
      </c>
      <c r="N1073">
        <v>49.987041472999998</v>
      </c>
    </row>
    <row r="1074" spans="1:14" x14ac:dyDescent="0.25">
      <c r="A1074">
        <v>1461.0032799999999</v>
      </c>
      <c r="B1074" s="1">
        <f>DATE(2014,5,1) + TIME(0,4,43)</f>
        <v>41760.003275462965</v>
      </c>
      <c r="C1074">
        <v>1366.5981445</v>
      </c>
      <c r="D1074">
        <v>1350.7468262</v>
      </c>
      <c r="E1074">
        <v>1310.3555908000001</v>
      </c>
      <c r="F1074">
        <v>1291.276001</v>
      </c>
      <c r="G1074">
        <v>2400</v>
      </c>
      <c r="H1074">
        <v>0</v>
      </c>
      <c r="I1074">
        <v>0</v>
      </c>
      <c r="J1074">
        <v>2400</v>
      </c>
      <c r="K1074">
        <v>80</v>
      </c>
      <c r="L1074">
        <v>70.557899474999999</v>
      </c>
      <c r="M1074">
        <v>50</v>
      </c>
      <c r="N1074">
        <v>49.985626220999997</v>
      </c>
    </row>
    <row r="1075" spans="1:14" x14ac:dyDescent="0.25">
      <c r="A1075">
        <v>1461.0098410000001</v>
      </c>
      <c r="B1075" s="1">
        <f>DATE(2014,5,1) + TIME(0,14,10)</f>
        <v>41760.009837962964</v>
      </c>
      <c r="C1075">
        <v>1375.3239745999999</v>
      </c>
      <c r="D1075">
        <v>1359.380249</v>
      </c>
      <c r="E1075">
        <v>1300.7955322</v>
      </c>
      <c r="F1075">
        <v>1281.6956786999999</v>
      </c>
      <c r="G1075">
        <v>2400</v>
      </c>
      <c r="H1075">
        <v>0</v>
      </c>
      <c r="I1075">
        <v>0</v>
      </c>
      <c r="J1075">
        <v>2400</v>
      </c>
      <c r="K1075">
        <v>80</v>
      </c>
      <c r="L1075">
        <v>70.643173218000001</v>
      </c>
      <c r="M1075">
        <v>50</v>
      </c>
      <c r="N1075">
        <v>49.984245299999998</v>
      </c>
    </row>
    <row r="1076" spans="1:14" x14ac:dyDescent="0.25">
      <c r="A1076">
        <v>1461.029524</v>
      </c>
      <c r="B1076" s="1">
        <f>DATE(2014,5,1) + TIME(0,42,30)</f>
        <v>41760.029513888891</v>
      </c>
      <c r="C1076">
        <v>1381.2368164</v>
      </c>
      <c r="D1076">
        <v>1365.2921143000001</v>
      </c>
      <c r="E1076">
        <v>1294.7213135</v>
      </c>
      <c r="F1076">
        <v>1275.6040039</v>
      </c>
      <c r="G1076">
        <v>2400</v>
      </c>
      <c r="H1076">
        <v>0</v>
      </c>
      <c r="I1076">
        <v>0</v>
      </c>
      <c r="J1076">
        <v>2400</v>
      </c>
      <c r="K1076">
        <v>80</v>
      </c>
      <c r="L1076">
        <v>70.890403747999997</v>
      </c>
      <c r="M1076">
        <v>50</v>
      </c>
      <c r="N1076">
        <v>49.982952118</v>
      </c>
    </row>
    <row r="1077" spans="1:14" x14ac:dyDescent="0.25">
      <c r="A1077">
        <v>1461.0660539999999</v>
      </c>
      <c r="B1077" s="1">
        <f>DATE(2014,5,1) + TIME(1,35,7)</f>
        <v>41760.066053240742</v>
      </c>
      <c r="C1077">
        <v>1383.2497559000001</v>
      </c>
      <c r="D1077">
        <v>1367.3890381000001</v>
      </c>
      <c r="E1077">
        <v>1292.9029541</v>
      </c>
      <c r="F1077">
        <v>1273.7802733999999</v>
      </c>
      <c r="G1077">
        <v>2400</v>
      </c>
      <c r="H1077">
        <v>0</v>
      </c>
      <c r="I1077">
        <v>0</v>
      </c>
      <c r="J1077">
        <v>2400</v>
      </c>
      <c r="K1077">
        <v>80</v>
      </c>
      <c r="L1077">
        <v>71.326301575000002</v>
      </c>
      <c r="M1077">
        <v>50</v>
      </c>
      <c r="N1077">
        <v>49.981742859000001</v>
      </c>
    </row>
    <row r="1078" spans="1:14" x14ac:dyDescent="0.25">
      <c r="A1078">
        <v>1461.103869</v>
      </c>
      <c r="B1078" s="1">
        <f>DATE(2014,5,1) + TIME(2,29,34)</f>
        <v>41760.103865740741</v>
      </c>
      <c r="C1078">
        <v>1383.6234131000001</v>
      </c>
      <c r="D1078">
        <v>1367.8468018000001</v>
      </c>
      <c r="E1078">
        <v>1292.6097411999999</v>
      </c>
      <c r="F1078">
        <v>1273.4860839999999</v>
      </c>
      <c r="G1078">
        <v>2400</v>
      </c>
      <c r="H1078">
        <v>0</v>
      </c>
      <c r="I1078">
        <v>0</v>
      </c>
      <c r="J1078">
        <v>2400</v>
      </c>
      <c r="K1078">
        <v>80</v>
      </c>
      <c r="L1078">
        <v>71.755157471000004</v>
      </c>
      <c r="M1078">
        <v>50</v>
      </c>
      <c r="N1078">
        <v>49.980693817000002</v>
      </c>
    </row>
    <row r="1079" spans="1:14" x14ac:dyDescent="0.25">
      <c r="A1079">
        <v>1461.143016</v>
      </c>
      <c r="B1079" s="1">
        <f>DATE(2014,5,1) + TIME(3,25,56)</f>
        <v>41760.143009259256</v>
      </c>
      <c r="C1079">
        <v>1383.6170654</v>
      </c>
      <c r="D1079">
        <v>1367.9245605000001</v>
      </c>
      <c r="E1079">
        <v>1292.5771483999999</v>
      </c>
      <c r="F1079">
        <v>1273.4532471</v>
      </c>
      <c r="G1079">
        <v>2400</v>
      </c>
      <c r="H1079">
        <v>0</v>
      </c>
      <c r="I1079">
        <v>0</v>
      </c>
      <c r="J1079">
        <v>2400</v>
      </c>
      <c r="K1079">
        <v>80</v>
      </c>
      <c r="L1079">
        <v>72.176445006999998</v>
      </c>
      <c r="M1079">
        <v>50</v>
      </c>
      <c r="N1079">
        <v>49.979652405000003</v>
      </c>
    </row>
    <row r="1080" spans="1:14" x14ac:dyDescent="0.25">
      <c r="A1080">
        <v>1461.183583</v>
      </c>
      <c r="B1080" s="1">
        <f>DATE(2014,5,1) + TIME(4,24,21)</f>
        <v>41760.183576388888</v>
      </c>
      <c r="C1080">
        <v>1383.5170897999999</v>
      </c>
      <c r="D1080">
        <v>1367.9064940999999</v>
      </c>
      <c r="E1080">
        <v>1292.5806885</v>
      </c>
      <c r="F1080">
        <v>1273.4566649999999</v>
      </c>
      <c r="G1080">
        <v>2400</v>
      </c>
      <c r="H1080">
        <v>0</v>
      </c>
      <c r="I1080">
        <v>0</v>
      </c>
      <c r="J1080">
        <v>2400</v>
      </c>
      <c r="K1080">
        <v>80</v>
      </c>
      <c r="L1080">
        <v>72.589973450000002</v>
      </c>
      <c r="M1080">
        <v>50</v>
      </c>
      <c r="N1080">
        <v>49.978588104000004</v>
      </c>
    </row>
    <row r="1081" spans="1:14" x14ac:dyDescent="0.25">
      <c r="A1081">
        <v>1461.225682</v>
      </c>
      <c r="B1081" s="1">
        <f>DATE(2014,5,1) + TIME(5,24,58)</f>
        <v>41760.225671296299</v>
      </c>
      <c r="C1081">
        <v>1383.3939209</v>
      </c>
      <c r="D1081">
        <v>1367.8630370999999</v>
      </c>
      <c r="E1081">
        <v>1292.5849608999999</v>
      </c>
      <c r="F1081">
        <v>1273.4609375</v>
      </c>
      <c r="G1081">
        <v>2400</v>
      </c>
      <c r="H1081">
        <v>0</v>
      </c>
      <c r="I1081">
        <v>0</v>
      </c>
      <c r="J1081">
        <v>2400</v>
      </c>
      <c r="K1081">
        <v>80</v>
      </c>
      <c r="L1081">
        <v>72.995658875000004</v>
      </c>
      <c r="M1081">
        <v>50</v>
      </c>
      <c r="N1081">
        <v>49.977500915999997</v>
      </c>
    </row>
    <row r="1082" spans="1:14" x14ac:dyDescent="0.25">
      <c r="A1082">
        <v>1461.26944</v>
      </c>
      <c r="B1082" s="1">
        <f>DATE(2014,5,1) + TIME(6,27,59)</f>
        <v>41760.269432870373</v>
      </c>
      <c r="C1082">
        <v>1383.2666016000001</v>
      </c>
      <c r="D1082">
        <v>1367.8129882999999</v>
      </c>
      <c r="E1082">
        <v>1292.5871582</v>
      </c>
      <c r="F1082">
        <v>1273.4630127</v>
      </c>
      <c r="G1082">
        <v>2400</v>
      </c>
      <c r="H1082">
        <v>0</v>
      </c>
      <c r="I1082">
        <v>0</v>
      </c>
      <c r="J1082">
        <v>2400</v>
      </c>
      <c r="K1082">
        <v>80</v>
      </c>
      <c r="L1082">
        <v>73.393417357999994</v>
      </c>
      <c r="M1082">
        <v>50</v>
      </c>
      <c r="N1082">
        <v>49.976383208999998</v>
      </c>
    </row>
    <row r="1083" spans="1:14" x14ac:dyDescent="0.25">
      <c r="A1083">
        <v>1461.315002</v>
      </c>
      <c r="B1083" s="1">
        <f>DATE(2014,5,1) + TIME(7,33,36)</f>
        <v>41760.315000000002</v>
      </c>
      <c r="C1083">
        <v>1383.1403809000001</v>
      </c>
      <c r="D1083">
        <v>1367.7615966999999</v>
      </c>
      <c r="E1083">
        <v>1292.5880127</v>
      </c>
      <c r="F1083">
        <v>1273.4638672000001</v>
      </c>
      <c r="G1083">
        <v>2400</v>
      </c>
      <c r="H1083">
        <v>0</v>
      </c>
      <c r="I1083">
        <v>0</v>
      </c>
      <c r="J1083">
        <v>2400</v>
      </c>
      <c r="K1083">
        <v>80</v>
      </c>
      <c r="L1083">
        <v>73.783164978000002</v>
      </c>
      <c r="M1083">
        <v>50</v>
      </c>
      <c r="N1083">
        <v>49.975231170999997</v>
      </c>
    </row>
    <row r="1084" spans="1:14" x14ac:dyDescent="0.25">
      <c r="A1084">
        <v>1461.362531</v>
      </c>
      <c r="B1084" s="1">
        <f>DATE(2014,5,1) + TIME(8,42,2)</f>
        <v>41760.362523148149</v>
      </c>
      <c r="C1084">
        <v>1383.0166016000001</v>
      </c>
      <c r="D1084">
        <v>1367.7104492000001</v>
      </c>
      <c r="E1084">
        <v>1292.5883789</v>
      </c>
      <c r="F1084">
        <v>1273.4641113</v>
      </c>
      <c r="G1084">
        <v>2400</v>
      </c>
      <c r="H1084">
        <v>0</v>
      </c>
      <c r="I1084">
        <v>0</v>
      </c>
      <c r="J1084">
        <v>2400</v>
      </c>
      <c r="K1084">
        <v>80</v>
      </c>
      <c r="L1084">
        <v>74.164787292</v>
      </c>
      <c r="M1084">
        <v>50</v>
      </c>
      <c r="N1084">
        <v>49.974048615000001</v>
      </c>
    </row>
    <row r="1085" spans="1:14" x14ac:dyDescent="0.25">
      <c r="A1085">
        <v>1461.4122130000001</v>
      </c>
      <c r="B1085" s="1">
        <f>DATE(2014,5,1) + TIME(9,53,35)</f>
        <v>41760.412210648145</v>
      </c>
      <c r="C1085">
        <v>1382.8959961</v>
      </c>
      <c r="D1085">
        <v>1367.6601562000001</v>
      </c>
      <c r="E1085">
        <v>1292.588501</v>
      </c>
      <c r="F1085">
        <v>1273.4641113</v>
      </c>
      <c r="G1085">
        <v>2400</v>
      </c>
      <c r="H1085">
        <v>0</v>
      </c>
      <c r="I1085">
        <v>0</v>
      </c>
      <c r="J1085">
        <v>2400</v>
      </c>
      <c r="K1085">
        <v>80</v>
      </c>
      <c r="L1085">
        <v>74.538169861</v>
      </c>
      <c r="M1085">
        <v>50</v>
      </c>
      <c r="N1085">
        <v>49.972824097</v>
      </c>
    </row>
    <row r="1086" spans="1:14" x14ac:dyDescent="0.25">
      <c r="A1086">
        <v>1461.464287</v>
      </c>
      <c r="B1086" s="1">
        <f>DATE(2014,5,1) + TIME(11,8,34)</f>
        <v>41760.464282407411</v>
      </c>
      <c r="C1086">
        <v>1382.7780762</v>
      </c>
      <c r="D1086">
        <v>1367.6104736</v>
      </c>
      <c r="E1086">
        <v>1292.588501</v>
      </c>
      <c r="F1086">
        <v>1273.4641113</v>
      </c>
      <c r="G1086">
        <v>2400</v>
      </c>
      <c r="H1086">
        <v>0</v>
      </c>
      <c r="I1086">
        <v>0</v>
      </c>
      <c r="J1086">
        <v>2400</v>
      </c>
      <c r="K1086">
        <v>80</v>
      </c>
      <c r="L1086">
        <v>74.903335571</v>
      </c>
      <c r="M1086">
        <v>50</v>
      </c>
      <c r="N1086">
        <v>49.971557617000002</v>
      </c>
    </row>
    <row r="1087" spans="1:14" x14ac:dyDescent="0.25">
      <c r="A1087">
        <v>1461.5189849999999</v>
      </c>
      <c r="B1087" s="1">
        <f>DATE(2014,5,1) + TIME(12,27,20)</f>
        <v>41760.51898148148</v>
      </c>
      <c r="C1087">
        <v>1382.6630858999999</v>
      </c>
      <c r="D1087">
        <v>1367.5616454999999</v>
      </c>
      <c r="E1087">
        <v>1292.588501</v>
      </c>
      <c r="F1087">
        <v>1273.4639893000001</v>
      </c>
      <c r="G1087">
        <v>2400</v>
      </c>
      <c r="H1087">
        <v>0</v>
      </c>
      <c r="I1087">
        <v>0</v>
      </c>
      <c r="J1087">
        <v>2400</v>
      </c>
      <c r="K1087">
        <v>80</v>
      </c>
      <c r="L1087">
        <v>75.259819031000006</v>
      </c>
      <c r="M1087">
        <v>50</v>
      </c>
      <c r="N1087">
        <v>49.970245361000003</v>
      </c>
    </row>
    <row r="1088" spans="1:14" x14ac:dyDescent="0.25">
      <c r="A1088">
        <v>1461.5765799999999</v>
      </c>
      <c r="B1088" s="1">
        <f>DATE(2014,5,1) + TIME(13,50,16)</f>
        <v>41760.576574074075</v>
      </c>
      <c r="C1088">
        <v>1382.5509033000001</v>
      </c>
      <c r="D1088">
        <v>1367.5134277</v>
      </c>
      <c r="E1088">
        <v>1292.588501</v>
      </c>
      <c r="F1088">
        <v>1273.4639893000001</v>
      </c>
      <c r="G1088">
        <v>2400</v>
      </c>
      <c r="H1088">
        <v>0</v>
      </c>
      <c r="I1088">
        <v>0</v>
      </c>
      <c r="J1088">
        <v>2400</v>
      </c>
      <c r="K1088">
        <v>80</v>
      </c>
      <c r="L1088">
        <v>75.607482910000002</v>
      </c>
      <c r="M1088">
        <v>50</v>
      </c>
      <c r="N1088">
        <v>49.968883513999998</v>
      </c>
    </row>
    <row r="1089" spans="1:14" x14ac:dyDescent="0.25">
      <c r="A1089">
        <v>1461.6374000000001</v>
      </c>
      <c r="B1089" s="1">
        <f>DATE(2014,5,1) + TIME(15,17,51)</f>
        <v>41760.637395833335</v>
      </c>
      <c r="C1089">
        <v>1382.4411620999999</v>
      </c>
      <c r="D1089">
        <v>1367.4656981999999</v>
      </c>
      <c r="E1089">
        <v>1292.588501</v>
      </c>
      <c r="F1089">
        <v>1273.4638672000001</v>
      </c>
      <c r="G1089">
        <v>2400</v>
      </c>
      <c r="H1089">
        <v>0</v>
      </c>
      <c r="I1089">
        <v>0</v>
      </c>
      <c r="J1089">
        <v>2400</v>
      </c>
      <c r="K1089">
        <v>80</v>
      </c>
      <c r="L1089">
        <v>75.946166992000002</v>
      </c>
      <c r="M1089">
        <v>50</v>
      </c>
      <c r="N1089">
        <v>49.967460631999998</v>
      </c>
    </row>
    <row r="1090" spans="1:14" x14ac:dyDescent="0.25">
      <c r="A1090">
        <v>1461.70183</v>
      </c>
      <c r="B1090" s="1">
        <f>DATE(2014,5,1) + TIME(16,50,38)</f>
        <v>41760.701828703706</v>
      </c>
      <c r="C1090">
        <v>1382.3338623</v>
      </c>
      <c r="D1090">
        <v>1367.418457</v>
      </c>
      <c r="E1090">
        <v>1292.588501</v>
      </c>
      <c r="F1090">
        <v>1273.4636230000001</v>
      </c>
      <c r="G1090">
        <v>2400</v>
      </c>
      <c r="H1090">
        <v>0</v>
      </c>
      <c r="I1090">
        <v>0</v>
      </c>
      <c r="J1090">
        <v>2400</v>
      </c>
      <c r="K1090">
        <v>80</v>
      </c>
      <c r="L1090">
        <v>76.275627135999997</v>
      </c>
      <c r="M1090">
        <v>50</v>
      </c>
      <c r="N1090">
        <v>49.965976714999996</v>
      </c>
    </row>
    <row r="1091" spans="1:14" x14ac:dyDescent="0.25">
      <c r="A1091">
        <v>1461.770321</v>
      </c>
      <c r="B1091" s="1">
        <f>DATE(2014,5,1) + TIME(18,29,15)</f>
        <v>41760.770312499997</v>
      </c>
      <c r="C1091">
        <v>1382.2287598</v>
      </c>
      <c r="D1091">
        <v>1367.3714600000001</v>
      </c>
      <c r="E1091">
        <v>1292.5883789</v>
      </c>
      <c r="F1091">
        <v>1273.463501</v>
      </c>
      <c r="G1091">
        <v>2400</v>
      </c>
      <c r="H1091">
        <v>0</v>
      </c>
      <c r="I1091">
        <v>0</v>
      </c>
      <c r="J1091">
        <v>2400</v>
      </c>
      <c r="K1091">
        <v>80</v>
      </c>
      <c r="L1091">
        <v>76.595558166999993</v>
      </c>
      <c r="M1091">
        <v>50</v>
      </c>
      <c r="N1091">
        <v>49.964420318999998</v>
      </c>
    </row>
    <row r="1092" spans="1:14" x14ac:dyDescent="0.25">
      <c r="A1092">
        <v>1461.8434139999999</v>
      </c>
      <c r="B1092" s="1">
        <f>DATE(2014,5,1) + TIME(20,14,31)</f>
        <v>41760.843414351853</v>
      </c>
      <c r="C1092">
        <v>1382.1258545000001</v>
      </c>
      <c r="D1092">
        <v>1367.324707</v>
      </c>
      <c r="E1092">
        <v>1292.5882568</v>
      </c>
      <c r="F1092">
        <v>1273.4632568</v>
      </c>
      <c r="G1092">
        <v>2400</v>
      </c>
      <c r="H1092">
        <v>0</v>
      </c>
      <c r="I1092">
        <v>0</v>
      </c>
      <c r="J1092">
        <v>2400</v>
      </c>
      <c r="K1092">
        <v>80</v>
      </c>
      <c r="L1092">
        <v>76.905632018999995</v>
      </c>
      <c r="M1092">
        <v>50</v>
      </c>
      <c r="N1092">
        <v>49.962783813000001</v>
      </c>
    </row>
    <row r="1093" spans="1:14" x14ac:dyDescent="0.25">
      <c r="A1093">
        <v>1461.921777</v>
      </c>
      <c r="B1093" s="1">
        <f>DATE(2014,5,1) + TIME(22,7,21)</f>
        <v>41760.921770833331</v>
      </c>
      <c r="C1093">
        <v>1382.0246582</v>
      </c>
      <c r="D1093">
        <v>1367.277832</v>
      </c>
      <c r="E1093">
        <v>1292.5882568</v>
      </c>
      <c r="F1093">
        <v>1273.4631348</v>
      </c>
      <c r="G1093">
        <v>2400</v>
      </c>
      <c r="H1093">
        <v>0</v>
      </c>
      <c r="I1093">
        <v>0</v>
      </c>
      <c r="J1093">
        <v>2400</v>
      </c>
      <c r="K1093">
        <v>80</v>
      </c>
      <c r="L1093">
        <v>77.205528259000005</v>
      </c>
      <c r="M1093">
        <v>50</v>
      </c>
      <c r="N1093">
        <v>49.961055756</v>
      </c>
    </row>
    <row r="1094" spans="1:14" x14ac:dyDescent="0.25">
      <c r="A1094">
        <v>1462.006214</v>
      </c>
      <c r="B1094" s="1">
        <f>DATE(2014,5,2) + TIME(0,8,56)</f>
        <v>41761.006203703706</v>
      </c>
      <c r="C1094">
        <v>1381.9251709</v>
      </c>
      <c r="D1094">
        <v>1367.230957</v>
      </c>
      <c r="E1094">
        <v>1292.5881348</v>
      </c>
      <c r="F1094">
        <v>1273.4628906</v>
      </c>
      <c r="G1094">
        <v>2400</v>
      </c>
      <c r="H1094">
        <v>0</v>
      </c>
      <c r="I1094">
        <v>0</v>
      </c>
      <c r="J1094">
        <v>2400</v>
      </c>
      <c r="K1094">
        <v>80</v>
      </c>
      <c r="L1094">
        <v>77.494842528999996</v>
      </c>
      <c r="M1094">
        <v>50</v>
      </c>
      <c r="N1094">
        <v>49.959220885999997</v>
      </c>
    </row>
    <row r="1095" spans="1:14" x14ac:dyDescent="0.25">
      <c r="A1095">
        <v>1462.097724</v>
      </c>
      <c r="B1095" s="1">
        <f>DATE(2014,5,2) + TIME(2,20,43)</f>
        <v>41761.097719907404</v>
      </c>
      <c r="C1095">
        <v>1381.8271483999999</v>
      </c>
      <c r="D1095">
        <v>1367.1837158000001</v>
      </c>
      <c r="E1095">
        <v>1292.5880127</v>
      </c>
      <c r="F1095">
        <v>1273.4626464999999</v>
      </c>
      <c r="G1095">
        <v>2400</v>
      </c>
      <c r="H1095">
        <v>0</v>
      </c>
      <c r="I1095">
        <v>0</v>
      </c>
      <c r="J1095">
        <v>2400</v>
      </c>
      <c r="K1095">
        <v>80</v>
      </c>
      <c r="L1095">
        <v>77.773124695000007</v>
      </c>
      <c r="M1095">
        <v>50</v>
      </c>
      <c r="N1095">
        <v>49.957263947000001</v>
      </c>
    </row>
    <row r="1096" spans="1:14" x14ac:dyDescent="0.25">
      <c r="A1096">
        <v>1462.1975689999999</v>
      </c>
      <c r="B1096" s="1">
        <f>DATE(2014,5,2) + TIME(4,44,29)</f>
        <v>41761.197557870371</v>
      </c>
      <c r="C1096">
        <v>1381.7302245999999</v>
      </c>
      <c r="D1096">
        <v>1367.1358643000001</v>
      </c>
      <c r="E1096">
        <v>1292.5878906</v>
      </c>
      <c r="F1096">
        <v>1273.4622803</v>
      </c>
      <c r="G1096">
        <v>2400</v>
      </c>
      <c r="H1096">
        <v>0</v>
      </c>
      <c r="I1096">
        <v>0</v>
      </c>
      <c r="J1096">
        <v>2400</v>
      </c>
      <c r="K1096">
        <v>80</v>
      </c>
      <c r="L1096">
        <v>78.039840698000006</v>
      </c>
      <c r="M1096">
        <v>50</v>
      </c>
      <c r="N1096">
        <v>49.955165862999998</v>
      </c>
    </row>
    <row r="1097" spans="1:14" x14ac:dyDescent="0.25">
      <c r="A1097">
        <v>1462.307438</v>
      </c>
      <c r="B1097" s="1">
        <f>DATE(2014,5,2) + TIME(7,22,42)</f>
        <v>41761.307430555556</v>
      </c>
      <c r="C1097">
        <v>1381.6342772999999</v>
      </c>
      <c r="D1097">
        <v>1367.0872803</v>
      </c>
      <c r="E1097">
        <v>1292.5876464999999</v>
      </c>
      <c r="F1097">
        <v>1273.4620361</v>
      </c>
      <c r="G1097">
        <v>2400</v>
      </c>
      <c r="H1097">
        <v>0</v>
      </c>
      <c r="I1097">
        <v>0</v>
      </c>
      <c r="J1097">
        <v>2400</v>
      </c>
      <c r="K1097">
        <v>80</v>
      </c>
      <c r="L1097">
        <v>78.294540405000006</v>
      </c>
      <c r="M1097">
        <v>50</v>
      </c>
      <c r="N1097">
        <v>49.952892302999999</v>
      </c>
    </row>
    <row r="1098" spans="1:14" x14ac:dyDescent="0.25">
      <c r="A1098">
        <v>1462.429384</v>
      </c>
      <c r="B1098" s="1">
        <f>DATE(2014,5,2) + TIME(10,18,18)</f>
        <v>41761.429375</v>
      </c>
      <c r="C1098">
        <v>1381.5389404</v>
      </c>
      <c r="D1098">
        <v>1367.0375977000001</v>
      </c>
      <c r="E1098">
        <v>1292.5875243999999</v>
      </c>
      <c r="F1098">
        <v>1273.4616699000001</v>
      </c>
      <c r="G1098">
        <v>2400</v>
      </c>
      <c r="H1098">
        <v>0</v>
      </c>
      <c r="I1098">
        <v>0</v>
      </c>
      <c r="J1098">
        <v>2400</v>
      </c>
      <c r="K1098">
        <v>80</v>
      </c>
      <c r="L1098">
        <v>78.536369324000006</v>
      </c>
      <c r="M1098">
        <v>50</v>
      </c>
      <c r="N1098">
        <v>49.950420379999997</v>
      </c>
    </row>
    <row r="1099" spans="1:14" x14ac:dyDescent="0.25">
      <c r="A1099">
        <v>1462.566245</v>
      </c>
      <c r="B1099" s="1">
        <f>DATE(2014,5,2) + TIME(13,35,23)</f>
        <v>41761.566238425927</v>
      </c>
      <c r="C1099">
        <v>1381.4437256000001</v>
      </c>
      <c r="D1099">
        <v>1366.9863281</v>
      </c>
      <c r="E1099">
        <v>1292.5874022999999</v>
      </c>
      <c r="F1099">
        <v>1273.4611815999999</v>
      </c>
      <c r="G1099">
        <v>2400</v>
      </c>
      <c r="H1099">
        <v>0</v>
      </c>
      <c r="I1099">
        <v>0</v>
      </c>
      <c r="J1099">
        <v>2400</v>
      </c>
      <c r="K1099">
        <v>80</v>
      </c>
      <c r="L1099">
        <v>78.764495850000003</v>
      </c>
      <c r="M1099">
        <v>50</v>
      </c>
      <c r="N1099">
        <v>49.947700500000003</v>
      </c>
    </row>
    <row r="1100" spans="1:14" x14ac:dyDescent="0.25">
      <c r="A1100">
        <v>1462.7219319999999</v>
      </c>
      <c r="B1100" s="1">
        <f>DATE(2014,5,2) + TIME(17,19,34)</f>
        <v>41761.721921296295</v>
      </c>
      <c r="C1100">
        <v>1381.3481445</v>
      </c>
      <c r="D1100">
        <v>1366.9332274999999</v>
      </c>
      <c r="E1100">
        <v>1292.5871582</v>
      </c>
      <c r="F1100">
        <v>1273.4608154</v>
      </c>
      <c r="G1100">
        <v>2400</v>
      </c>
      <c r="H1100">
        <v>0</v>
      </c>
      <c r="I1100">
        <v>0</v>
      </c>
      <c r="J1100">
        <v>2400</v>
      </c>
      <c r="K1100">
        <v>80</v>
      </c>
      <c r="L1100">
        <v>78.977951050000001</v>
      </c>
      <c r="M1100">
        <v>50</v>
      </c>
      <c r="N1100">
        <v>49.944675445999998</v>
      </c>
    </row>
    <row r="1101" spans="1:14" x14ac:dyDescent="0.25">
      <c r="A1101">
        <v>1462.881365</v>
      </c>
      <c r="B1101" s="1">
        <f>DATE(2014,5,2) + TIME(21,9,9)</f>
        <v>41761.881354166668</v>
      </c>
      <c r="C1101">
        <v>1381.2612305</v>
      </c>
      <c r="D1101">
        <v>1366.8822021000001</v>
      </c>
      <c r="E1101">
        <v>1292.5869141000001</v>
      </c>
      <c r="F1101">
        <v>1273.4603271000001</v>
      </c>
      <c r="G1101">
        <v>2400</v>
      </c>
      <c r="H1101">
        <v>0</v>
      </c>
      <c r="I1101">
        <v>0</v>
      </c>
      <c r="J1101">
        <v>2400</v>
      </c>
      <c r="K1101">
        <v>80</v>
      </c>
      <c r="L1101">
        <v>79.157028198000006</v>
      </c>
      <c r="M1101">
        <v>50</v>
      </c>
      <c r="N1101">
        <v>49.941593169999997</v>
      </c>
    </row>
    <row r="1102" spans="1:14" x14ac:dyDescent="0.25">
      <c r="A1102">
        <v>1463.0426359999999</v>
      </c>
      <c r="B1102" s="1">
        <f>DATE(2014,5,3) + TIME(1,1,23)</f>
        <v>41762.042627314811</v>
      </c>
      <c r="C1102">
        <v>1381.1817627</v>
      </c>
      <c r="D1102">
        <v>1366.8339844</v>
      </c>
      <c r="E1102">
        <v>1292.5865478999999</v>
      </c>
      <c r="F1102">
        <v>1273.4598389</v>
      </c>
      <c r="G1102">
        <v>2400</v>
      </c>
      <c r="H1102">
        <v>0</v>
      </c>
      <c r="I1102">
        <v>0</v>
      </c>
      <c r="J1102">
        <v>2400</v>
      </c>
      <c r="K1102">
        <v>80</v>
      </c>
      <c r="L1102">
        <v>79.305114746000001</v>
      </c>
      <c r="M1102">
        <v>50</v>
      </c>
      <c r="N1102">
        <v>49.938480376999998</v>
      </c>
    </row>
    <row r="1103" spans="1:14" x14ac:dyDescent="0.25">
      <c r="A1103">
        <v>1463.20695</v>
      </c>
      <c r="B1103" s="1">
        <f>DATE(2014,5,3) + TIME(4,58,0)</f>
        <v>41762.206944444442</v>
      </c>
      <c r="C1103">
        <v>1381.1081543</v>
      </c>
      <c r="D1103">
        <v>1366.7878418</v>
      </c>
      <c r="E1103">
        <v>1292.5863036999999</v>
      </c>
      <c r="F1103">
        <v>1273.4592285000001</v>
      </c>
      <c r="G1103">
        <v>2400</v>
      </c>
      <c r="H1103">
        <v>0</v>
      </c>
      <c r="I1103">
        <v>0</v>
      </c>
      <c r="J1103">
        <v>2400</v>
      </c>
      <c r="K1103">
        <v>80</v>
      </c>
      <c r="L1103">
        <v>79.428062439000001</v>
      </c>
      <c r="M1103">
        <v>50</v>
      </c>
      <c r="N1103">
        <v>49.935321807999998</v>
      </c>
    </row>
    <row r="1104" spans="1:14" x14ac:dyDescent="0.25">
      <c r="A1104">
        <v>1463.375264</v>
      </c>
      <c r="B1104" s="1">
        <f>DATE(2014,5,3) + TIME(9,0,22)</f>
        <v>41762.375254629631</v>
      </c>
      <c r="C1104">
        <v>1381.0395507999999</v>
      </c>
      <c r="D1104">
        <v>1366.7436522999999</v>
      </c>
      <c r="E1104">
        <v>1292.5859375</v>
      </c>
      <c r="F1104">
        <v>1273.4587402</v>
      </c>
      <c r="G1104">
        <v>2400</v>
      </c>
      <c r="H1104">
        <v>0</v>
      </c>
      <c r="I1104">
        <v>0</v>
      </c>
      <c r="J1104">
        <v>2400</v>
      </c>
      <c r="K1104">
        <v>80</v>
      </c>
      <c r="L1104">
        <v>79.530250549000002</v>
      </c>
      <c r="M1104">
        <v>50</v>
      </c>
      <c r="N1104">
        <v>49.932106017999999</v>
      </c>
    </row>
    <row r="1105" spans="1:14" x14ac:dyDescent="0.25">
      <c r="A1105">
        <v>1463.5484739999999</v>
      </c>
      <c r="B1105" s="1">
        <f>DATE(2014,5,3) + TIME(13,9,48)</f>
        <v>41762.548472222225</v>
      </c>
      <c r="C1105">
        <v>1380.9748535000001</v>
      </c>
      <c r="D1105">
        <v>1366.7008057</v>
      </c>
      <c r="E1105">
        <v>1292.5856934000001</v>
      </c>
      <c r="F1105">
        <v>1273.4581298999999</v>
      </c>
      <c r="G1105">
        <v>2400</v>
      </c>
      <c r="H1105">
        <v>0</v>
      </c>
      <c r="I1105">
        <v>0</v>
      </c>
      <c r="J1105">
        <v>2400</v>
      </c>
      <c r="K1105">
        <v>80</v>
      </c>
      <c r="L1105">
        <v>79.615127563000001</v>
      </c>
      <c r="M1105">
        <v>50</v>
      </c>
      <c r="N1105">
        <v>49.928817748999997</v>
      </c>
    </row>
    <row r="1106" spans="1:14" x14ac:dyDescent="0.25">
      <c r="A1106">
        <v>1463.72759</v>
      </c>
      <c r="B1106" s="1">
        <f>DATE(2014,5,3) + TIME(17,27,43)</f>
        <v>41762.727581018517</v>
      </c>
      <c r="C1106">
        <v>1380.9135742000001</v>
      </c>
      <c r="D1106">
        <v>1366.6593018000001</v>
      </c>
      <c r="E1106">
        <v>1292.5853271000001</v>
      </c>
      <c r="F1106">
        <v>1273.4576416</v>
      </c>
      <c r="G1106">
        <v>2400</v>
      </c>
      <c r="H1106">
        <v>0</v>
      </c>
      <c r="I1106">
        <v>0</v>
      </c>
      <c r="J1106">
        <v>2400</v>
      </c>
      <c r="K1106">
        <v>80</v>
      </c>
      <c r="L1106">
        <v>79.685531616000006</v>
      </c>
      <c r="M1106">
        <v>50</v>
      </c>
      <c r="N1106">
        <v>49.925437926999997</v>
      </c>
    </row>
    <row r="1107" spans="1:14" x14ac:dyDescent="0.25">
      <c r="A1107">
        <v>1463.9137020000001</v>
      </c>
      <c r="B1107" s="1">
        <f>DATE(2014,5,3) + TIME(21,55,43)</f>
        <v>41762.91369212963</v>
      </c>
      <c r="C1107">
        <v>1380.8548584</v>
      </c>
      <c r="D1107">
        <v>1366.6186522999999</v>
      </c>
      <c r="E1107">
        <v>1292.5850829999999</v>
      </c>
      <c r="F1107">
        <v>1273.4570312000001</v>
      </c>
      <c r="G1107">
        <v>2400</v>
      </c>
      <c r="H1107">
        <v>0</v>
      </c>
      <c r="I1107">
        <v>0</v>
      </c>
      <c r="J1107">
        <v>2400</v>
      </c>
      <c r="K1107">
        <v>80</v>
      </c>
      <c r="L1107">
        <v>79.743782042999996</v>
      </c>
      <c r="M1107">
        <v>50</v>
      </c>
      <c r="N1107">
        <v>49.921951294000003</v>
      </c>
    </row>
    <row r="1108" spans="1:14" x14ac:dyDescent="0.25">
      <c r="A1108">
        <v>1464.1080179999999</v>
      </c>
      <c r="B1108" s="1">
        <f>DATE(2014,5,4) + TIME(2,35,32)</f>
        <v>41763.10800925926</v>
      </c>
      <c r="C1108">
        <v>1380.7983397999999</v>
      </c>
      <c r="D1108">
        <v>1366.5786132999999</v>
      </c>
      <c r="E1108">
        <v>1292.5847168</v>
      </c>
      <c r="F1108">
        <v>1273.4564209</v>
      </c>
      <c r="G1108">
        <v>2400</v>
      </c>
      <c r="H1108">
        <v>0</v>
      </c>
      <c r="I1108">
        <v>0</v>
      </c>
      <c r="J1108">
        <v>2400</v>
      </c>
      <c r="K1108">
        <v>80</v>
      </c>
      <c r="L1108">
        <v>79.791801453000005</v>
      </c>
      <c r="M1108">
        <v>50</v>
      </c>
      <c r="N1108">
        <v>49.918342590000002</v>
      </c>
    </row>
    <row r="1109" spans="1:14" x14ac:dyDescent="0.25">
      <c r="A1109">
        <v>1464.311901</v>
      </c>
      <c r="B1109" s="1">
        <f>DATE(2014,5,4) + TIME(7,29,8)</f>
        <v>41763.311898148146</v>
      </c>
      <c r="C1109">
        <v>1380.7435303</v>
      </c>
      <c r="D1109">
        <v>1366.5391846</v>
      </c>
      <c r="E1109">
        <v>1292.5843506000001</v>
      </c>
      <c r="F1109">
        <v>1273.4556885</v>
      </c>
      <c r="G1109">
        <v>2400</v>
      </c>
      <c r="H1109">
        <v>0</v>
      </c>
      <c r="I1109">
        <v>0</v>
      </c>
      <c r="J1109">
        <v>2400</v>
      </c>
      <c r="K1109">
        <v>80</v>
      </c>
      <c r="L1109">
        <v>79.831192017000006</v>
      </c>
      <c r="M1109">
        <v>50</v>
      </c>
      <c r="N1109">
        <v>49.914588928000001</v>
      </c>
    </row>
    <row r="1110" spans="1:14" x14ac:dyDescent="0.25">
      <c r="A1110">
        <v>1464.5269989999999</v>
      </c>
      <c r="B1110" s="1">
        <f>DATE(2014,5,4) + TIME(12,38,52)</f>
        <v>41763.526990740742</v>
      </c>
      <c r="C1110">
        <v>1380.6898193</v>
      </c>
      <c r="D1110">
        <v>1366.5</v>
      </c>
      <c r="E1110">
        <v>1292.5839844</v>
      </c>
      <c r="F1110">
        <v>1273.4550781</v>
      </c>
      <c r="G1110">
        <v>2400</v>
      </c>
      <c r="H1110">
        <v>0</v>
      </c>
      <c r="I1110">
        <v>0</v>
      </c>
      <c r="J1110">
        <v>2400</v>
      </c>
      <c r="K1110">
        <v>80</v>
      </c>
      <c r="L1110">
        <v>79.863319396999998</v>
      </c>
      <c r="M1110">
        <v>50</v>
      </c>
      <c r="N1110">
        <v>49.910667418999999</v>
      </c>
    </row>
    <row r="1111" spans="1:14" x14ac:dyDescent="0.25">
      <c r="A1111">
        <v>1464.755228</v>
      </c>
      <c r="B1111" s="1">
        <f>DATE(2014,5,4) + TIME(18,7,31)</f>
        <v>41763.755219907405</v>
      </c>
      <c r="C1111">
        <v>1380.6369629000001</v>
      </c>
      <c r="D1111">
        <v>1366.4608154</v>
      </c>
      <c r="E1111">
        <v>1292.5836182</v>
      </c>
      <c r="F1111">
        <v>1273.4543457</v>
      </c>
      <c r="G1111">
        <v>2400</v>
      </c>
      <c r="H1111">
        <v>0</v>
      </c>
      <c r="I1111">
        <v>0</v>
      </c>
      <c r="J1111">
        <v>2400</v>
      </c>
      <c r="K1111">
        <v>80</v>
      </c>
      <c r="L1111">
        <v>79.889343261999997</v>
      </c>
      <c r="M1111">
        <v>50</v>
      </c>
      <c r="N1111">
        <v>49.906547545999999</v>
      </c>
    </row>
    <row r="1112" spans="1:14" x14ac:dyDescent="0.25">
      <c r="A1112">
        <v>1464.9989089999999</v>
      </c>
      <c r="B1112" s="1">
        <f>DATE(2014,5,4) + TIME(23,58,25)</f>
        <v>41763.998900462961</v>
      </c>
      <c r="C1112">
        <v>1380.5843506000001</v>
      </c>
      <c r="D1112">
        <v>1366.4213867000001</v>
      </c>
      <c r="E1112">
        <v>1292.5831298999999</v>
      </c>
      <c r="F1112">
        <v>1273.4536132999999</v>
      </c>
      <c r="G1112">
        <v>2400</v>
      </c>
      <c r="H1112">
        <v>0</v>
      </c>
      <c r="I1112">
        <v>0</v>
      </c>
      <c r="J1112">
        <v>2400</v>
      </c>
      <c r="K1112">
        <v>80</v>
      </c>
      <c r="L1112">
        <v>79.910232543999996</v>
      </c>
      <c r="M1112">
        <v>50</v>
      </c>
      <c r="N1112">
        <v>49.902194977000001</v>
      </c>
    </row>
    <row r="1113" spans="1:14" x14ac:dyDescent="0.25">
      <c r="A1113">
        <v>1465.2584730000001</v>
      </c>
      <c r="B1113" s="1">
        <f>DATE(2014,5,5) + TIME(6,12,12)</f>
        <v>41764.258472222224</v>
      </c>
      <c r="C1113">
        <v>1380.5318603999999</v>
      </c>
      <c r="D1113">
        <v>1366.3815918</v>
      </c>
      <c r="E1113">
        <v>1292.5826416</v>
      </c>
      <c r="F1113">
        <v>1273.4527588000001</v>
      </c>
      <c r="G1113">
        <v>2400</v>
      </c>
      <c r="H1113">
        <v>0</v>
      </c>
      <c r="I1113">
        <v>0</v>
      </c>
      <c r="J1113">
        <v>2400</v>
      </c>
      <c r="K1113">
        <v>80</v>
      </c>
      <c r="L1113">
        <v>79.926727295000006</v>
      </c>
      <c r="M1113">
        <v>50</v>
      </c>
      <c r="N1113">
        <v>49.897602081000002</v>
      </c>
    </row>
    <row r="1114" spans="1:14" x14ac:dyDescent="0.25">
      <c r="A1114">
        <v>1465.5350940000001</v>
      </c>
      <c r="B1114" s="1">
        <f>DATE(2014,5,5) + TIME(12,50,32)</f>
        <v>41764.535092592596</v>
      </c>
      <c r="C1114">
        <v>1380.4793701000001</v>
      </c>
      <c r="D1114">
        <v>1366.3415527</v>
      </c>
      <c r="E1114">
        <v>1292.5821533000001</v>
      </c>
      <c r="F1114">
        <v>1273.4517822</v>
      </c>
      <c r="G1114">
        <v>2400</v>
      </c>
      <c r="H1114">
        <v>0</v>
      </c>
      <c r="I1114">
        <v>0</v>
      </c>
      <c r="J1114">
        <v>2400</v>
      </c>
      <c r="K1114">
        <v>80</v>
      </c>
      <c r="L1114">
        <v>79.939567565999994</v>
      </c>
      <c r="M1114">
        <v>50</v>
      </c>
      <c r="N1114">
        <v>49.892753601000003</v>
      </c>
    </row>
    <row r="1115" spans="1:14" x14ac:dyDescent="0.25">
      <c r="A1115">
        <v>1465.831868</v>
      </c>
      <c r="B1115" s="1">
        <f>DATE(2014,5,5) + TIME(19,57,53)</f>
        <v>41764.831863425927</v>
      </c>
      <c r="C1115">
        <v>1380.4266356999999</v>
      </c>
      <c r="D1115">
        <v>1366.3010254000001</v>
      </c>
      <c r="E1115">
        <v>1292.5816649999999</v>
      </c>
      <c r="F1115">
        <v>1273.4509277</v>
      </c>
      <c r="G1115">
        <v>2400</v>
      </c>
      <c r="H1115">
        <v>0</v>
      </c>
      <c r="I1115">
        <v>0</v>
      </c>
      <c r="J1115">
        <v>2400</v>
      </c>
      <c r="K1115">
        <v>80</v>
      </c>
      <c r="L1115">
        <v>79.949447632000002</v>
      </c>
      <c r="M1115">
        <v>50</v>
      </c>
      <c r="N1115">
        <v>49.887607574</v>
      </c>
    </row>
    <row r="1116" spans="1:14" x14ac:dyDescent="0.25">
      <c r="A1116">
        <v>1466.1525879999999</v>
      </c>
      <c r="B1116" s="1">
        <f>DATE(2014,5,6) + TIME(3,39,43)</f>
        <v>41765.152581018519</v>
      </c>
      <c r="C1116">
        <v>1380.3734131000001</v>
      </c>
      <c r="D1116">
        <v>1366.2598877</v>
      </c>
      <c r="E1116">
        <v>1292.5810547000001</v>
      </c>
      <c r="F1116">
        <v>1273.4498291</v>
      </c>
      <c r="G1116">
        <v>2400</v>
      </c>
      <c r="H1116">
        <v>0</v>
      </c>
      <c r="I1116">
        <v>0</v>
      </c>
      <c r="J1116">
        <v>2400</v>
      </c>
      <c r="K1116">
        <v>80</v>
      </c>
      <c r="L1116">
        <v>79.956962584999999</v>
      </c>
      <c r="M1116">
        <v>50</v>
      </c>
      <c r="N1116">
        <v>49.882106780999997</v>
      </c>
    </row>
    <row r="1117" spans="1:14" x14ac:dyDescent="0.25">
      <c r="A1117">
        <v>1466.486705</v>
      </c>
      <c r="B1117" s="1">
        <f>DATE(2014,5,6) + TIME(11,40,51)</f>
        <v>41765.486701388887</v>
      </c>
      <c r="C1117">
        <v>1380.3192139</v>
      </c>
      <c r="D1117">
        <v>1366.2178954999999</v>
      </c>
      <c r="E1117">
        <v>1292.5804443</v>
      </c>
      <c r="F1117">
        <v>1273.4487305</v>
      </c>
      <c r="G1117">
        <v>2400</v>
      </c>
      <c r="H1117">
        <v>0</v>
      </c>
      <c r="I1117">
        <v>0</v>
      </c>
      <c r="J1117">
        <v>2400</v>
      </c>
      <c r="K1117">
        <v>80</v>
      </c>
      <c r="L1117">
        <v>79.962425232000001</v>
      </c>
      <c r="M1117">
        <v>50</v>
      </c>
      <c r="N1117">
        <v>49.876377106</v>
      </c>
    </row>
    <row r="1118" spans="1:14" x14ac:dyDescent="0.25">
      <c r="A1118">
        <v>1466.823764</v>
      </c>
      <c r="B1118" s="1">
        <f>DATE(2014,5,6) + TIME(19,46,13)</f>
        <v>41765.823761574073</v>
      </c>
      <c r="C1118">
        <v>1380.2658690999999</v>
      </c>
      <c r="D1118">
        <v>1366.1765137</v>
      </c>
      <c r="E1118">
        <v>1292.5798339999999</v>
      </c>
      <c r="F1118">
        <v>1273.4476318</v>
      </c>
      <c r="G1118">
        <v>2400</v>
      </c>
      <c r="H1118">
        <v>0</v>
      </c>
      <c r="I1118">
        <v>0</v>
      </c>
      <c r="J1118">
        <v>2400</v>
      </c>
      <c r="K1118">
        <v>80</v>
      </c>
      <c r="L1118">
        <v>79.966278075999995</v>
      </c>
      <c r="M1118">
        <v>50</v>
      </c>
      <c r="N1118">
        <v>49.870555877999998</v>
      </c>
    </row>
    <row r="1119" spans="1:14" x14ac:dyDescent="0.25">
      <c r="A1119">
        <v>1467.166217</v>
      </c>
      <c r="B1119" s="1">
        <f>DATE(2014,5,7) + TIME(3,59,21)</f>
        <v>41766.166215277779</v>
      </c>
      <c r="C1119">
        <v>1380.2147216999999</v>
      </c>
      <c r="D1119">
        <v>1366.1369629000001</v>
      </c>
      <c r="E1119">
        <v>1292.5791016000001</v>
      </c>
      <c r="F1119">
        <v>1273.4465332</v>
      </c>
      <c r="G1119">
        <v>2400</v>
      </c>
      <c r="H1119">
        <v>0</v>
      </c>
      <c r="I1119">
        <v>0</v>
      </c>
      <c r="J1119">
        <v>2400</v>
      </c>
      <c r="K1119">
        <v>80</v>
      </c>
      <c r="L1119">
        <v>79.969017029</v>
      </c>
      <c r="M1119">
        <v>50</v>
      </c>
      <c r="N1119">
        <v>49.864631653000004</v>
      </c>
    </row>
    <row r="1120" spans="1:14" x14ac:dyDescent="0.25">
      <c r="A1120">
        <v>1467.516406</v>
      </c>
      <c r="B1120" s="1">
        <f>DATE(2014,5,7) + TIME(12,23,37)</f>
        <v>41766.516400462962</v>
      </c>
      <c r="C1120">
        <v>1380.1654053</v>
      </c>
      <c r="D1120">
        <v>1366.0986327999999</v>
      </c>
      <c r="E1120">
        <v>1292.5784911999999</v>
      </c>
      <c r="F1120">
        <v>1273.4453125</v>
      </c>
      <c r="G1120">
        <v>2400</v>
      </c>
      <c r="H1120">
        <v>0</v>
      </c>
      <c r="I1120">
        <v>0</v>
      </c>
      <c r="J1120">
        <v>2400</v>
      </c>
      <c r="K1120">
        <v>80</v>
      </c>
      <c r="L1120">
        <v>79.970977782999995</v>
      </c>
      <c r="M1120">
        <v>50</v>
      </c>
      <c r="N1120">
        <v>49.858585357999999</v>
      </c>
    </row>
    <row r="1121" spans="1:14" x14ac:dyDescent="0.25">
      <c r="A1121">
        <v>1467.876673</v>
      </c>
      <c r="B1121" s="1">
        <f>DATE(2014,5,7) + TIME(21,2,24)</f>
        <v>41766.876666666663</v>
      </c>
      <c r="C1121">
        <v>1380.1171875</v>
      </c>
      <c r="D1121">
        <v>1366.0614014</v>
      </c>
      <c r="E1121">
        <v>1292.5777588000001</v>
      </c>
      <c r="F1121">
        <v>1273.4440918</v>
      </c>
      <c r="G1121">
        <v>2400</v>
      </c>
      <c r="H1121">
        <v>0</v>
      </c>
      <c r="I1121">
        <v>0</v>
      </c>
      <c r="J1121">
        <v>2400</v>
      </c>
      <c r="K1121">
        <v>80</v>
      </c>
      <c r="L1121">
        <v>79.972381592000005</v>
      </c>
      <c r="M1121">
        <v>50</v>
      </c>
      <c r="N1121">
        <v>49.852397918999998</v>
      </c>
    </row>
    <row r="1122" spans="1:14" x14ac:dyDescent="0.25">
      <c r="A1122">
        <v>1468.249425</v>
      </c>
      <c r="B1122" s="1">
        <f>DATE(2014,5,8) + TIME(5,59,10)</f>
        <v>41767.249421296299</v>
      </c>
      <c r="C1122">
        <v>1380.0698242000001</v>
      </c>
      <c r="D1122">
        <v>1366.0247803</v>
      </c>
      <c r="E1122">
        <v>1292.5770264</v>
      </c>
      <c r="F1122">
        <v>1273.4428711</v>
      </c>
      <c r="G1122">
        <v>2400</v>
      </c>
      <c r="H1122">
        <v>0</v>
      </c>
      <c r="I1122">
        <v>0</v>
      </c>
      <c r="J1122">
        <v>2400</v>
      </c>
      <c r="K1122">
        <v>80</v>
      </c>
      <c r="L1122">
        <v>79.973396300999994</v>
      </c>
      <c r="M1122">
        <v>50</v>
      </c>
      <c r="N1122">
        <v>49.846042633000003</v>
      </c>
    </row>
    <row r="1123" spans="1:14" x14ac:dyDescent="0.25">
      <c r="A1123">
        <v>1468.636567</v>
      </c>
      <c r="B1123" s="1">
        <f>DATE(2014,5,8) + TIME(15,16,39)</f>
        <v>41767.636562500003</v>
      </c>
      <c r="C1123">
        <v>1380.0230713000001</v>
      </c>
      <c r="D1123">
        <v>1365.9886475000001</v>
      </c>
      <c r="E1123">
        <v>1292.5762939000001</v>
      </c>
      <c r="F1123">
        <v>1273.4415283000001</v>
      </c>
      <c r="G1123">
        <v>2400</v>
      </c>
      <c r="H1123">
        <v>0</v>
      </c>
      <c r="I1123">
        <v>0</v>
      </c>
      <c r="J1123">
        <v>2400</v>
      </c>
      <c r="K1123">
        <v>80</v>
      </c>
      <c r="L1123">
        <v>79.974128723000007</v>
      </c>
      <c r="M1123">
        <v>50</v>
      </c>
      <c r="N1123">
        <v>49.839496613000001</v>
      </c>
    </row>
    <row r="1124" spans="1:14" x14ac:dyDescent="0.25">
      <c r="A1124">
        <v>1469.0373629999999</v>
      </c>
      <c r="B1124" s="1">
        <f>DATE(2014,5,9) + TIME(0,53,48)</f>
        <v>41768.037361111114</v>
      </c>
      <c r="C1124">
        <v>1379.9764404</v>
      </c>
      <c r="D1124">
        <v>1365.9527588000001</v>
      </c>
      <c r="E1124">
        <v>1292.5755615</v>
      </c>
      <c r="F1124">
        <v>1273.4401855000001</v>
      </c>
      <c r="G1124">
        <v>2400</v>
      </c>
      <c r="H1124">
        <v>0</v>
      </c>
      <c r="I1124">
        <v>0</v>
      </c>
      <c r="J1124">
        <v>2400</v>
      </c>
      <c r="K1124">
        <v>80</v>
      </c>
      <c r="L1124">
        <v>79.974662781000006</v>
      </c>
      <c r="M1124">
        <v>50</v>
      </c>
      <c r="N1124">
        <v>49.832759856999999</v>
      </c>
    </row>
    <row r="1125" spans="1:14" x14ac:dyDescent="0.25">
      <c r="A1125">
        <v>1469.45452</v>
      </c>
      <c r="B1125" s="1">
        <f>DATE(2014,5,9) + TIME(10,54,30)</f>
        <v>41768.454513888886</v>
      </c>
      <c r="C1125">
        <v>1379.9302978999999</v>
      </c>
      <c r="D1125">
        <v>1365.9172363</v>
      </c>
      <c r="E1125">
        <v>1292.574707</v>
      </c>
      <c r="F1125">
        <v>1273.4388428</v>
      </c>
      <c r="G1125">
        <v>2400</v>
      </c>
      <c r="H1125">
        <v>0</v>
      </c>
      <c r="I1125">
        <v>0</v>
      </c>
      <c r="J1125">
        <v>2400</v>
      </c>
      <c r="K1125">
        <v>80</v>
      </c>
      <c r="L1125">
        <v>79.975044249999996</v>
      </c>
      <c r="M1125">
        <v>50</v>
      </c>
      <c r="N1125">
        <v>49.825805664000001</v>
      </c>
    </row>
    <row r="1126" spans="1:14" x14ac:dyDescent="0.25">
      <c r="A1126">
        <v>1469.891177</v>
      </c>
      <c r="B1126" s="1">
        <f>DATE(2014,5,9) + TIME(21,23,17)</f>
        <v>41768.891168981485</v>
      </c>
      <c r="C1126">
        <v>1379.8841553</v>
      </c>
      <c r="D1126">
        <v>1365.8818358999999</v>
      </c>
      <c r="E1126">
        <v>1292.5739745999999</v>
      </c>
      <c r="F1126">
        <v>1273.4373779</v>
      </c>
      <c r="G1126">
        <v>2400</v>
      </c>
      <c r="H1126">
        <v>0</v>
      </c>
      <c r="I1126">
        <v>0</v>
      </c>
      <c r="J1126">
        <v>2400</v>
      </c>
      <c r="K1126">
        <v>80</v>
      </c>
      <c r="L1126">
        <v>79.975334167</v>
      </c>
      <c r="M1126">
        <v>50</v>
      </c>
      <c r="N1126">
        <v>49.818592072000001</v>
      </c>
    </row>
    <row r="1127" spans="1:14" x14ac:dyDescent="0.25">
      <c r="A1127">
        <v>1470.3509220000001</v>
      </c>
      <c r="B1127" s="1">
        <f>DATE(2014,5,10) + TIME(8,25,19)</f>
        <v>41769.350914351853</v>
      </c>
      <c r="C1127">
        <v>1379.8378906</v>
      </c>
      <c r="D1127">
        <v>1365.8463135</v>
      </c>
      <c r="E1127">
        <v>1292.5731201000001</v>
      </c>
      <c r="F1127">
        <v>1273.4357910000001</v>
      </c>
      <c r="G1127">
        <v>2400</v>
      </c>
      <c r="H1127">
        <v>0</v>
      </c>
      <c r="I1127">
        <v>0</v>
      </c>
      <c r="J1127">
        <v>2400</v>
      </c>
      <c r="K1127">
        <v>80</v>
      </c>
      <c r="L1127">
        <v>79.975540160999998</v>
      </c>
      <c r="M1127">
        <v>50</v>
      </c>
      <c r="N1127">
        <v>49.811080933</v>
      </c>
    </row>
    <row r="1128" spans="1:14" x14ac:dyDescent="0.25">
      <c r="A1128">
        <v>1470.8380560000001</v>
      </c>
      <c r="B1128" s="1">
        <f>DATE(2014,5,10) + TIME(20,6,48)</f>
        <v>41769.838055555556</v>
      </c>
      <c r="C1128">
        <v>1379.7911377</v>
      </c>
      <c r="D1128">
        <v>1365.8105469</v>
      </c>
      <c r="E1128">
        <v>1292.5721435999999</v>
      </c>
      <c r="F1128">
        <v>1273.4342041</v>
      </c>
      <c r="G1128">
        <v>2400</v>
      </c>
      <c r="H1128">
        <v>0</v>
      </c>
      <c r="I1128">
        <v>0</v>
      </c>
      <c r="J1128">
        <v>2400</v>
      </c>
      <c r="K1128">
        <v>80</v>
      </c>
      <c r="L1128">
        <v>79.975692749000004</v>
      </c>
      <c r="M1128">
        <v>50</v>
      </c>
      <c r="N1128">
        <v>49.803207397000001</v>
      </c>
    </row>
    <row r="1129" spans="1:14" x14ac:dyDescent="0.25">
      <c r="A1129">
        <v>1471.357843</v>
      </c>
      <c r="B1129" s="1">
        <f>DATE(2014,5,11) + TIME(8,35,17)</f>
        <v>41770.357835648145</v>
      </c>
      <c r="C1129">
        <v>1379.7436522999999</v>
      </c>
      <c r="D1129">
        <v>1365.7742920000001</v>
      </c>
      <c r="E1129">
        <v>1292.5712891000001</v>
      </c>
      <c r="F1129">
        <v>1273.4324951000001</v>
      </c>
      <c r="G1129">
        <v>2400</v>
      </c>
      <c r="H1129">
        <v>0</v>
      </c>
      <c r="I1129">
        <v>0</v>
      </c>
      <c r="J1129">
        <v>2400</v>
      </c>
      <c r="K1129">
        <v>80</v>
      </c>
      <c r="L1129">
        <v>79.975807189999998</v>
      </c>
      <c r="M1129">
        <v>50</v>
      </c>
      <c r="N1129">
        <v>49.794910430999998</v>
      </c>
    </row>
    <row r="1130" spans="1:14" x14ac:dyDescent="0.25">
      <c r="A1130">
        <v>1471.896375</v>
      </c>
      <c r="B1130" s="1">
        <f>DATE(2014,5,11) + TIME(21,30,46)</f>
        <v>41770.896365740744</v>
      </c>
      <c r="C1130">
        <v>1379.6949463000001</v>
      </c>
      <c r="D1130">
        <v>1365.7371826000001</v>
      </c>
      <c r="E1130">
        <v>1292.5701904</v>
      </c>
      <c r="F1130">
        <v>1273.4307861</v>
      </c>
      <c r="G1130">
        <v>2400</v>
      </c>
      <c r="H1130">
        <v>0</v>
      </c>
      <c r="I1130">
        <v>0</v>
      </c>
      <c r="J1130">
        <v>2400</v>
      </c>
      <c r="K1130">
        <v>80</v>
      </c>
      <c r="L1130">
        <v>79.975891113000003</v>
      </c>
      <c r="M1130">
        <v>50</v>
      </c>
      <c r="N1130">
        <v>49.786304473999998</v>
      </c>
    </row>
    <row r="1131" spans="1:14" x14ac:dyDescent="0.25">
      <c r="A1131">
        <v>1472.4402480000001</v>
      </c>
      <c r="B1131" s="1">
        <f>DATE(2014,5,12) + TIME(10,33,57)</f>
        <v>41771.440243055556</v>
      </c>
      <c r="C1131">
        <v>1379.6466064000001</v>
      </c>
      <c r="D1131">
        <v>1365.7003173999999</v>
      </c>
      <c r="E1131">
        <v>1292.5690918</v>
      </c>
      <c r="F1131">
        <v>1273.4288329999999</v>
      </c>
      <c r="G1131">
        <v>2400</v>
      </c>
      <c r="H1131">
        <v>0</v>
      </c>
      <c r="I1131">
        <v>0</v>
      </c>
      <c r="J1131">
        <v>2400</v>
      </c>
      <c r="K1131">
        <v>80</v>
      </c>
      <c r="L1131">
        <v>79.975944518999995</v>
      </c>
      <c r="M1131">
        <v>50</v>
      </c>
      <c r="N1131">
        <v>49.777542113999999</v>
      </c>
    </row>
    <row r="1132" spans="1:14" x14ac:dyDescent="0.25">
      <c r="A1132">
        <v>1472.993273</v>
      </c>
      <c r="B1132" s="1">
        <f>DATE(2014,5,12) + TIME(23,50,18)</f>
        <v>41771.993263888886</v>
      </c>
      <c r="C1132">
        <v>1379.5997314000001</v>
      </c>
      <c r="D1132">
        <v>1365.6647949000001</v>
      </c>
      <c r="E1132">
        <v>1292.5679932</v>
      </c>
      <c r="F1132">
        <v>1273.4270019999999</v>
      </c>
      <c r="G1132">
        <v>2400</v>
      </c>
      <c r="H1132">
        <v>0</v>
      </c>
      <c r="I1132">
        <v>0</v>
      </c>
      <c r="J1132">
        <v>2400</v>
      </c>
      <c r="K1132">
        <v>80</v>
      </c>
      <c r="L1132">
        <v>79.975990295000003</v>
      </c>
      <c r="M1132">
        <v>50</v>
      </c>
      <c r="N1132">
        <v>49.768630981000001</v>
      </c>
    </row>
    <row r="1133" spans="1:14" x14ac:dyDescent="0.25">
      <c r="A1133">
        <v>1473.5591649999999</v>
      </c>
      <c r="B1133" s="1">
        <f>DATE(2014,5,13) + TIME(13,25,11)</f>
        <v>41772.559155092589</v>
      </c>
      <c r="C1133">
        <v>1379.5539550999999</v>
      </c>
      <c r="D1133">
        <v>1365.6300048999999</v>
      </c>
      <c r="E1133">
        <v>1292.5668945</v>
      </c>
      <c r="F1133">
        <v>1273.4250488</v>
      </c>
      <c r="G1133">
        <v>2400</v>
      </c>
      <c r="H1133">
        <v>0</v>
      </c>
      <c r="I1133">
        <v>0</v>
      </c>
      <c r="J1133">
        <v>2400</v>
      </c>
      <c r="K1133">
        <v>80</v>
      </c>
      <c r="L1133">
        <v>79.976020813000005</v>
      </c>
      <c r="M1133">
        <v>50</v>
      </c>
      <c r="N1133">
        <v>49.759559631000002</v>
      </c>
    </row>
    <row r="1134" spans="1:14" x14ac:dyDescent="0.25">
      <c r="A1134">
        <v>1474.1417349999999</v>
      </c>
      <c r="B1134" s="1">
        <f>DATE(2014,5,14) + TIME(3,24,5)</f>
        <v>41773.141724537039</v>
      </c>
      <c r="C1134">
        <v>1379.5087891000001</v>
      </c>
      <c r="D1134">
        <v>1365.5958252</v>
      </c>
      <c r="E1134">
        <v>1292.5657959</v>
      </c>
      <c r="F1134">
        <v>1273.4230957</v>
      </c>
      <c r="G1134">
        <v>2400</v>
      </c>
      <c r="H1134">
        <v>0</v>
      </c>
      <c r="I1134">
        <v>0</v>
      </c>
      <c r="J1134">
        <v>2400</v>
      </c>
      <c r="K1134">
        <v>80</v>
      </c>
      <c r="L1134">
        <v>79.976036071999999</v>
      </c>
      <c r="M1134">
        <v>50</v>
      </c>
      <c r="N1134">
        <v>49.750297545999999</v>
      </c>
    </row>
    <row r="1135" spans="1:14" x14ac:dyDescent="0.25">
      <c r="A1135">
        <v>1474.745019</v>
      </c>
      <c r="B1135" s="1">
        <f>DATE(2014,5,14) + TIME(17,52,49)</f>
        <v>41773.745011574072</v>
      </c>
      <c r="C1135">
        <v>1379.4641113</v>
      </c>
      <c r="D1135">
        <v>1365.5620117000001</v>
      </c>
      <c r="E1135">
        <v>1292.5646973</v>
      </c>
      <c r="F1135">
        <v>1273.4210204999999</v>
      </c>
      <c r="G1135">
        <v>2400</v>
      </c>
      <c r="H1135">
        <v>0</v>
      </c>
      <c r="I1135">
        <v>0</v>
      </c>
      <c r="J1135">
        <v>2400</v>
      </c>
      <c r="K1135">
        <v>80</v>
      </c>
      <c r="L1135">
        <v>79.976051330999994</v>
      </c>
      <c r="M1135">
        <v>50</v>
      </c>
      <c r="N1135">
        <v>49.740795134999999</v>
      </c>
    </row>
    <row r="1136" spans="1:14" x14ac:dyDescent="0.25">
      <c r="A1136">
        <v>1475.36852</v>
      </c>
      <c r="B1136" s="1">
        <f>DATE(2014,5,15) + TIME(8,50,40)</f>
        <v>41774.368518518517</v>
      </c>
      <c r="C1136">
        <v>1379.4194336</v>
      </c>
      <c r="D1136">
        <v>1365.5283202999999</v>
      </c>
      <c r="E1136">
        <v>1292.5634766000001</v>
      </c>
      <c r="F1136">
        <v>1273.4189452999999</v>
      </c>
      <c r="G1136">
        <v>2400</v>
      </c>
      <c r="H1136">
        <v>0</v>
      </c>
      <c r="I1136">
        <v>0</v>
      </c>
      <c r="J1136">
        <v>2400</v>
      </c>
      <c r="K1136">
        <v>80</v>
      </c>
      <c r="L1136">
        <v>79.976058960000003</v>
      </c>
      <c r="M1136">
        <v>50</v>
      </c>
      <c r="N1136">
        <v>49.731052398999999</v>
      </c>
    </row>
    <row r="1137" spans="1:14" x14ac:dyDescent="0.25">
      <c r="A1137">
        <v>1476.0108869999999</v>
      </c>
      <c r="B1137" s="1">
        <f>DATE(2014,5,16) + TIME(0,15,40)</f>
        <v>41775.010879629626</v>
      </c>
      <c r="C1137">
        <v>1379.3748779</v>
      </c>
      <c r="D1137">
        <v>1365.4946289</v>
      </c>
      <c r="E1137">
        <v>1292.5622559000001</v>
      </c>
      <c r="F1137">
        <v>1273.4167480000001</v>
      </c>
      <c r="G1137">
        <v>2400</v>
      </c>
      <c r="H1137">
        <v>0</v>
      </c>
      <c r="I1137">
        <v>0</v>
      </c>
      <c r="J1137">
        <v>2400</v>
      </c>
      <c r="K1137">
        <v>80</v>
      </c>
      <c r="L1137">
        <v>79.976066588999998</v>
      </c>
      <c r="M1137">
        <v>50</v>
      </c>
      <c r="N1137">
        <v>49.721069335999999</v>
      </c>
    </row>
    <row r="1138" spans="1:14" x14ac:dyDescent="0.25">
      <c r="A1138">
        <v>1476.6763570000001</v>
      </c>
      <c r="B1138" s="1">
        <f>DATE(2014,5,16) + TIME(16,13,57)</f>
        <v>41775.676354166666</v>
      </c>
      <c r="C1138">
        <v>1379.3306885</v>
      </c>
      <c r="D1138">
        <v>1365.4613036999999</v>
      </c>
      <c r="E1138">
        <v>1292.5610352000001</v>
      </c>
      <c r="F1138">
        <v>1273.4144286999999</v>
      </c>
      <c r="G1138">
        <v>2400</v>
      </c>
      <c r="H1138">
        <v>0</v>
      </c>
      <c r="I1138">
        <v>0</v>
      </c>
      <c r="J1138">
        <v>2400</v>
      </c>
      <c r="K1138">
        <v>80</v>
      </c>
      <c r="L1138">
        <v>79.976066588999998</v>
      </c>
      <c r="M1138">
        <v>50</v>
      </c>
      <c r="N1138">
        <v>49.710819244</v>
      </c>
    </row>
    <row r="1139" spans="1:14" x14ac:dyDescent="0.25">
      <c r="A1139">
        <v>1477.369805</v>
      </c>
      <c r="B1139" s="1">
        <f>DATE(2014,5,17) + TIME(8,52,31)</f>
        <v>41776.369803240741</v>
      </c>
      <c r="C1139">
        <v>1379.2863769999999</v>
      </c>
      <c r="D1139">
        <v>1365.4279785000001</v>
      </c>
      <c r="E1139">
        <v>1292.5596923999999</v>
      </c>
      <c r="F1139">
        <v>1273.4121094</v>
      </c>
      <c r="G1139">
        <v>2400</v>
      </c>
      <c r="H1139">
        <v>0</v>
      </c>
      <c r="I1139">
        <v>0</v>
      </c>
      <c r="J1139">
        <v>2400</v>
      </c>
      <c r="K1139">
        <v>80</v>
      </c>
      <c r="L1139">
        <v>79.976066588999998</v>
      </c>
      <c r="M1139">
        <v>50</v>
      </c>
      <c r="N1139">
        <v>49.700248717999997</v>
      </c>
    </row>
    <row r="1140" spans="1:14" x14ac:dyDescent="0.25">
      <c r="A1140">
        <v>1478.0968150000001</v>
      </c>
      <c r="B1140" s="1">
        <f>DATE(2014,5,18) + TIME(2,19,24)</f>
        <v>41777.096805555557</v>
      </c>
      <c r="C1140">
        <v>1379.2418213000001</v>
      </c>
      <c r="D1140">
        <v>1365.3945312000001</v>
      </c>
      <c r="E1140">
        <v>1292.5583495999999</v>
      </c>
      <c r="F1140">
        <v>1273.409668</v>
      </c>
      <c r="G1140">
        <v>2400</v>
      </c>
      <c r="H1140">
        <v>0</v>
      </c>
      <c r="I1140">
        <v>0</v>
      </c>
      <c r="J1140">
        <v>2400</v>
      </c>
      <c r="K1140">
        <v>80</v>
      </c>
      <c r="L1140">
        <v>79.976066588999998</v>
      </c>
      <c r="M1140">
        <v>50</v>
      </c>
      <c r="N1140">
        <v>49.689292907999999</v>
      </c>
    </row>
    <row r="1141" spans="1:14" x14ac:dyDescent="0.25">
      <c r="A1141">
        <v>1478.8392550000001</v>
      </c>
      <c r="B1141" s="1">
        <f>DATE(2014,5,18) + TIME(20,8,31)</f>
        <v>41777.839247685188</v>
      </c>
      <c r="C1141">
        <v>1379.1966553</v>
      </c>
      <c r="D1141">
        <v>1365.3605957</v>
      </c>
      <c r="E1141">
        <v>1292.5568848</v>
      </c>
      <c r="F1141">
        <v>1273.4069824000001</v>
      </c>
      <c r="G1141">
        <v>2400</v>
      </c>
      <c r="H1141">
        <v>0</v>
      </c>
      <c r="I1141">
        <v>0</v>
      </c>
      <c r="J1141">
        <v>2400</v>
      </c>
      <c r="K1141">
        <v>80</v>
      </c>
      <c r="L1141">
        <v>79.976058960000003</v>
      </c>
      <c r="M1141">
        <v>50</v>
      </c>
      <c r="N1141">
        <v>49.678070067999997</v>
      </c>
    </row>
    <row r="1142" spans="1:14" x14ac:dyDescent="0.25">
      <c r="A1142">
        <v>1479.5930699999999</v>
      </c>
      <c r="B1142" s="1">
        <f>DATE(2014,5,19) + TIME(14,14,1)</f>
        <v>41778.59306712963</v>
      </c>
      <c r="C1142">
        <v>1379.1520995999999</v>
      </c>
      <c r="D1142">
        <v>1365.3271483999999</v>
      </c>
      <c r="E1142">
        <v>1292.5552978999999</v>
      </c>
      <c r="F1142">
        <v>1273.4044189000001</v>
      </c>
      <c r="G1142">
        <v>2400</v>
      </c>
      <c r="H1142">
        <v>0</v>
      </c>
      <c r="I1142">
        <v>0</v>
      </c>
      <c r="J1142">
        <v>2400</v>
      </c>
      <c r="K1142">
        <v>80</v>
      </c>
      <c r="L1142">
        <v>79.976058960000003</v>
      </c>
      <c r="M1142">
        <v>50</v>
      </c>
      <c r="N1142">
        <v>49.666667938000003</v>
      </c>
    </row>
    <row r="1143" spans="1:14" x14ac:dyDescent="0.25">
      <c r="A1143">
        <v>1480.363513</v>
      </c>
      <c r="B1143" s="1">
        <f>DATE(2014,5,20) + TIME(8,43,27)</f>
        <v>41779.363506944443</v>
      </c>
      <c r="C1143">
        <v>1379.1083983999999</v>
      </c>
      <c r="D1143">
        <v>1365.2943115</v>
      </c>
      <c r="E1143">
        <v>1292.5538329999999</v>
      </c>
      <c r="F1143">
        <v>1273.4017334</v>
      </c>
      <c r="G1143">
        <v>2400</v>
      </c>
      <c r="H1143">
        <v>0</v>
      </c>
      <c r="I1143">
        <v>0</v>
      </c>
      <c r="J1143">
        <v>2400</v>
      </c>
      <c r="K1143">
        <v>80</v>
      </c>
      <c r="L1143">
        <v>79.976051330999994</v>
      </c>
      <c r="M1143">
        <v>50</v>
      </c>
      <c r="N1143">
        <v>49.655078887999998</v>
      </c>
    </row>
    <row r="1144" spans="1:14" x14ac:dyDescent="0.25">
      <c r="A1144">
        <v>1481.155851</v>
      </c>
      <c r="B1144" s="1">
        <f>DATE(2014,5,21) + TIME(3,44,25)</f>
        <v>41780.155844907407</v>
      </c>
      <c r="C1144">
        <v>1379.0651855000001</v>
      </c>
      <c r="D1144">
        <v>1365.2619629000001</v>
      </c>
      <c r="E1144">
        <v>1292.5523682</v>
      </c>
      <c r="F1144">
        <v>1273.3989257999999</v>
      </c>
      <c r="G1144">
        <v>2400</v>
      </c>
      <c r="H1144">
        <v>0</v>
      </c>
      <c r="I1144">
        <v>0</v>
      </c>
      <c r="J1144">
        <v>2400</v>
      </c>
      <c r="K1144">
        <v>80</v>
      </c>
      <c r="L1144">
        <v>79.976051330999994</v>
      </c>
      <c r="M1144">
        <v>50</v>
      </c>
      <c r="N1144">
        <v>49.643272400000001</v>
      </c>
    </row>
    <row r="1145" spans="1:14" x14ac:dyDescent="0.25">
      <c r="A1145">
        <v>1481.9760450000001</v>
      </c>
      <c r="B1145" s="1">
        <f>DATE(2014,5,21) + TIME(23,25,30)</f>
        <v>41780.976041666669</v>
      </c>
      <c r="C1145">
        <v>1379.0220947</v>
      </c>
      <c r="D1145">
        <v>1365.2297363</v>
      </c>
      <c r="E1145">
        <v>1292.5507812000001</v>
      </c>
      <c r="F1145">
        <v>1273.3961182</v>
      </c>
      <c r="G1145">
        <v>2400</v>
      </c>
      <c r="H1145">
        <v>0</v>
      </c>
      <c r="I1145">
        <v>0</v>
      </c>
      <c r="J1145">
        <v>2400</v>
      </c>
      <c r="K1145">
        <v>80</v>
      </c>
      <c r="L1145">
        <v>79.976043700999995</v>
      </c>
      <c r="M1145">
        <v>50</v>
      </c>
      <c r="N1145">
        <v>49.631187439000001</v>
      </c>
    </row>
    <row r="1146" spans="1:14" x14ac:dyDescent="0.25">
      <c r="A1146">
        <v>1482.8307769999999</v>
      </c>
      <c r="B1146" s="1">
        <f>DATE(2014,5,22) + TIME(19,56,19)</f>
        <v>41781.830775462964</v>
      </c>
      <c r="C1146">
        <v>1378.9790039</v>
      </c>
      <c r="D1146">
        <v>1365.1973877</v>
      </c>
      <c r="E1146">
        <v>1292.5490723</v>
      </c>
      <c r="F1146">
        <v>1273.3930664</v>
      </c>
      <c r="G1146">
        <v>2400</v>
      </c>
      <c r="H1146">
        <v>0</v>
      </c>
      <c r="I1146">
        <v>0</v>
      </c>
      <c r="J1146">
        <v>2400</v>
      </c>
      <c r="K1146">
        <v>80</v>
      </c>
      <c r="L1146">
        <v>79.976043700999995</v>
      </c>
      <c r="M1146">
        <v>50</v>
      </c>
      <c r="N1146">
        <v>49.618755341000004</v>
      </c>
    </row>
    <row r="1147" spans="1:14" x14ac:dyDescent="0.25">
      <c r="A1147">
        <v>1483.712168</v>
      </c>
      <c r="B1147" s="1">
        <f>DATE(2014,5,23) + TIME(17,5,31)</f>
        <v>41782.712164351855</v>
      </c>
      <c r="C1147">
        <v>1378.9354248</v>
      </c>
      <c r="D1147">
        <v>1365.1646728999999</v>
      </c>
      <c r="E1147">
        <v>1292.5473632999999</v>
      </c>
      <c r="F1147">
        <v>1273.3900146000001</v>
      </c>
      <c r="G1147">
        <v>2400</v>
      </c>
      <c r="H1147">
        <v>0</v>
      </c>
      <c r="I1147">
        <v>0</v>
      </c>
      <c r="J1147">
        <v>2400</v>
      </c>
      <c r="K1147">
        <v>80</v>
      </c>
      <c r="L1147">
        <v>79.976036071999999</v>
      </c>
      <c r="M1147">
        <v>50</v>
      </c>
      <c r="N1147">
        <v>49.605995178000001</v>
      </c>
    </row>
    <row r="1148" spans="1:14" x14ac:dyDescent="0.25">
      <c r="A1148">
        <v>1484.618011</v>
      </c>
      <c r="B1148" s="1">
        <f>DATE(2014,5,24) + TIME(14,49,56)</f>
        <v>41783.618009259262</v>
      </c>
      <c r="C1148">
        <v>1378.8918457</v>
      </c>
      <c r="D1148">
        <v>1365.1320800999999</v>
      </c>
      <c r="E1148">
        <v>1292.5455322</v>
      </c>
      <c r="F1148">
        <v>1273.3868408000001</v>
      </c>
      <c r="G1148">
        <v>2400</v>
      </c>
      <c r="H1148">
        <v>0</v>
      </c>
      <c r="I1148">
        <v>0</v>
      </c>
      <c r="J1148">
        <v>2400</v>
      </c>
      <c r="K1148">
        <v>80</v>
      </c>
      <c r="L1148">
        <v>79.976036071999999</v>
      </c>
      <c r="M1148">
        <v>50</v>
      </c>
      <c r="N1148">
        <v>49.592937468999999</v>
      </c>
    </row>
    <row r="1149" spans="1:14" x14ac:dyDescent="0.25">
      <c r="A1149">
        <v>1485.554365</v>
      </c>
      <c r="B1149" s="1">
        <f>DATE(2014,5,25) + TIME(13,18,17)</f>
        <v>41784.554363425923</v>
      </c>
      <c r="C1149">
        <v>1378.8483887</v>
      </c>
      <c r="D1149">
        <v>1365.0996094</v>
      </c>
      <c r="E1149">
        <v>1292.5437012</v>
      </c>
      <c r="F1149">
        <v>1273.3834228999999</v>
      </c>
      <c r="G1149">
        <v>2400</v>
      </c>
      <c r="H1149">
        <v>0</v>
      </c>
      <c r="I1149">
        <v>0</v>
      </c>
      <c r="J1149">
        <v>2400</v>
      </c>
      <c r="K1149">
        <v>80</v>
      </c>
      <c r="L1149">
        <v>79.976028442</v>
      </c>
      <c r="M1149">
        <v>50</v>
      </c>
      <c r="N1149">
        <v>49.579555511000002</v>
      </c>
    </row>
    <row r="1150" spans="1:14" x14ac:dyDescent="0.25">
      <c r="A1150">
        <v>1486.520516</v>
      </c>
      <c r="B1150" s="1">
        <f>DATE(2014,5,26) + TIME(12,29,32)</f>
        <v>41785.520509259259</v>
      </c>
      <c r="C1150">
        <v>1378.8048096</v>
      </c>
      <c r="D1150">
        <v>1365.0671387</v>
      </c>
      <c r="E1150">
        <v>1292.5418701000001</v>
      </c>
      <c r="F1150">
        <v>1273.3800048999999</v>
      </c>
      <c r="G1150">
        <v>2400</v>
      </c>
      <c r="H1150">
        <v>0</v>
      </c>
      <c r="I1150">
        <v>0</v>
      </c>
      <c r="J1150">
        <v>2400</v>
      </c>
      <c r="K1150">
        <v>80</v>
      </c>
      <c r="L1150">
        <v>79.976028442</v>
      </c>
      <c r="M1150">
        <v>50</v>
      </c>
      <c r="N1150">
        <v>49.565849303999997</v>
      </c>
    </row>
    <row r="1151" spans="1:14" x14ac:dyDescent="0.25">
      <c r="A1151">
        <v>1487.5078570000001</v>
      </c>
      <c r="B1151" s="1">
        <f>DATE(2014,5,27) + TIME(12,11,18)</f>
        <v>41786.507847222223</v>
      </c>
      <c r="C1151">
        <v>1378.7613524999999</v>
      </c>
      <c r="D1151">
        <v>1365.0345459</v>
      </c>
      <c r="E1151">
        <v>1292.5399170000001</v>
      </c>
      <c r="F1151">
        <v>1273.3763428</v>
      </c>
      <c r="G1151">
        <v>2400</v>
      </c>
      <c r="H1151">
        <v>0</v>
      </c>
      <c r="I1151">
        <v>0</v>
      </c>
      <c r="J1151">
        <v>2400</v>
      </c>
      <c r="K1151">
        <v>80</v>
      </c>
      <c r="L1151">
        <v>79.976028442</v>
      </c>
      <c r="M1151">
        <v>50</v>
      </c>
      <c r="N1151">
        <v>49.551872252999999</v>
      </c>
    </row>
    <row r="1152" spans="1:14" x14ac:dyDescent="0.25">
      <c r="A1152">
        <v>1488.5185240000001</v>
      </c>
      <c r="B1152" s="1">
        <f>DATE(2014,5,28) + TIME(12,26,40)</f>
        <v>41787.518518518518</v>
      </c>
      <c r="C1152">
        <v>1378.7181396000001</v>
      </c>
      <c r="D1152">
        <v>1365.0021973</v>
      </c>
      <c r="E1152">
        <v>1292.5378418</v>
      </c>
      <c r="F1152">
        <v>1273.3726807</v>
      </c>
      <c r="G1152">
        <v>2400</v>
      </c>
      <c r="H1152">
        <v>0</v>
      </c>
      <c r="I1152">
        <v>0</v>
      </c>
      <c r="J1152">
        <v>2400</v>
      </c>
      <c r="K1152">
        <v>80</v>
      </c>
      <c r="L1152">
        <v>79.976020813000005</v>
      </c>
      <c r="M1152">
        <v>50</v>
      </c>
      <c r="N1152">
        <v>49.537651062000002</v>
      </c>
    </row>
    <row r="1153" spans="1:14" x14ac:dyDescent="0.25">
      <c r="A1153">
        <v>1489.5565369999999</v>
      </c>
      <c r="B1153" s="1">
        <f>DATE(2014,5,29) + TIME(13,21,24)</f>
        <v>41788.556527777779</v>
      </c>
      <c r="C1153">
        <v>1378.6751709</v>
      </c>
      <c r="D1153">
        <v>1364.9700928</v>
      </c>
      <c r="E1153">
        <v>1292.5357666</v>
      </c>
      <c r="F1153">
        <v>1273.3688964999999</v>
      </c>
      <c r="G1153">
        <v>2400</v>
      </c>
      <c r="H1153">
        <v>0</v>
      </c>
      <c r="I1153">
        <v>0</v>
      </c>
      <c r="J1153">
        <v>2400</v>
      </c>
      <c r="K1153">
        <v>80</v>
      </c>
      <c r="L1153">
        <v>79.976020813000005</v>
      </c>
      <c r="M1153">
        <v>50</v>
      </c>
      <c r="N1153">
        <v>49.523170471</v>
      </c>
    </row>
    <row r="1154" spans="1:14" x14ac:dyDescent="0.25">
      <c r="A1154">
        <v>1490.626765</v>
      </c>
      <c r="B1154" s="1">
        <f>DATE(2014,5,30) + TIME(15,2,32)</f>
        <v>41789.626759259256</v>
      </c>
      <c r="C1154">
        <v>1378.6324463000001</v>
      </c>
      <c r="D1154">
        <v>1364.9381103999999</v>
      </c>
      <c r="E1154">
        <v>1292.5335693</v>
      </c>
      <c r="F1154">
        <v>1273.3648682</v>
      </c>
      <c r="G1154">
        <v>2400</v>
      </c>
      <c r="H1154">
        <v>0</v>
      </c>
      <c r="I1154">
        <v>0</v>
      </c>
      <c r="J1154">
        <v>2400</v>
      </c>
      <c r="K1154">
        <v>80</v>
      </c>
      <c r="L1154">
        <v>79.976020813000005</v>
      </c>
      <c r="M1154">
        <v>50</v>
      </c>
      <c r="N1154">
        <v>49.508396148999999</v>
      </c>
    </row>
    <row r="1155" spans="1:14" x14ac:dyDescent="0.25">
      <c r="A1155">
        <v>1491.7324209999999</v>
      </c>
      <c r="B1155" s="1">
        <f>DATE(2014,5,31) + TIME(17,34,41)</f>
        <v>41790.732418981483</v>
      </c>
      <c r="C1155">
        <v>1378.5894774999999</v>
      </c>
      <c r="D1155">
        <v>1364.9060059000001</v>
      </c>
      <c r="E1155">
        <v>1292.5313721</v>
      </c>
      <c r="F1155">
        <v>1273.3607178</v>
      </c>
      <c r="G1155">
        <v>2400</v>
      </c>
      <c r="H1155">
        <v>0</v>
      </c>
      <c r="I1155">
        <v>0</v>
      </c>
      <c r="J1155">
        <v>2400</v>
      </c>
      <c r="K1155">
        <v>80</v>
      </c>
      <c r="L1155">
        <v>79.976020813000005</v>
      </c>
      <c r="M1155">
        <v>50</v>
      </c>
      <c r="N1155">
        <v>49.493282317999999</v>
      </c>
    </row>
    <row r="1156" spans="1:14" x14ac:dyDescent="0.25">
      <c r="A1156">
        <v>1492</v>
      </c>
      <c r="B1156" s="1">
        <f>DATE(2014,6,1) + TIME(0,0,0)</f>
        <v>41791</v>
      </c>
      <c r="C1156">
        <v>1378.5467529</v>
      </c>
      <c r="D1156">
        <v>1364.8740233999999</v>
      </c>
      <c r="E1156">
        <v>1292.5280762</v>
      </c>
      <c r="F1156">
        <v>1273.3571777</v>
      </c>
      <c r="G1156">
        <v>2400</v>
      </c>
      <c r="H1156">
        <v>0</v>
      </c>
      <c r="I1156">
        <v>0</v>
      </c>
      <c r="J1156">
        <v>2400</v>
      </c>
      <c r="K1156">
        <v>80</v>
      </c>
      <c r="L1156">
        <v>79.976013183999996</v>
      </c>
      <c r="M1156">
        <v>50</v>
      </c>
      <c r="N1156">
        <v>49.486797332999998</v>
      </c>
    </row>
    <row r="1157" spans="1:14" x14ac:dyDescent="0.25">
      <c r="A1157">
        <v>1493.130089</v>
      </c>
      <c r="B1157" s="1">
        <f>DATE(2014,6,2) + TIME(3,7,19)</f>
        <v>41792.13008101852</v>
      </c>
      <c r="C1157">
        <v>1378.5362548999999</v>
      </c>
      <c r="D1157">
        <v>1364.8660889</v>
      </c>
      <c r="E1157">
        <v>1292.5284423999999</v>
      </c>
      <c r="F1157">
        <v>1273.3552245999999</v>
      </c>
      <c r="G1157">
        <v>2400</v>
      </c>
      <c r="H1157">
        <v>0</v>
      </c>
      <c r="I1157">
        <v>0</v>
      </c>
      <c r="J1157">
        <v>2400</v>
      </c>
      <c r="K1157">
        <v>80</v>
      </c>
      <c r="L1157">
        <v>79.976020813000005</v>
      </c>
      <c r="M1157">
        <v>50</v>
      </c>
      <c r="N1157">
        <v>49.472984314000001</v>
      </c>
    </row>
    <row r="1158" spans="1:14" x14ac:dyDescent="0.25">
      <c r="A1158">
        <v>1494.2955629999999</v>
      </c>
      <c r="B1158" s="1">
        <f>DATE(2014,6,3) + TIME(7,5,36)</f>
        <v>41793.295555555553</v>
      </c>
      <c r="C1158">
        <v>1378.4937743999999</v>
      </c>
      <c r="D1158">
        <v>1364.8343506000001</v>
      </c>
      <c r="E1158">
        <v>1292.526001</v>
      </c>
      <c r="F1158">
        <v>1273.3508300999999</v>
      </c>
      <c r="G1158">
        <v>2400</v>
      </c>
      <c r="H1158">
        <v>0</v>
      </c>
      <c r="I1158">
        <v>0</v>
      </c>
      <c r="J1158">
        <v>2400</v>
      </c>
      <c r="K1158">
        <v>80</v>
      </c>
      <c r="L1158">
        <v>79.976020813000005</v>
      </c>
      <c r="M1158">
        <v>50</v>
      </c>
      <c r="N1158">
        <v>49.457965850999997</v>
      </c>
    </row>
    <row r="1159" spans="1:14" x14ac:dyDescent="0.25">
      <c r="A1159">
        <v>1495.4752739999999</v>
      </c>
      <c r="B1159" s="1">
        <f>DATE(2014,6,4) + TIME(11,24,23)</f>
        <v>41794.475266203706</v>
      </c>
      <c r="C1159">
        <v>1378.4511719</v>
      </c>
      <c r="D1159">
        <v>1364.8024902</v>
      </c>
      <c r="E1159">
        <v>1292.5234375</v>
      </c>
      <c r="F1159">
        <v>1273.3460693</v>
      </c>
      <c r="G1159">
        <v>2400</v>
      </c>
      <c r="H1159">
        <v>0</v>
      </c>
      <c r="I1159">
        <v>0</v>
      </c>
      <c r="J1159">
        <v>2400</v>
      </c>
      <c r="K1159">
        <v>80</v>
      </c>
      <c r="L1159">
        <v>79.976020813000005</v>
      </c>
      <c r="M1159">
        <v>50</v>
      </c>
      <c r="N1159">
        <v>49.442340850999997</v>
      </c>
    </row>
    <row r="1160" spans="1:14" x14ac:dyDescent="0.25">
      <c r="A1160">
        <v>1496.677598</v>
      </c>
      <c r="B1160" s="1">
        <f>DATE(2014,6,5) + TIME(16,15,44)</f>
        <v>41795.67759259259</v>
      </c>
      <c r="C1160">
        <v>1378.4091797000001</v>
      </c>
      <c r="D1160">
        <v>1364.7709961</v>
      </c>
      <c r="E1160">
        <v>1292.520874</v>
      </c>
      <c r="F1160">
        <v>1273.3413086</v>
      </c>
      <c r="G1160">
        <v>2400</v>
      </c>
      <c r="H1160">
        <v>0</v>
      </c>
      <c r="I1160">
        <v>0</v>
      </c>
      <c r="J1160">
        <v>2400</v>
      </c>
      <c r="K1160">
        <v>80</v>
      </c>
      <c r="L1160">
        <v>79.976020813000005</v>
      </c>
      <c r="M1160">
        <v>50</v>
      </c>
      <c r="N1160">
        <v>49.426368713000002</v>
      </c>
    </row>
    <row r="1161" spans="1:14" x14ac:dyDescent="0.25">
      <c r="A1161">
        <v>1497.9112230000001</v>
      </c>
      <c r="B1161" s="1">
        <f>DATE(2014,6,6) + TIME(21,52,9)</f>
        <v>41796.911215277774</v>
      </c>
      <c r="C1161">
        <v>1378.3675536999999</v>
      </c>
      <c r="D1161">
        <v>1364.7397461</v>
      </c>
      <c r="E1161">
        <v>1292.5181885</v>
      </c>
      <c r="F1161">
        <v>1273.3363036999999</v>
      </c>
      <c r="G1161">
        <v>2400</v>
      </c>
      <c r="H1161">
        <v>0</v>
      </c>
      <c r="I1161">
        <v>0</v>
      </c>
      <c r="J1161">
        <v>2400</v>
      </c>
      <c r="K1161">
        <v>80</v>
      </c>
      <c r="L1161">
        <v>79.976028442</v>
      </c>
      <c r="M1161">
        <v>50</v>
      </c>
      <c r="N1161">
        <v>49.410102844000001</v>
      </c>
    </row>
    <row r="1162" spans="1:14" x14ac:dyDescent="0.25">
      <c r="A1162">
        <v>1499.1856399999999</v>
      </c>
      <c r="B1162" s="1">
        <f>DATE(2014,6,8) + TIME(4,27,19)</f>
        <v>41798.185636574075</v>
      </c>
      <c r="C1162">
        <v>1378.3259277</v>
      </c>
      <c r="D1162">
        <v>1364.7084961</v>
      </c>
      <c r="E1162">
        <v>1292.5153809000001</v>
      </c>
      <c r="F1162">
        <v>1273.3310547000001</v>
      </c>
      <c r="G1162">
        <v>2400</v>
      </c>
      <c r="H1162">
        <v>0</v>
      </c>
      <c r="I1162">
        <v>0</v>
      </c>
      <c r="J1162">
        <v>2400</v>
      </c>
      <c r="K1162">
        <v>80</v>
      </c>
      <c r="L1162">
        <v>79.976028442</v>
      </c>
      <c r="M1162">
        <v>50</v>
      </c>
      <c r="N1162">
        <v>49.393493651999997</v>
      </c>
    </row>
    <row r="1163" spans="1:14" x14ac:dyDescent="0.25">
      <c r="A1163">
        <v>1500.5068610000001</v>
      </c>
      <c r="B1163" s="1">
        <f>DATE(2014,6,9) + TIME(12,9,52)</f>
        <v>41799.506851851853</v>
      </c>
      <c r="C1163">
        <v>1378.2840576000001</v>
      </c>
      <c r="D1163">
        <v>1364.677124</v>
      </c>
      <c r="E1163">
        <v>1292.5124512</v>
      </c>
      <c r="F1163">
        <v>1273.3254394999999</v>
      </c>
      <c r="G1163">
        <v>2400</v>
      </c>
      <c r="H1163">
        <v>0</v>
      </c>
      <c r="I1163">
        <v>0</v>
      </c>
      <c r="J1163">
        <v>2400</v>
      </c>
      <c r="K1163">
        <v>80</v>
      </c>
      <c r="L1163">
        <v>79.976036071999999</v>
      </c>
      <c r="M1163">
        <v>50</v>
      </c>
      <c r="N1163">
        <v>49.376472473</v>
      </c>
    </row>
    <row r="1164" spans="1:14" x14ac:dyDescent="0.25">
      <c r="A1164">
        <v>1501.8726670000001</v>
      </c>
      <c r="B1164" s="1">
        <f>DATE(2014,6,10) + TIME(20,56,38)</f>
        <v>41800.872662037036</v>
      </c>
      <c r="C1164">
        <v>1378.2418213000001</v>
      </c>
      <c r="D1164">
        <v>1364.6452637</v>
      </c>
      <c r="E1164">
        <v>1292.5093993999999</v>
      </c>
      <c r="F1164">
        <v>1273.3197021000001</v>
      </c>
      <c r="G1164">
        <v>2400</v>
      </c>
      <c r="H1164">
        <v>0</v>
      </c>
      <c r="I1164">
        <v>0</v>
      </c>
      <c r="J1164">
        <v>2400</v>
      </c>
      <c r="K1164">
        <v>80</v>
      </c>
      <c r="L1164">
        <v>79.976036071999999</v>
      </c>
      <c r="M1164">
        <v>50</v>
      </c>
      <c r="N1164">
        <v>49.359016418000003</v>
      </c>
    </row>
    <row r="1165" spans="1:14" x14ac:dyDescent="0.25">
      <c r="A1165">
        <v>1503.265226</v>
      </c>
      <c r="B1165" s="1">
        <f>DATE(2014,6,12) + TIME(6,21,55)</f>
        <v>41802.265219907407</v>
      </c>
      <c r="C1165">
        <v>1378.1992187999999</v>
      </c>
      <c r="D1165">
        <v>1364.6132812000001</v>
      </c>
      <c r="E1165">
        <v>1292.5062256000001</v>
      </c>
      <c r="F1165">
        <v>1273.3134766000001</v>
      </c>
      <c r="G1165">
        <v>2400</v>
      </c>
      <c r="H1165">
        <v>0</v>
      </c>
      <c r="I1165">
        <v>0</v>
      </c>
      <c r="J1165">
        <v>2400</v>
      </c>
      <c r="K1165">
        <v>80</v>
      </c>
      <c r="L1165">
        <v>79.976043700999995</v>
      </c>
      <c r="M1165">
        <v>50</v>
      </c>
      <c r="N1165">
        <v>49.341213226000001</v>
      </c>
    </row>
    <row r="1166" spans="1:14" x14ac:dyDescent="0.25">
      <c r="A1166">
        <v>1504.668592</v>
      </c>
      <c r="B1166" s="1">
        <f>DATE(2014,6,13) + TIME(16,2,46)</f>
        <v>41803.668587962966</v>
      </c>
      <c r="C1166">
        <v>1378.1568603999999</v>
      </c>
      <c r="D1166">
        <v>1364.5814209</v>
      </c>
      <c r="E1166">
        <v>1292.5028076000001</v>
      </c>
      <c r="F1166">
        <v>1273.3071289</v>
      </c>
      <c r="G1166">
        <v>2400</v>
      </c>
      <c r="H1166">
        <v>0</v>
      </c>
      <c r="I1166">
        <v>0</v>
      </c>
      <c r="J1166">
        <v>2400</v>
      </c>
      <c r="K1166">
        <v>80</v>
      </c>
      <c r="L1166">
        <v>79.976043700999995</v>
      </c>
      <c r="M1166">
        <v>50</v>
      </c>
      <c r="N1166">
        <v>49.323226929</v>
      </c>
    </row>
    <row r="1167" spans="1:14" x14ac:dyDescent="0.25">
      <c r="A1167">
        <v>1506.0927859999999</v>
      </c>
      <c r="B1167" s="1">
        <f>DATE(2014,6,15) + TIME(2,13,36)</f>
        <v>41805.092777777776</v>
      </c>
      <c r="C1167">
        <v>1378.1153564000001</v>
      </c>
      <c r="D1167">
        <v>1364.5500488</v>
      </c>
      <c r="E1167">
        <v>1292.4992675999999</v>
      </c>
      <c r="F1167">
        <v>1273.3004149999999</v>
      </c>
      <c r="G1167">
        <v>2400</v>
      </c>
      <c r="H1167">
        <v>0</v>
      </c>
      <c r="I1167">
        <v>0</v>
      </c>
      <c r="J1167">
        <v>2400</v>
      </c>
      <c r="K1167">
        <v>80</v>
      </c>
      <c r="L1167">
        <v>79.976051330999994</v>
      </c>
      <c r="M1167">
        <v>50</v>
      </c>
      <c r="N1167">
        <v>49.305130005000002</v>
      </c>
    </row>
    <row r="1168" spans="1:14" x14ac:dyDescent="0.25">
      <c r="A1168">
        <v>1507.5477310000001</v>
      </c>
      <c r="B1168" s="1">
        <f>DATE(2014,6,16) + TIME(13,8,43)</f>
        <v>41806.547719907408</v>
      </c>
      <c r="C1168">
        <v>1378.0742187999999</v>
      </c>
      <c r="D1168">
        <v>1364.519043</v>
      </c>
      <c r="E1168">
        <v>1292.4957274999999</v>
      </c>
      <c r="F1168">
        <v>1273.293457</v>
      </c>
      <c r="G1168">
        <v>2400</v>
      </c>
      <c r="H1168">
        <v>0</v>
      </c>
      <c r="I1168">
        <v>0</v>
      </c>
      <c r="J1168">
        <v>2400</v>
      </c>
      <c r="K1168">
        <v>80</v>
      </c>
      <c r="L1168">
        <v>79.976058960000003</v>
      </c>
      <c r="M1168">
        <v>50</v>
      </c>
      <c r="N1168">
        <v>49.286880492999998</v>
      </c>
    </row>
    <row r="1169" spans="1:14" x14ac:dyDescent="0.25">
      <c r="A1169">
        <v>1509.0444890000001</v>
      </c>
      <c r="B1169" s="1">
        <f>DATE(2014,6,18) + TIME(1,4,3)</f>
        <v>41808.044479166667</v>
      </c>
      <c r="C1169">
        <v>1378.0332031</v>
      </c>
      <c r="D1169">
        <v>1364.4880370999999</v>
      </c>
      <c r="E1169">
        <v>1292.4919434000001</v>
      </c>
      <c r="F1169">
        <v>1273.2862548999999</v>
      </c>
      <c r="G1169">
        <v>2400</v>
      </c>
      <c r="H1169">
        <v>0</v>
      </c>
      <c r="I1169">
        <v>0</v>
      </c>
      <c r="J1169">
        <v>2400</v>
      </c>
      <c r="K1169">
        <v>80</v>
      </c>
      <c r="L1169">
        <v>79.976066588999998</v>
      </c>
      <c r="M1169">
        <v>50</v>
      </c>
      <c r="N1169">
        <v>49.268379211000003</v>
      </c>
    </row>
    <row r="1170" spans="1:14" x14ac:dyDescent="0.25">
      <c r="A1170">
        <v>1510.5846489999999</v>
      </c>
      <c r="B1170" s="1">
        <f>DATE(2014,6,19) + TIME(14,1,53)</f>
        <v>41809.584641203706</v>
      </c>
      <c r="C1170">
        <v>1377.9920654</v>
      </c>
      <c r="D1170">
        <v>1364.4569091999999</v>
      </c>
      <c r="E1170">
        <v>1292.4880370999999</v>
      </c>
      <c r="F1170">
        <v>1273.2785644999999</v>
      </c>
      <c r="G1170">
        <v>2400</v>
      </c>
      <c r="H1170">
        <v>0</v>
      </c>
      <c r="I1170">
        <v>0</v>
      </c>
      <c r="J1170">
        <v>2400</v>
      </c>
      <c r="K1170">
        <v>80</v>
      </c>
      <c r="L1170">
        <v>79.976074218999997</v>
      </c>
      <c r="M1170">
        <v>50</v>
      </c>
      <c r="N1170">
        <v>49.249553679999998</v>
      </c>
    </row>
    <row r="1171" spans="1:14" x14ac:dyDescent="0.25">
      <c r="A1171">
        <v>1512.1773539999999</v>
      </c>
      <c r="B1171" s="1">
        <f>DATE(2014,6,21) + TIME(4,15,23)</f>
        <v>41811.177349537036</v>
      </c>
      <c r="C1171">
        <v>1377.9506836</v>
      </c>
      <c r="D1171">
        <v>1364.4255370999999</v>
      </c>
      <c r="E1171">
        <v>1292.4838867000001</v>
      </c>
      <c r="F1171">
        <v>1273.2703856999999</v>
      </c>
      <c r="G1171">
        <v>2400</v>
      </c>
      <c r="H1171">
        <v>0</v>
      </c>
      <c r="I1171">
        <v>0</v>
      </c>
      <c r="J1171">
        <v>2400</v>
      </c>
      <c r="K1171">
        <v>80</v>
      </c>
      <c r="L1171">
        <v>79.976081848000007</v>
      </c>
      <c r="M1171">
        <v>50</v>
      </c>
      <c r="N1171">
        <v>49.230342864999997</v>
      </c>
    </row>
    <row r="1172" spans="1:14" x14ac:dyDescent="0.25">
      <c r="A1172">
        <v>1513.8265200000001</v>
      </c>
      <c r="B1172" s="1">
        <f>DATE(2014,6,22) + TIME(19,50,11)</f>
        <v>41812.826516203706</v>
      </c>
      <c r="C1172">
        <v>1377.9088135</v>
      </c>
      <c r="D1172">
        <v>1364.3939209</v>
      </c>
      <c r="E1172">
        <v>1292.4794922000001</v>
      </c>
      <c r="F1172">
        <v>1273.2617187999999</v>
      </c>
      <c r="G1172">
        <v>2400</v>
      </c>
      <c r="H1172">
        <v>0</v>
      </c>
      <c r="I1172">
        <v>0</v>
      </c>
      <c r="J1172">
        <v>2400</v>
      </c>
      <c r="K1172">
        <v>80</v>
      </c>
      <c r="L1172">
        <v>79.976089478000006</v>
      </c>
      <c r="M1172">
        <v>50</v>
      </c>
      <c r="N1172">
        <v>49.210685730000002</v>
      </c>
    </row>
    <row r="1173" spans="1:14" x14ac:dyDescent="0.25">
      <c r="A1173">
        <v>1515.4790390000001</v>
      </c>
      <c r="B1173" s="1">
        <f>DATE(2014,6,24) + TIME(11,29,49)</f>
        <v>41814.479039351849</v>
      </c>
      <c r="C1173">
        <v>1377.8666992000001</v>
      </c>
      <c r="D1173">
        <v>1364.3618164</v>
      </c>
      <c r="E1173">
        <v>1292.4747314000001</v>
      </c>
      <c r="F1173">
        <v>1273.2525635</v>
      </c>
      <c r="G1173">
        <v>2400</v>
      </c>
      <c r="H1173">
        <v>0</v>
      </c>
      <c r="I1173">
        <v>0</v>
      </c>
      <c r="J1173">
        <v>2400</v>
      </c>
      <c r="K1173">
        <v>80</v>
      </c>
      <c r="L1173">
        <v>79.976097107000001</v>
      </c>
      <c r="M1173">
        <v>50</v>
      </c>
      <c r="N1173">
        <v>49.190776825</v>
      </c>
    </row>
    <row r="1174" spans="1:14" x14ac:dyDescent="0.25">
      <c r="A1174">
        <v>1517.14607</v>
      </c>
      <c r="B1174" s="1">
        <f>DATE(2014,6,26) + TIME(3,30,20)</f>
        <v>41816.146064814813</v>
      </c>
      <c r="C1174">
        <v>1377.8253173999999</v>
      </c>
      <c r="D1174">
        <v>1364.3303223</v>
      </c>
      <c r="E1174">
        <v>1292.4699707</v>
      </c>
      <c r="F1174">
        <v>1273.2430420000001</v>
      </c>
      <c r="G1174">
        <v>2400</v>
      </c>
      <c r="H1174">
        <v>0</v>
      </c>
      <c r="I1174">
        <v>0</v>
      </c>
      <c r="J1174">
        <v>2400</v>
      </c>
      <c r="K1174">
        <v>80</v>
      </c>
      <c r="L1174">
        <v>79.976104735999996</v>
      </c>
      <c r="M1174">
        <v>50</v>
      </c>
      <c r="N1174">
        <v>49.170852660999998</v>
      </c>
    </row>
    <row r="1175" spans="1:14" x14ac:dyDescent="0.25">
      <c r="A1175">
        <v>1518.838925</v>
      </c>
      <c r="B1175" s="1">
        <f>DATE(2014,6,27) + TIME(20,8,3)</f>
        <v>41817.838923611111</v>
      </c>
      <c r="C1175">
        <v>1377.784668</v>
      </c>
      <c r="D1175">
        <v>1364.2993164</v>
      </c>
      <c r="E1175">
        <v>1292.4648437999999</v>
      </c>
      <c r="F1175">
        <v>1273.2330322</v>
      </c>
      <c r="G1175">
        <v>2400</v>
      </c>
      <c r="H1175">
        <v>0</v>
      </c>
      <c r="I1175">
        <v>0</v>
      </c>
      <c r="J1175">
        <v>2400</v>
      </c>
      <c r="K1175">
        <v>80</v>
      </c>
      <c r="L1175">
        <v>79.976112365999995</v>
      </c>
      <c r="M1175">
        <v>50</v>
      </c>
      <c r="N1175">
        <v>49.150917053000001</v>
      </c>
    </row>
    <row r="1176" spans="1:14" x14ac:dyDescent="0.25">
      <c r="A1176">
        <v>1520.568818</v>
      </c>
      <c r="B1176" s="1">
        <f>DATE(2014,6,29) + TIME(13,39,5)</f>
        <v>41819.568807870368</v>
      </c>
      <c r="C1176">
        <v>1377.7441406</v>
      </c>
      <c r="D1176">
        <v>1364.2685547000001</v>
      </c>
      <c r="E1176">
        <v>1292.4597168</v>
      </c>
      <c r="F1176">
        <v>1273.2226562000001</v>
      </c>
      <c r="G1176">
        <v>2400</v>
      </c>
      <c r="H1176">
        <v>0</v>
      </c>
      <c r="I1176">
        <v>0</v>
      </c>
      <c r="J1176">
        <v>2400</v>
      </c>
      <c r="K1176">
        <v>80</v>
      </c>
      <c r="L1176">
        <v>79.976127625000004</v>
      </c>
      <c r="M1176">
        <v>50</v>
      </c>
      <c r="N1176">
        <v>49.130889893000003</v>
      </c>
    </row>
    <row r="1177" spans="1:14" x14ac:dyDescent="0.25">
      <c r="A1177">
        <v>1522</v>
      </c>
      <c r="B1177" s="1">
        <f>DATE(2014,7,1) + TIME(0,0,0)</f>
        <v>41821</v>
      </c>
      <c r="C1177">
        <v>1377.7038574000001</v>
      </c>
      <c r="D1177">
        <v>1364.2376709</v>
      </c>
      <c r="E1177">
        <v>1292.4541016000001</v>
      </c>
      <c r="F1177">
        <v>1273.2119141000001</v>
      </c>
      <c r="G1177">
        <v>2400</v>
      </c>
      <c r="H1177">
        <v>0</v>
      </c>
      <c r="I1177">
        <v>0</v>
      </c>
      <c r="J1177">
        <v>2400</v>
      </c>
      <c r="K1177">
        <v>80</v>
      </c>
      <c r="L1177">
        <v>79.976135253999999</v>
      </c>
      <c r="M1177">
        <v>50</v>
      </c>
      <c r="N1177">
        <v>49.112152100000003</v>
      </c>
    </row>
    <row r="1178" spans="1:14" x14ac:dyDescent="0.25">
      <c r="A1178">
        <v>1523.779395</v>
      </c>
      <c r="B1178" s="1">
        <f>DATE(2014,7,2) + TIME(18,42,19)</f>
        <v>41822.779386574075</v>
      </c>
      <c r="C1178">
        <v>1377.6710204999999</v>
      </c>
      <c r="D1178">
        <v>1364.2126464999999</v>
      </c>
      <c r="E1178">
        <v>1292.4494629000001</v>
      </c>
      <c r="F1178">
        <v>1273.2020264</v>
      </c>
      <c r="G1178">
        <v>2400</v>
      </c>
      <c r="H1178">
        <v>0</v>
      </c>
      <c r="I1178">
        <v>0</v>
      </c>
      <c r="J1178">
        <v>2400</v>
      </c>
      <c r="K1178">
        <v>80</v>
      </c>
      <c r="L1178">
        <v>79.976142882999994</v>
      </c>
      <c r="M1178">
        <v>50</v>
      </c>
      <c r="N1178">
        <v>49.093559265000003</v>
      </c>
    </row>
    <row r="1179" spans="1:14" x14ac:dyDescent="0.25">
      <c r="A1179">
        <v>1525.6757250000001</v>
      </c>
      <c r="B1179" s="1">
        <f>DATE(2014,7,4) + TIME(16,13,2)</f>
        <v>41824.675717592596</v>
      </c>
      <c r="C1179">
        <v>1377.6312256000001</v>
      </c>
      <c r="D1179">
        <v>1364.1820068</v>
      </c>
      <c r="E1179">
        <v>1292.4436035000001</v>
      </c>
      <c r="F1179">
        <v>1273.1900635</v>
      </c>
      <c r="G1179">
        <v>2400</v>
      </c>
      <c r="H1179">
        <v>0</v>
      </c>
      <c r="I1179">
        <v>0</v>
      </c>
      <c r="J1179">
        <v>2400</v>
      </c>
      <c r="K1179">
        <v>80</v>
      </c>
      <c r="L1179">
        <v>79.976158142000003</v>
      </c>
      <c r="M1179">
        <v>50</v>
      </c>
      <c r="N1179">
        <v>49.073574065999999</v>
      </c>
    </row>
    <row r="1180" spans="1:14" x14ac:dyDescent="0.25">
      <c r="A1180">
        <v>1527.5763059999999</v>
      </c>
      <c r="B1180" s="1">
        <f>DATE(2014,7,6) + TIME(13,49,52)</f>
        <v>41826.576296296298</v>
      </c>
      <c r="C1180">
        <v>1377.5894774999999</v>
      </c>
      <c r="D1180">
        <v>1364.1500243999999</v>
      </c>
      <c r="E1180">
        <v>1292.4371338000001</v>
      </c>
      <c r="F1180">
        <v>1273.177124</v>
      </c>
      <c r="G1180">
        <v>2400</v>
      </c>
      <c r="H1180">
        <v>0</v>
      </c>
      <c r="I1180">
        <v>0</v>
      </c>
      <c r="J1180">
        <v>2400</v>
      </c>
      <c r="K1180">
        <v>80</v>
      </c>
      <c r="L1180">
        <v>79.976173400999997</v>
      </c>
      <c r="M1180">
        <v>50</v>
      </c>
      <c r="N1180">
        <v>49.052864075000002</v>
      </c>
    </row>
    <row r="1181" spans="1:14" x14ac:dyDescent="0.25">
      <c r="A1181">
        <v>1529.493655</v>
      </c>
      <c r="B1181" s="1">
        <f>DATE(2014,7,8) + TIME(11,50,51)</f>
        <v>41828.493645833332</v>
      </c>
      <c r="C1181">
        <v>1377.5487060999999</v>
      </c>
      <c r="D1181">
        <v>1364.1186522999999</v>
      </c>
      <c r="E1181">
        <v>1292.4304199000001</v>
      </c>
      <c r="F1181">
        <v>1273.1635742000001</v>
      </c>
      <c r="G1181">
        <v>2400</v>
      </c>
      <c r="H1181">
        <v>0</v>
      </c>
      <c r="I1181">
        <v>0</v>
      </c>
      <c r="J1181">
        <v>2400</v>
      </c>
      <c r="K1181">
        <v>80</v>
      </c>
      <c r="L1181">
        <v>79.976181030000006</v>
      </c>
      <c r="M1181">
        <v>50</v>
      </c>
      <c r="N1181">
        <v>49.032131194999998</v>
      </c>
    </row>
    <row r="1182" spans="1:14" x14ac:dyDescent="0.25">
      <c r="A1182">
        <v>1531.4407160000001</v>
      </c>
      <c r="B1182" s="1">
        <f>DATE(2014,7,10) + TIME(10,34,37)</f>
        <v>41830.440706018519</v>
      </c>
      <c r="C1182">
        <v>1377.5084228999999</v>
      </c>
      <c r="D1182">
        <v>1364.0876464999999</v>
      </c>
      <c r="E1182">
        <v>1292.4235839999999</v>
      </c>
      <c r="F1182">
        <v>1273.1494141000001</v>
      </c>
      <c r="G1182">
        <v>2400</v>
      </c>
      <c r="H1182">
        <v>0</v>
      </c>
      <c r="I1182">
        <v>0</v>
      </c>
      <c r="J1182">
        <v>2400</v>
      </c>
      <c r="K1182">
        <v>80</v>
      </c>
      <c r="L1182">
        <v>79.976196289000001</v>
      </c>
      <c r="M1182">
        <v>50</v>
      </c>
      <c r="N1182">
        <v>49.011524199999997</v>
      </c>
    </row>
    <row r="1183" spans="1:14" x14ac:dyDescent="0.25">
      <c r="A1183">
        <v>1533.4304509999999</v>
      </c>
      <c r="B1183" s="1">
        <f>DATE(2014,7,12) + TIME(10,19,50)</f>
        <v>41832.430439814816</v>
      </c>
      <c r="C1183">
        <v>1377.4683838000001</v>
      </c>
      <c r="D1183">
        <v>1364.0566406</v>
      </c>
      <c r="E1183">
        <v>1292.4163818</v>
      </c>
      <c r="F1183">
        <v>1273.1345214999999</v>
      </c>
      <c r="G1183">
        <v>2400</v>
      </c>
      <c r="H1183">
        <v>0</v>
      </c>
      <c r="I1183">
        <v>0</v>
      </c>
      <c r="J1183">
        <v>2400</v>
      </c>
      <c r="K1183">
        <v>80</v>
      </c>
      <c r="L1183">
        <v>79.976211547999995</v>
      </c>
      <c r="M1183">
        <v>50</v>
      </c>
      <c r="N1183">
        <v>48.991031647</v>
      </c>
    </row>
    <row r="1184" spans="1:14" x14ac:dyDescent="0.25">
      <c r="A1184">
        <v>1535.4773070000001</v>
      </c>
      <c r="B1184" s="1">
        <f>DATE(2014,7,14) + TIME(11,27,19)</f>
        <v>41834.477303240739</v>
      </c>
      <c r="C1184">
        <v>1377.4282227000001</v>
      </c>
      <c r="D1184">
        <v>1364.0256348</v>
      </c>
      <c r="E1184">
        <v>1292.4089355000001</v>
      </c>
      <c r="F1184">
        <v>1273.1188964999999</v>
      </c>
      <c r="G1184">
        <v>2400</v>
      </c>
      <c r="H1184">
        <v>0</v>
      </c>
      <c r="I1184">
        <v>0</v>
      </c>
      <c r="J1184">
        <v>2400</v>
      </c>
      <c r="K1184">
        <v>80</v>
      </c>
      <c r="L1184">
        <v>79.976226807000003</v>
      </c>
      <c r="M1184">
        <v>50</v>
      </c>
      <c r="N1184">
        <v>48.970603943</v>
      </c>
    </row>
    <row r="1185" spans="1:14" x14ac:dyDescent="0.25">
      <c r="A1185">
        <v>1537.592435</v>
      </c>
      <c r="B1185" s="1">
        <f>DATE(2014,7,16) + TIME(14,13,6)</f>
        <v>41836.592430555553</v>
      </c>
      <c r="C1185">
        <v>1377.3878173999999</v>
      </c>
      <c r="D1185">
        <v>1363.9943848</v>
      </c>
      <c r="E1185">
        <v>1292.401001</v>
      </c>
      <c r="F1185">
        <v>1273.1025391000001</v>
      </c>
      <c r="G1185">
        <v>2400</v>
      </c>
      <c r="H1185">
        <v>0</v>
      </c>
      <c r="I1185">
        <v>0</v>
      </c>
      <c r="J1185">
        <v>2400</v>
      </c>
      <c r="K1185">
        <v>80</v>
      </c>
      <c r="L1185">
        <v>79.976242064999994</v>
      </c>
      <c r="M1185">
        <v>50</v>
      </c>
      <c r="N1185">
        <v>48.950191498000002</v>
      </c>
    </row>
    <row r="1186" spans="1:14" x14ac:dyDescent="0.25">
      <c r="A1186">
        <v>1539.7655219999999</v>
      </c>
      <c r="B1186" s="1">
        <f>DATE(2014,7,18) + TIME(18,22,21)</f>
        <v>41838.765520833331</v>
      </c>
      <c r="C1186">
        <v>1377.3469238</v>
      </c>
      <c r="D1186">
        <v>1363.9625243999999</v>
      </c>
      <c r="E1186">
        <v>1292.3927002</v>
      </c>
      <c r="F1186">
        <v>1273.0850829999999</v>
      </c>
      <c r="G1186">
        <v>2400</v>
      </c>
      <c r="H1186">
        <v>0</v>
      </c>
      <c r="I1186">
        <v>0</v>
      </c>
      <c r="J1186">
        <v>2400</v>
      </c>
      <c r="K1186">
        <v>80</v>
      </c>
      <c r="L1186">
        <v>79.976257324000002</v>
      </c>
      <c r="M1186">
        <v>50</v>
      </c>
      <c r="N1186">
        <v>48.929836272999999</v>
      </c>
    </row>
    <row r="1187" spans="1:14" x14ac:dyDescent="0.25">
      <c r="A1187">
        <v>1541.948433</v>
      </c>
      <c r="B1187" s="1">
        <f>DATE(2014,7,20) + TIME(22,45,44)</f>
        <v>41840.948425925926</v>
      </c>
      <c r="C1187">
        <v>1377.3056641000001</v>
      </c>
      <c r="D1187">
        <v>1363.9305420000001</v>
      </c>
      <c r="E1187">
        <v>1292.3840332</v>
      </c>
      <c r="F1187">
        <v>1273.0667725000001</v>
      </c>
      <c r="G1187">
        <v>2400</v>
      </c>
      <c r="H1187">
        <v>0</v>
      </c>
      <c r="I1187">
        <v>0</v>
      </c>
      <c r="J1187">
        <v>2400</v>
      </c>
      <c r="K1187">
        <v>80</v>
      </c>
      <c r="L1187">
        <v>79.976280212000006</v>
      </c>
      <c r="M1187">
        <v>50</v>
      </c>
      <c r="N1187">
        <v>48.909801483000003</v>
      </c>
    </row>
    <row r="1188" spans="1:14" x14ac:dyDescent="0.25">
      <c r="A1188">
        <v>1544.1559970000001</v>
      </c>
      <c r="B1188" s="1">
        <f>DATE(2014,7,23) + TIME(3,44,38)</f>
        <v>41843.155995370369</v>
      </c>
      <c r="C1188">
        <v>1377.2651367000001</v>
      </c>
      <c r="D1188">
        <v>1363.8989257999999</v>
      </c>
      <c r="E1188">
        <v>1292.3751221</v>
      </c>
      <c r="F1188">
        <v>1273.0478516000001</v>
      </c>
      <c r="G1188">
        <v>2400</v>
      </c>
      <c r="H1188">
        <v>0</v>
      </c>
      <c r="I1188">
        <v>0</v>
      </c>
      <c r="J1188">
        <v>2400</v>
      </c>
      <c r="K1188">
        <v>80</v>
      </c>
      <c r="L1188">
        <v>79.976295471</v>
      </c>
      <c r="M1188">
        <v>50</v>
      </c>
      <c r="N1188">
        <v>48.890392302999999</v>
      </c>
    </row>
    <row r="1189" spans="1:14" x14ac:dyDescent="0.25">
      <c r="A1189">
        <v>1546.4031540000001</v>
      </c>
      <c r="B1189" s="1">
        <f>DATE(2014,7,25) + TIME(9,40,32)</f>
        <v>41845.403148148151</v>
      </c>
      <c r="C1189">
        <v>1377.2249756000001</v>
      </c>
      <c r="D1189">
        <v>1363.8675536999999</v>
      </c>
      <c r="E1189">
        <v>1292.3659668</v>
      </c>
      <c r="F1189">
        <v>1273.0281981999999</v>
      </c>
      <c r="G1189">
        <v>2400</v>
      </c>
      <c r="H1189">
        <v>0</v>
      </c>
      <c r="I1189">
        <v>0</v>
      </c>
      <c r="J1189">
        <v>2400</v>
      </c>
      <c r="K1189">
        <v>80</v>
      </c>
      <c r="L1189">
        <v>79.976310729999994</v>
      </c>
      <c r="M1189">
        <v>50</v>
      </c>
      <c r="N1189">
        <v>48.871662139999998</v>
      </c>
    </row>
    <row r="1190" spans="1:14" x14ac:dyDescent="0.25">
      <c r="A1190">
        <v>1548.7017069999999</v>
      </c>
      <c r="B1190" s="1">
        <f>DATE(2014,7,27) + TIME(16,50,27)</f>
        <v>41847.701701388891</v>
      </c>
      <c r="C1190">
        <v>1377.1849365</v>
      </c>
      <c r="D1190">
        <v>1363.8361815999999</v>
      </c>
      <c r="E1190">
        <v>1292.3565673999999</v>
      </c>
      <c r="F1190">
        <v>1273.0079346</v>
      </c>
      <c r="G1190">
        <v>2400</v>
      </c>
      <c r="H1190">
        <v>0</v>
      </c>
      <c r="I1190">
        <v>0</v>
      </c>
      <c r="J1190">
        <v>2400</v>
      </c>
      <c r="K1190">
        <v>80</v>
      </c>
      <c r="L1190">
        <v>79.976333617999998</v>
      </c>
      <c r="M1190">
        <v>50</v>
      </c>
      <c r="N1190">
        <v>48.853645325000002</v>
      </c>
    </row>
    <row r="1191" spans="1:14" x14ac:dyDescent="0.25">
      <c r="A1191">
        <v>1551.0559020000001</v>
      </c>
      <c r="B1191" s="1">
        <f>DATE(2014,7,30) + TIME(1,20,29)</f>
        <v>41850.055891203701</v>
      </c>
      <c r="C1191">
        <v>1377.1446533000001</v>
      </c>
      <c r="D1191">
        <v>1363.8045654</v>
      </c>
      <c r="E1191">
        <v>1292.3469238</v>
      </c>
      <c r="F1191">
        <v>1272.9868164</v>
      </c>
      <c r="G1191">
        <v>2400</v>
      </c>
      <c r="H1191">
        <v>0</v>
      </c>
      <c r="I1191">
        <v>0</v>
      </c>
      <c r="J1191">
        <v>2400</v>
      </c>
      <c r="K1191">
        <v>80</v>
      </c>
      <c r="L1191">
        <v>79.976348877000007</v>
      </c>
      <c r="M1191">
        <v>50</v>
      </c>
      <c r="N1191">
        <v>48.836406707999998</v>
      </c>
    </row>
    <row r="1192" spans="1:14" x14ac:dyDescent="0.25">
      <c r="A1192">
        <v>1553</v>
      </c>
      <c r="B1192" s="1">
        <f>DATE(2014,8,1) + TIME(0,0,0)</f>
        <v>41852</v>
      </c>
      <c r="C1192">
        <v>1377.1042480000001</v>
      </c>
      <c r="D1192">
        <v>1363.7727050999999</v>
      </c>
      <c r="E1192">
        <v>1292.3370361</v>
      </c>
      <c r="F1192">
        <v>1272.9654541</v>
      </c>
      <c r="G1192">
        <v>2400</v>
      </c>
      <c r="H1192">
        <v>0</v>
      </c>
      <c r="I1192">
        <v>0</v>
      </c>
      <c r="J1192">
        <v>2400</v>
      </c>
      <c r="K1192">
        <v>80</v>
      </c>
      <c r="L1192">
        <v>79.976364136000001</v>
      </c>
      <c r="M1192">
        <v>50</v>
      </c>
      <c r="N1192">
        <v>48.821041106999999</v>
      </c>
    </row>
    <row r="1193" spans="1:14" x14ac:dyDescent="0.25">
      <c r="A1193">
        <v>1555.4267629999999</v>
      </c>
      <c r="B1193" s="1">
        <f>DATE(2014,8,3) + TIME(10,14,32)</f>
        <v>41854.426759259259</v>
      </c>
      <c r="C1193">
        <v>1377.0714111</v>
      </c>
      <c r="D1193">
        <v>1363.7469481999999</v>
      </c>
      <c r="E1193">
        <v>1292.3284911999999</v>
      </c>
      <c r="F1193">
        <v>1272.9461670000001</v>
      </c>
      <c r="G1193">
        <v>2400</v>
      </c>
      <c r="H1193">
        <v>0</v>
      </c>
      <c r="I1193">
        <v>0</v>
      </c>
      <c r="J1193">
        <v>2400</v>
      </c>
      <c r="K1193">
        <v>80</v>
      </c>
      <c r="L1193">
        <v>79.976387024000005</v>
      </c>
      <c r="M1193">
        <v>50</v>
      </c>
      <c r="N1193">
        <v>48.807258605999998</v>
      </c>
    </row>
    <row r="1194" spans="1:14" x14ac:dyDescent="0.25">
      <c r="A1194">
        <v>1557.9247600000001</v>
      </c>
      <c r="B1194" s="1">
        <f>DATE(2014,8,5) + TIME(22,11,39)</f>
        <v>41856.924756944441</v>
      </c>
      <c r="C1194">
        <v>1377.03125</v>
      </c>
      <c r="D1194">
        <v>1363.7150879000001</v>
      </c>
      <c r="E1194">
        <v>1292.3183594</v>
      </c>
      <c r="F1194">
        <v>1272.9235839999999</v>
      </c>
      <c r="G1194">
        <v>2400</v>
      </c>
      <c r="H1194">
        <v>0</v>
      </c>
      <c r="I1194">
        <v>0</v>
      </c>
      <c r="J1194">
        <v>2400</v>
      </c>
      <c r="K1194">
        <v>80</v>
      </c>
      <c r="L1194">
        <v>79.976409911999994</v>
      </c>
      <c r="M1194">
        <v>50</v>
      </c>
      <c r="N1194">
        <v>48.793590545999997</v>
      </c>
    </row>
    <row r="1195" spans="1:14" x14ac:dyDescent="0.25">
      <c r="A1195">
        <v>1560.4471349999999</v>
      </c>
      <c r="B1195" s="1">
        <f>DATE(2014,8,8) + TIME(10,43,52)</f>
        <v>41859.447129629632</v>
      </c>
      <c r="C1195">
        <v>1376.9906006000001</v>
      </c>
      <c r="D1195">
        <v>1363.6829834</v>
      </c>
      <c r="E1195">
        <v>1292.3078613</v>
      </c>
      <c r="F1195">
        <v>1272.8999022999999</v>
      </c>
      <c r="G1195">
        <v>2400</v>
      </c>
      <c r="H1195">
        <v>0</v>
      </c>
      <c r="I1195">
        <v>0</v>
      </c>
      <c r="J1195">
        <v>2400</v>
      </c>
      <c r="K1195">
        <v>80</v>
      </c>
      <c r="L1195">
        <v>79.976432799999998</v>
      </c>
      <c r="M1195">
        <v>50</v>
      </c>
      <c r="N1195">
        <v>48.781093597000002</v>
      </c>
    </row>
    <row r="1196" spans="1:14" x14ac:dyDescent="0.25">
      <c r="A1196">
        <v>1563.009147</v>
      </c>
      <c r="B1196" s="1">
        <f>DATE(2014,8,11) + TIME(0,13,10)</f>
        <v>41862.009143518517</v>
      </c>
      <c r="C1196">
        <v>1376.9503173999999</v>
      </c>
      <c r="D1196">
        <v>1363.651001</v>
      </c>
      <c r="E1196">
        <v>1292.2973632999999</v>
      </c>
      <c r="F1196">
        <v>1272.8759766000001</v>
      </c>
      <c r="G1196">
        <v>2400</v>
      </c>
      <c r="H1196">
        <v>0</v>
      </c>
      <c r="I1196">
        <v>0</v>
      </c>
      <c r="J1196">
        <v>2400</v>
      </c>
      <c r="K1196">
        <v>80</v>
      </c>
      <c r="L1196">
        <v>79.976448059000006</v>
      </c>
      <c r="M1196">
        <v>50</v>
      </c>
      <c r="N1196">
        <v>48.770301818999997</v>
      </c>
    </row>
    <row r="1197" spans="1:14" x14ac:dyDescent="0.25">
      <c r="A1197">
        <v>1565.6278589999999</v>
      </c>
      <c r="B1197" s="1">
        <f>DATE(2014,8,13) + TIME(15,4,7)</f>
        <v>41864.627858796295</v>
      </c>
      <c r="C1197">
        <v>1376.9101562000001</v>
      </c>
      <c r="D1197">
        <v>1363.6190185999999</v>
      </c>
      <c r="E1197">
        <v>1292.2868652</v>
      </c>
      <c r="F1197">
        <v>1272.8515625</v>
      </c>
      <c r="G1197">
        <v>2400</v>
      </c>
      <c r="H1197">
        <v>0</v>
      </c>
      <c r="I1197">
        <v>0</v>
      </c>
      <c r="J1197">
        <v>2400</v>
      </c>
      <c r="K1197">
        <v>80</v>
      </c>
      <c r="L1197">
        <v>79.976470946999996</v>
      </c>
      <c r="M1197">
        <v>50</v>
      </c>
      <c r="N1197">
        <v>48.761463165000002</v>
      </c>
    </row>
    <row r="1198" spans="1:14" x14ac:dyDescent="0.25">
      <c r="A1198">
        <v>1568.3209730000001</v>
      </c>
      <c r="B1198" s="1">
        <f>DATE(2014,8,16) + TIME(7,42,12)</f>
        <v>41867.320972222224</v>
      </c>
      <c r="C1198">
        <v>1376.869751</v>
      </c>
      <c r="D1198">
        <v>1363.5869141000001</v>
      </c>
      <c r="E1198">
        <v>1292.2762451000001</v>
      </c>
      <c r="F1198">
        <v>1272.8267822</v>
      </c>
      <c r="G1198">
        <v>2400</v>
      </c>
      <c r="H1198">
        <v>0</v>
      </c>
      <c r="I1198">
        <v>0</v>
      </c>
      <c r="J1198">
        <v>2400</v>
      </c>
      <c r="K1198">
        <v>80</v>
      </c>
      <c r="L1198">
        <v>79.976501464999998</v>
      </c>
      <c r="M1198">
        <v>50</v>
      </c>
      <c r="N1198">
        <v>48.754798889</v>
      </c>
    </row>
    <row r="1199" spans="1:14" x14ac:dyDescent="0.25">
      <c r="A1199">
        <v>1571.109557</v>
      </c>
      <c r="B1199" s="1">
        <f>DATE(2014,8,19) + TIME(2,37,45)</f>
        <v>41870.109548611108</v>
      </c>
      <c r="C1199">
        <v>1376.8291016000001</v>
      </c>
      <c r="D1199">
        <v>1363.5543213000001</v>
      </c>
      <c r="E1199">
        <v>1292.2657471</v>
      </c>
      <c r="F1199">
        <v>1272.8016356999999</v>
      </c>
      <c r="G1199">
        <v>2400</v>
      </c>
      <c r="H1199">
        <v>0</v>
      </c>
      <c r="I1199">
        <v>0</v>
      </c>
      <c r="J1199">
        <v>2400</v>
      </c>
      <c r="K1199">
        <v>80</v>
      </c>
      <c r="L1199">
        <v>79.976524353000002</v>
      </c>
      <c r="M1199">
        <v>50</v>
      </c>
      <c r="N1199">
        <v>48.750587463000002</v>
      </c>
    </row>
    <row r="1200" spans="1:14" x14ac:dyDescent="0.25">
      <c r="A1200">
        <v>1573.9146679999999</v>
      </c>
      <c r="B1200" s="1">
        <f>DATE(2014,8,21) + TIME(21,57,7)</f>
        <v>41872.914664351854</v>
      </c>
      <c r="C1200">
        <v>1376.7875977000001</v>
      </c>
      <c r="D1200">
        <v>1363.5211182</v>
      </c>
      <c r="E1200">
        <v>1292.255249</v>
      </c>
      <c r="F1200">
        <v>1272.7761230000001</v>
      </c>
      <c r="G1200">
        <v>2400</v>
      </c>
      <c r="H1200">
        <v>0</v>
      </c>
      <c r="I1200">
        <v>0</v>
      </c>
      <c r="J1200">
        <v>2400</v>
      </c>
      <c r="K1200">
        <v>80</v>
      </c>
      <c r="L1200">
        <v>79.976547241000006</v>
      </c>
      <c r="M1200">
        <v>50</v>
      </c>
      <c r="N1200">
        <v>48.749202728</v>
      </c>
    </row>
    <row r="1201" spans="1:14" x14ac:dyDescent="0.25">
      <c r="A1201">
        <v>1576.744762</v>
      </c>
      <c r="B1201" s="1">
        <f>DATE(2014,8,24) + TIME(17,52,27)</f>
        <v>41875.744756944441</v>
      </c>
      <c r="C1201">
        <v>1376.7467041</v>
      </c>
      <c r="D1201">
        <v>1363.4882812000001</v>
      </c>
      <c r="E1201">
        <v>1292.2452393000001</v>
      </c>
      <c r="F1201">
        <v>1272.7509766000001</v>
      </c>
      <c r="G1201">
        <v>2400</v>
      </c>
      <c r="H1201">
        <v>0</v>
      </c>
      <c r="I1201">
        <v>0</v>
      </c>
      <c r="J1201">
        <v>2400</v>
      </c>
      <c r="K1201">
        <v>80</v>
      </c>
      <c r="L1201">
        <v>79.976570128999995</v>
      </c>
      <c r="M1201">
        <v>50</v>
      </c>
      <c r="N1201">
        <v>48.750999450999998</v>
      </c>
    </row>
    <row r="1202" spans="1:14" x14ac:dyDescent="0.25">
      <c r="A1202">
        <v>1579.6185370000001</v>
      </c>
      <c r="B1202" s="1">
        <f>DATE(2014,8,27) + TIME(14,50,41)</f>
        <v>41878.618530092594</v>
      </c>
      <c r="C1202">
        <v>1376.7061768000001</v>
      </c>
      <c r="D1202">
        <v>1363.4555664</v>
      </c>
      <c r="E1202">
        <v>1292.2355957</v>
      </c>
      <c r="F1202">
        <v>1272.7263184000001</v>
      </c>
      <c r="G1202">
        <v>2400</v>
      </c>
      <c r="H1202">
        <v>0</v>
      </c>
      <c r="I1202">
        <v>0</v>
      </c>
      <c r="J1202">
        <v>2400</v>
      </c>
      <c r="K1202">
        <v>80</v>
      </c>
      <c r="L1202">
        <v>79.976600646999998</v>
      </c>
      <c r="M1202">
        <v>50</v>
      </c>
      <c r="N1202">
        <v>48.756263732999997</v>
      </c>
    </row>
    <row r="1203" spans="1:14" x14ac:dyDescent="0.25">
      <c r="A1203">
        <v>1582.55531</v>
      </c>
      <c r="B1203" s="1">
        <f>DATE(2014,8,30) + TIME(13,19,38)</f>
        <v>41881.555300925924</v>
      </c>
      <c r="C1203">
        <v>1376.6657714999999</v>
      </c>
      <c r="D1203">
        <v>1363.4228516000001</v>
      </c>
      <c r="E1203">
        <v>1292.2264404</v>
      </c>
      <c r="F1203">
        <v>1272.7021483999999</v>
      </c>
      <c r="G1203">
        <v>2400</v>
      </c>
      <c r="H1203">
        <v>0</v>
      </c>
      <c r="I1203">
        <v>0</v>
      </c>
      <c r="J1203">
        <v>2400</v>
      </c>
      <c r="K1203">
        <v>80</v>
      </c>
      <c r="L1203">
        <v>79.976623535000002</v>
      </c>
      <c r="M1203">
        <v>50</v>
      </c>
      <c r="N1203">
        <v>48.765300750999998</v>
      </c>
    </row>
    <row r="1204" spans="1:14" x14ac:dyDescent="0.25">
      <c r="A1204">
        <v>1584</v>
      </c>
      <c r="B1204" s="1">
        <f>DATE(2014,9,1) + TIME(0,0,0)</f>
        <v>41883</v>
      </c>
      <c r="C1204">
        <v>1376.6251221</v>
      </c>
      <c r="D1204">
        <v>1363.3900146000001</v>
      </c>
      <c r="E1204">
        <v>1292.2197266000001</v>
      </c>
      <c r="F1204">
        <v>1272.6810303</v>
      </c>
      <c r="G1204">
        <v>2400</v>
      </c>
      <c r="H1204">
        <v>0</v>
      </c>
      <c r="I1204">
        <v>0</v>
      </c>
      <c r="J1204">
        <v>2400</v>
      </c>
      <c r="K1204">
        <v>80</v>
      </c>
      <c r="L1204">
        <v>79.976631165000001</v>
      </c>
      <c r="M1204">
        <v>50</v>
      </c>
      <c r="N1204">
        <v>48.776004790999998</v>
      </c>
    </row>
    <row r="1205" spans="1:14" x14ac:dyDescent="0.25">
      <c r="A1205">
        <v>1587.0198869999999</v>
      </c>
      <c r="B1205" s="1">
        <f>DATE(2014,9,4) + TIME(0,28,38)</f>
        <v>41886.019884259258</v>
      </c>
      <c r="C1205">
        <v>1376.6053466999999</v>
      </c>
      <c r="D1205">
        <v>1363.3740233999999</v>
      </c>
      <c r="E1205">
        <v>1292.2128906</v>
      </c>
      <c r="F1205">
        <v>1272.6663818</v>
      </c>
      <c r="G1205">
        <v>2400</v>
      </c>
      <c r="H1205">
        <v>0</v>
      </c>
      <c r="I1205">
        <v>0</v>
      </c>
      <c r="J1205">
        <v>2400</v>
      </c>
      <c r="K1205">
        <v>80</v>
      </c>
      <c r="L1205">
        <v>79.976661682</v>
      </c>
      <c r="M1205">
        <v>50</v>
      </c>
      <c r="N1205">
        <v>48.788024901999997</v>
      </c>
    </row>
    <row r="1206" spans="1:14" x14ac:dyDescent="0.25">
      <c r="A1206">
        <v>1590.163677</v>
      </c>
      <c r="B1206" s="1">
        <f>DATE(2014,9,7) + TIME(3,55,41)</f>
        <v>41889.163668981484</v>
      </c>
      <c r="C1206">
        <v>1376.5646973</v>
      </c>
      <c r="D1206">
        <v>1363.3409423999999</v>
      </c>
      <c r="E1206">
        <v>1292.2062988</v>
      </c>
      <c r="F1206">
        <v>1272.6455077999999</v>
      </c>
      <c r="G1206">
        <v>2400</v>
      </c>
      <c r="H1206">
        <v>0</v>
      </c>
      <c r="I1206">
        <v>0</v>
      </c>
      <c r="J1206">
        <v>2400</v>
      </c>
      <c r="K1206">
        <v>80</v>
      </c>
      <c r="L1206">
        <v>79.976692200000002</v>
      </c>
      <c r="M1206">
        <v>50</v>
      </c>
      <c r="N1206">
        <v>48.807506560999997</v>
      </c>
    </row>
    <row r="1207" spans="1:14" x14ac:dyDescent="0.25">
      <c r="A1207">
        <v>1593.326249</v>
      </c>
      <c r="B1207" s="1">
        <f>DATE(2014,9,10) + TIME(7,49,47)</f>
        <v>41892.326238425929</v>
      </c>
      <c r="C1207">
        <v>1376.5229492000001</v>
      </c>
      <c r="D1207">
        <v>1363.3070068</v>
      </c>
      <c r="E1207">
        <v>1292.1999512</v>
      </c>
      <c r="F1207">
        <v>1272.6246338000001</v>
      </c>
      <c r="G1207">
        <v>2400</v>
      </c>
      <c r="H1207">
        <v>0</v>
      </c>
      <c r="I1207">
        <v>0</v>
      </c>
      <c r="J1207">
        <v>2400</v>
      </c>
      <c r="K1207">
        <v>80</v>
      </c>
      <c r="L1207">
        <v>79.976722717000001</v>
      </c>
      <c r="M1207">
        <v>50</v>
      </c>
      <c r="N1207">
        <v>48.833091736</v>
      </c>
    </row>
    <row r="1208" spans="1:14" x14ac:dyDescent="0.25">
      <c r="A1208">
        <v>1596.5283730000001</v>
      </c>
      <c r="B1208" s="1">
        <f>DATE(2014,9,13) + TIME(12,40,51)</f>
        <v>41895.528368055559</v>
      </c>
      <c r="C1208">
        <v>1376.4816894999999</v>
      </c>
      <c r="D1208">
        <v>1363.2733154</v>
      </c>
      <c r="E1208">
        <v>1292.1944579999999</v>
      </c>
      <c r="F1208">
        <v>1272.6054687999999</v>
      </c>
      <c r="G1208">
        <v>2400</v>
      </c>
      <c r="H1208">
        <v>0</v>
      </c>
      <c r="I1208">
        <v>0</v>
      </c>
      <c r="J1208">
        <v>2400</v>
      </c>
      <c r="K1208">
        <v>80</v>
      </c>
      <c r="L1208">
        <v>79.976753235000004</v>
      </c>
      <c r="M1208">
        <v>50</v>
      </c>
      <c r="N1208">
        <v>48.864353180000002</v>
      </c>
    </row>
    <row r="1209" spans="1:14" x14ac:dyDescent="0.25">
      <c r="A1209">
        <v>1599.7916110000001</v>
      </c>
      <c r="B1209" s="1">
        <f>DATE(2014,9,16) + TIME(18,59,55)</f>
        <v>41898.791608796295</v>
      </c>
      <c r="C1209">
        <v>1376.4406738</v>
      </c>
      <c r="D1209">
        <v>1363.239624</v>
      </c>
      <c r="E1209">
        <v>1292.1901855000001</v>
      </c>
      <c r="F1209">
        <v>1272.5881348</v>
      </c>
      <c r="G1209">
        <v>2400</v>
      </c>
      <c r="H1209">
        <v>0</v>
      </c>
      <c r="I1209">
        <v>0</v>
      </c>
      <c r="J1209">
        <v>2400</v>
      </c>
      <c r="K1209">
        <v>80</v>
      </c>
      <c r="L1209">
        <v>79.976783752000003</v>
      </c>
      <c r="M1209">
        <v>50</v>
      </c>
      <c r="N1209">
        <v>48.901615143000001</v>
      </c>
    </row>
    <row r="1210" spans="1:14" x14ac:dyDescent="0.25">
      <c r="A1210">
        <v>1603.138727</v>
      </c>
      <c r="B1210" s="1">
        <f>DATE(2014,9,20) + TIME(3,19,46)</f>
        <v>41902.138726851852</v>
      </c>
      <c r="C1210">
        <v>1376.3996582</v>
      </c>
      <c r="D1210">
        <v>1363.2059326000001</v>
      </c>
      <c r="E1210">
        <v>1292.1873779</v>
      </c>
      <c r="F1210">
        <v>1272.5729980000001</v>
      </c>
      <c r="G1210">
        <v>2400</v>
      </c>
      <c r="H1210">
        <v>0</v>
      </c>
      <c r="I1210">
        <v>0</v>
      </c>
      <c r="J1210">
        <v>2400</v>
      </c>
      <c r="K1210">
        <v>80</v>
      </c>
      <c r="L1210">
        <v>79.976814270000006</v>
      </c>
      <c r="M1210">
        <v>50</v>
      </c>
      <c r="N1210">
        <v>48.945484161000003</v>
      </c>
    </row>
    <row r="1211" spans="1:14" x14ac:dyDescent="0.25">
      <c r="A1211">
        <v>1606.569806</v>
      </c>
      <c r="B1211" s="1">
        <f>DATE(2014,9,23) + TIME(13,40,31)</f>
        <v>41905.569803240738</v>
      </c>
      <c r="C1211">
        <v>1376.3581543</v>
      </c>
      <c r="D1211">
        <v>1363.1717529</v>
      </c>
      <c r="E1211">
        <v>1292.1861572</v>
      </c>
      <c r="F1211">
        <v>1272.5603027</v>
      </c>
      <c r="G1211">
        <v>2400</v>
      </c>
      <c r="H1211">
        <v>0</v>
      </c>
      <c r="I1211">
        <v>0</v>
      </c>
      <c r="J1211">
        <v>2400</v>
      </c>
      <c r="K1211">
        <v>80</v>
      </c>
      <c r="L1211">
        <v>79.976844787999994</v>
      </c>
      <c r="M1211">
        <v>50</v>
      </c>
      <c r="N1211">
        <v>48.996707915999998</v>
      </c>
    </row>
    <row r="1212" spans="1:14" x14ac:dyDescent="0.25">
      <c r="A1212">
        <v>1610.0626259999999</v>
      </c>
      <c r="B1212" s="1">
        <f>DATE(2014,9,27) + TIME(1,30,10)</f>
        <v>41909.062615740739</v>
      </c>
      <c r="C1212">
        <v>1376.3164062000001</v>
      </c>
      <c r="D1212">
        <v>1363.1373291</v>
      </c>
      <c r="E1212">
        <v>1292.1866454999999</v>
      </c>
      <c r="F1212">
        <v>1272.5505370999999</v>
      </c>
      <c r="G1212">
        <v>2400</v>
      </c>
      <c r="H1212">
        <v>0</v>
      </c>
      <c r="I1212">
        <v>0</v>
      </c>
      <c r="J1212">
        <v>2400</v>
      </c>
      <c r="K1212">
        <v>80</v>
      </c>
      <c r="L1212">
        <v>79.976875304999993</v>
      </c>
      <c r="M1212">
        <v>50</v>
      </c>
      <c r="N1212">
        <v>49.055885314999998</v>
      </c>
    </row>
    <row r="1213" spans="1:14" x14ac:dyDescent="0.25">
      <c r="A1213">
        <v>1613.6161059999999</v>
      </c>
      <c r="B1213" s="1">
        <f>DATE(2014,9,30) + TIME(14,47,11)</f>
        <v>41912.616099537037</v>
      </c>
      <c r="C1213">
        <v>1376.2745361</v>
      </c>
      <c r="D1213">
        <v>1363.1026611</v>
      </c>
      <c r="E1213">
        <v>1292.1892089999999</v>
      </c>
      <c r="F1213">
        <v>1272.5441894999999</v>
      </c>
      <c r="G1213">
        <v>2400</v>
      </c>
      <c r="H1213">
        <v>0</v>
      </c>
      <c r="I1213">
        <v>0</v>
      </c>
      <c r="J1213">
        <v>2400</v>
      </c>
      <c r="K1213">
        <v>80</v>
      </c>
      <c r="L1213">
        <v>79.976905822999996</v>
      </c>
      <c r="M1213">
        <v>50</v>
      </c>
      <c r="N1213">
        <v>49.123317718999999</v>
      </c>
    </row>
    <row r="1214" spans="1:14" x14ac:dyDescent="0.25">
      <c r="A1214">
        <v>1614</v>
      </c>
      <c r="B1214" s="1">
        <f>DATE(2014,10,1) + TIME(0,0,0)</f>
        <v>41913</v>
      </c>
      <c r="C1214">
        <v>1376.2333983999999</v>
      </c>
      <c r="D1214">
        <v>1363.0687256000001</v>
      </c>
      <c r="E1214">
        <v>1292.2056885</v>
      </c>
      <c r="F1214">
        <v>1272.5457764</v>
      </c>
      <c r="G1214">
        <v>2400</v>
      </c>
      <c r="H1214">
        <v>0</v>
      </c>
      <c r="I1214">
        <v>0</v>
      </c>
      <c r="J1214">
        <v>2400</v>
      </c>
      <c r="K1214">
        <v>80</v>
      </c>
      <c r="L1214">
        <v>79.976905822999996</v>
      </c>
      <c r="M1214">
        <v>50</v>
      </c>
      <c r="N1214">
        <v>49.152992249</v>
      </c>
    </row>
    <row r="1215" spans="1:14" x14ac:dyDescent="0.25">
      <c r="A1215">
        <v>1617.6038450000001</v>
      </c>
      <c r="B1215" s="1">
        <f>DATE(2014,10,4) + TIME(14,29,32)</f>
        <v>41916.603842592594</v>
      </c>
      <c r="C1215">
        <v>1376.2281493999999</v>
      </c>
      <c r="D1215">
        <v>1363.0642089999999</v>
      </c>
      <c r="E1215">
        <v>1292.1938477000001</v>
      </c>
      <c r="F1215">
        <v>1272.541626</v>
      </c>
      <c r="G1215">
        <v>2400</v>
      </c>
      <c r="H1215">
        <v>0</v>
      </c>
      <c r="I1215">
        <v>0</v>
      </c>
      <c r="J1215">
        <v>2400</v>
      </c>
      <c r="K1215">
        <v>80</v>
      </c>
      <c r="L1215">
        <v>79.976943969999994</v>
      </c>
      <c r="M1215">
        <v>50</v>
      </c>
      <c r="N1215">
        <v>49.212501525999997</v>
      </c>
    </row>
    <row r="1216" spans="1:14" x14ac:dyDescent="0.25">
      <c r="A1216">
        <v>1621.2935560000001</v>
      </c>
      <c r="B1216" s="1">
        <f>DATE(2014,10,8) + TIME(7,2,43)</f>
        <v>41920.293553240743</v>
      </c>
      <c r="C1216">
        <v>1376.1866454999999</v>
      </c>
      <c r="D1216">
        <v>1363.0296631000001</v>
      </c>
      <c r="E1216">
        <v>1292.2019043</v>
      </c>
      <c r="F1216">
        <v>1272.5435791</v>
      </c>
      <c r="G1216">
        <v>2400</v>
      </c>
      <c r="H1216">
        <v>0</v>
      </c>
      <c r="I1216">
        <v>0</v>
      </c>
      <c r="J1216">
        <v>2400</v>
      </c>
      <c r="K1216">
        <v>80</v>
      </c>
      <c r="L1216">
        <v>79.976982117000006</v>
      </c>
      <c r="M1216">
        <v>50</v>
      </c>
      <c r="N1216">
        <v>49.295341491999999</v>
      </c>
    </row>
    <row r="1217" spans="1:14" x14ac:dyDescent="0.25">
      <c r="A1217">
        <v>1625.051802</v>
      </c>
      <c r="B1217" s="1">
        <f>DATE(2014,10,12) + TIME(1,14,35)</f>
        <v>41924.051793981482</v>
      </c>
      <c r="C1217">
        <v>1376.1446533000001</v>
      </c>
      <c r="D1217">
        <v>1362.9946289</v>
      </c>
      <c r="E1217">
        <v>1292.2121582</v>
      </c>
      <c r="F1217">
        <v>1272.5501709</v>
      </c>
      <c r="G1217">
        <v>2400</v>
      </c>
      <c r="H1217">
        <v>0</v>
      </c>
      <c r="I1217">
        <v>0</v>
      </c>
      <c r="J1217">
        <v>2400</v>
      </c>
      <c r="K1217">
        <v>80</v>
      </c>
      <c r="L1217">
        <v>79.977012634000005</v>
      </c>
      <c r="M1217">
        <v>50</v>
      </c>
      <c r="N1217">
        <v>49.391052246000001</v>
      </c>
    </row>
    <row r="1218" spans="1:14" x14ac:dyDescent="0.25">
      <c r="A1218">
        <v>1628.8629040000001</v>
      </c>
      <c r="B1218" s="1">
        <f>DATE(2014,10,15) + TIME(20,42,34)</f>
        <v>41927.862893518519</v>
      </c>
      <c r="C1218">
        <v>1376.1026611</v>
      </c>
      <c r="D1218">
        <v>1362.9595947</v>
      </c>
      <c r="E1218">
        <v>1292.2250977000001</v>
      </c>
      <c r="F1218">
        <v>1272.5617675999999</v>
      </c>
      <c r="G1218">
        <v>2400</v>
      </c>
      <c r="H1218">
        <v>0</v>
      </c>
      <c r="I1218">
        <v>0</v>
      </c>
      <c r="J1218">
        <v>2400</v>
      </c>
      <c r="K1218">
        <v>80</v>
      </c>
      <c r="L1218">
        <v>79.977050781000003</v>
      </c>
      <c r="M1218">
        <v>50</v>
      </c>
      <c r="N1218">
        <v>49.497756957999997</v>
      </c>
    </row>
    <row r="1219" spans="1:14" x14ac:dyDescent="0.25">
      <c r="A1219">
        <v>1632.7528569999999</v>
      </c>
      <c r="B1219" s="1">
        <f>DATE(2014,10,19) + TIME(18,4,6)</f>
        <v>41931.752847222226</v>
      </c>
      <c r="C1219">
        <v>1376.0609131000001</v>
      </c>
      <c r="D1219">
        <v>1362.9244385</v>
      </c>
      <c r="E1219">
        <v>1292.2409668</v>
      </c>
      <c r="F1219">
        <v>1272.5789795000001</v>
      </c>
      <c r="G1219">
        <v>2400</v>
      </c>
      <c r="H1219">
        <v>0</v>
      </c>
      <c r="I1219">
        <v>0</v>
      </c>
      <c r="J1219">
        <v>2400</v>
      </c>
      <c r="K1219">
        <v>80</v>
      </c>
      <c r="L1219">
        <v>79.977081299000005</v>
      </c>
      <c r="M1219">
        <v>50</v>
      </c>
      <c r="N1219">
        <v>49.615394592000001</v>
      </c>
    </row>
    <row r="1220" spans="1:14" x14ac:dyDescent="0.25">
      <c r="A1220">
        <v>1636.748816</v>
      </c>
      <c r="B1220" s="1">
        <f>DATE(2014,10,23) + TIME(17,58,17)</f>
        <v>41935.748807870368</v>
      </c>
      <c r="C1220">
        <v>1376.0189209</v>
      </c>
      <c r="D1220">
        <v>1362.8892822</v>
      </c>
      <c r="E1220">
        <v>1292.2602539</v>
      </c>
      <c r="F1220">
        <v>1272.6021728999999</v>
      </c>
      <c r="G1220">
        <v>2400</v>
      </c>
      <c r="H1220">
        <v>0</v>
      </c>
      <c r="I1220">
        <v>0</v>
      </c>
      <c r="J1220">
        <v>2400</v>
      </c>
      <c r="K1220">
        <v>80</v>
      </c>
      <c r="L1220">
        <v>79.977119446000003</v>
      </c>
      <c r="M1220">
        <v>50</v>
      </c>
      <c r="N1220">
        <v>49.745048523000001</v>
      </c>
    </row>
    <row r="1221" spans="1:14" x14ac:dyDescent="0.25">
      <c r="A1221">
        <v>1640.819242</v>
      </c>
      <c r="B1221" s="1">
        <f>DATE(2014,10,27) + TIME(19,39,42)</f>
        <v>41939.819236111114</v>
      </c>
      <c r="C1221">
        <v>1375.9765625</v>
      </c>
      <c r="D1221">
        <v>1362.8535156</v>
      </c>
      <c r="E1221">
        <v>1292.2833252</v>
      </c>
      <c r="F1221">
        <v>1272.6320800999999</v>
      </c>
      <c r="G1221">
        <v>2400</v>
      </c>
      <c r="H1221">
        <v>0</v>
      </c>
      <c r="I1221">
        <v>0</v>
      </c>
      <c r="J1221">
        <v>2400</v>
      </c>
      <c r="K1221">
        <v>80</v>
      </c>
      <c r="L1221">
        <v>79.977157593000001</v>
      </c>
      <c r="M1221">
        <v>50</v>
      </c>
      <c r="N1221">
        <v>49.887840271000002</v>
      </c>
    </row>
    <row r="1222" spans="1:14" x14ac:dyDescent="0.25">
      <c r="A1222">
        <v>1642.909621</v>
      </c>
      <c r="B1222" s="1">
        <f>DATE(2014,10,29) + TIME(21,49,51)</f>
        <v>41941.909618055557</v>
      </c>
      <c r="C1222">
        <v>1375.9342041</v>
      </c>
      <c r="D1222">
        <v>1362.817749</v>
      </c>
      <c r="E1222">
        <v>1292.3138428</v>
      </c>
      <c r="F1222">
        <v>1272.6683350000001</v>
      </c>
      <c r="G1222">
        <v>2400</v>
      </c>
      <c r="H1222">
        <v>0</v>
      </c>
      <c r="I1222">
        <v>0</v>
      </c>
      <c r="J1222">
        <v>2400</v>
      </c>
      <c r="K1222">
        <v>80</v>
      </c>
      <c r="L1222">
        <v>79.977172851999995</v>
      </c>
      <c r="M1222">
        <v>50</v>
      </c>
      <c r="N1222">
        <v>50.021972656000003</v>
      </c>
    </row>
    <row r="1223" spans="1:14" x14ac:dyDescent="0.25">
      <c r="A1223">
        <v>1645</v>
      </c>
      <c r="B1223" s="1">
        <f>DATE(2014,11,1) + TIME(0,0,0)</f>
        <v>41944</v>
      </c>
      <c r="C1223">
        <v>1375.9125977000001</v>
      </c>
      <c r="D1223">
        <v>1362.7995605000001</v>
      </c>
      <c r="E1223">
        <v>1292.328125</v>
      </c>
      <c r="F1223">
        <v>1272.6938477000001</v>
      </c>
      <c r="G1223">
        <v>2400</v>
      </c>
      <c r="H1223">
        <v>0</v>
      </c>
      <c r="I1223">
        <v>0</v>
      </c>
      <c r="J1223">
        <v>2400</v>
      </c>
      <c r="K1223">
        <v>80</v>
      </c>
      <c r="L1223">
        <v>79.97718811</v>
      </c>
      <c r="M1223">
        <v>50</v>
      </c>
      <c r="N1223">
        <v>50.121761321999998</v>
      </c>
    </row>
    <row r="1224" spans="1:14" x14ac:dyDescent="0.25">
      <c r="A1224">
        <v>1645.0000010000001</v>
      </c>
      <c r="B1224" s="1">
        <f>DATE(2014,11,1) + TIME(0,0,0)</f>
        <v>41944</v>
      </c>
      <c r="C1224">
        <v>1361.9276123</v>
      </c>
      <c r="D1224">
        <v>1349.7282714999999</v>
      </c>
      <c r="E1224">
        <v>1312.7608643000001</v>
      </c>
      <c r="F1224">
        <v>1293.2243652</v>
      </c>
      <c r="G1224">
        <v>0</v>
      </c>
      <c r="H1224">
        <v>2400</v>
      </c>
      <c r="I1224">
        <v>2400</v>
      </c>
      <c r="J1224">
        <v>0</v>
      </c>
      <c r="K1224">
        <v>80</v>
      </c>
      <c r="L1224">
        <v>79.977066039999997</v>
      </c>
      <c r="M1224">
        <v>50</v>
      </c>
      <c r="N1224">
        <v>50.121871947999999</v>
      </c>
    </row>
    <row r="1225" spans="1:14" x14ac:dyDescent="0.25">
      <c r="A1225">
        <v>1645.000004</v>
      </c>
      <c r="B1225" s="1">
        <f>DATE(2014,11,1) + TIME(0,0,0)</f>
        <v>41944</v>
      </c>
      <c r="C1225">
        <v>1359.7247314000001</v>
      </c>
      <c r="D1225">
        <v>1347.5251464999999</v>
      </c>
      <c r="E1225">
        <v>1315.1025391000001</v>
      </c>
      <c r="F1225">
        <v>1295.6125488</v>
      </c>
      <c r="G1225">
        <v>0</v>
      </c>
      <c r="H1225">
        <v>2400</v>
      </c>
      <c r="I1225">
        <v>2400</v>
      </c>
      <c r="J1225">
        <v>0</v>
      </c>
      <c r="K1225">
        <v>80</v>
      </c>
      <c r="L1225">
        <v>79.976753235000004</v>
      </c>
      <c r="M1225">
        <v>50</v>
      </c>
      <c r="N1225">
        <v>50.122173308999997</v>
      </c>
    </row>
    <row r="1226" spans="1:14" x14ac:dyDescent="0.25">
      <c r="A1226">
        <v>1645.0000130000001</v>
      </c>
      <c r="B1226" s="1">
        <f>DATE(2014,11,1) + TIME(0,0,1)</f>
        <v>41944.000011574077</v>
      </c>
      <c r="C1226">
        <v>1355.2783202999999</v>
      </c>
      <c r="D1226">
        <v>1343.0786132999999</v>
      </c>
      <c r="E1226">
        <v>1320.3814697</v>
      </c>
      <c r="F1226">
        <v>1300.9610596</v>
      </c>
      <c r="G1226">
        <v>0</v>
      </c>
      <c r="H1226">
        <v>2400</v>
      </c>
      <c r="I1226">
        <v>2400</v>
      </c>
      <c r="J1226">
        <v>0</v>
      </c>
      <c r="K1226">
        <v>80</v>
      </c>
      <c r="L1226">
        <v>79.976119995000005</v>
      </c>
      <c r="M1226">
        <v>50</v>
      </c>
      <c r="N1226">
        <v>50.122848511000001</v>
      </c>
    </row>
    <row r="1227" spans="1:14" x14ac:dyDescent="0.25">
      <c r="A1227">
        <v>1645.0000399999999</v>
      </c>
      <c r="B1227" s="1">
        <f>DATE(2014,11,1) + TIME(0,0,3)</f>
        <v>41944.000034722223</v>
      </c>
      <c r="C1227">
        <v>1348.7845459</v>
      </c>
      <c r="D1227">
        <v>1336.5856934000001</v>
      </c>
      <c r="E1227">
        <v>1329.2587891000001</v>
      </c>
      <c r="F1227">
        <v>1309.8763428</v>
      </c>
      <c r="G1227">
        <v>0</v>
      </c>
      <c r="H1227">
        <v>2400</v>
      </c>
      <c r="I1227">
        <v>2400</v>
      </c>
      <c r="J1227">
        <v>0</v>
      </c>
      <c r="K1227">
        <v>80</v>
      </c>
      <c r="L1227">
        <v>79.975196838000002</v>
      </c>
      <c r="M1227">
        <v>50</v>
      </c>
      <c r="N1227">
        <v>50.123966217000003</v>
      </c>
    </row>
    <row r="1228" spans="1:14" x14ac:dyDescent="0.25">
      <c r="A1228">
        <v>1645.000121</v>
      </c>
      <c r="B1228" s="1">
        <f>DATE(2014,11,1) + TIME(0,0,10)</f>
        <v>41944.000115740739</v>
      </c>
      <c r="C1228">
        <v>1341.5605469</v>
      </c>
      <c r="D1228">
        <v>1329.3643798999999</v>
      </c>
      <c r="E1228">
        <v>1340.1551514</v>
      </c>
      <c r="F1228">
        <v>1320.7668457</v>
      </c>
      <c r="G1228">
        <v>0</v>
      </c>
      <c r="H1228">
        <v>2400</v>
      </c>
      <c r="I1228">
        <v>2400</v>
      </c>
      <c r="J1228">
        <v>0</v>
      </c>
      <c r="K1228">
        <v>80</v>
      </c>
      <c r="L1228">
        <v>79.974159240999995</v>
      </c>
      <c r="M1228">
        <v>50</v>
      </c>
      <c r="N1228">
        <v>50.125324249000002</v>
      </c>
    </row>
    <row r="1229" spans="1:14" x14ac:dyDescent="0.25">
      <c r="A1229">
        <v>1645.000364</v>
      </c>
      <c r="B1229" s="1">
        <f>DATE(2014,11,1) + TIME(0,0,31)</f>
        <v>41944.000358796293</v>
      </c>
      <c r="C1229">
        <v>1334.3052978999999</v>
      </c>
      <c r="D1229">
        <v>1322.112793</v>
      </c>
      <c r="E1229">
        <v>1351.4034423999999</v>
      </c>
      <c r="F1229">
        <v>1332.0041504000001</v>
      </c>
      <c r="G1229">
        <v>0</v>
      </c>
      <c r="H1229">
        <v>2400</v>
      </c>
      <c r="I1229">
        <v>2400</v>
      </c>
      <c r="J1229">
        <v>0</v>
      </c>
      <c r="K1229">
        <v>80</v>
      </c>
      <c r="L1229">
        <v>79.973106384000005</v>
      </c>
      <c r="M1229">
        <v>50</v>
      </c>
      <c r="N1229">
        <v>50.126701355000002</v>
      </c>
    </row>
    <row r="1230" spans="1:14" x14ac:dyDescent="0.25">
      <c r="A1230">
        <v>1645.0010930000001</v>
      </c>
      <c r="B1230" s="1">
        <f>DATE(2014,11,1) + TIME(0,1,34)</f>
        <v>41944.001087962963</v>
      </c>
      <c r="C1230">
        <v>1327.0534668</v>
      </c>
      <c r="D1230">
        <v>1314.8548584</v>
      </c>
      <c r="E1230">
        <v>1362.6397704999999</v>
      </c>
      <c r="F1230">
        <v>1343.2205810999999</v>
      </c>
      <c r="G1230">
        <v>0</v>
      </c>
      <c r="H1230">
        <v>2400</v>
      </c>
      <c r="I1230">
        <v>2400</v>
      </c>
      <c r="J1230">
        <v>0</v>
      </c>
      <c r="K1230">
        <v>80</v>
      </c>
      <c r="L1230">
        <v>79.972000121999997</v>
      </c>
      <c r="M1230">
        <v>50</v>
      </c>
      <c r="N1230">
        <v>50.127998351999999</v>
      </c>
    </row>
    <row r="1231" spans="1:14" x14ac:dyDescent="0.25">
      <c r="A1231">
        <v>1645.0032799999999</v>
      </c>
      <c r="B1231" s="1">
        <f>DATE(2014,11,1) + TIME(0,4,43)</f>
        <v>41944.003275462965</v>
      </c>
      <c r="C1231">
        <v>1319.8071289</v>
      </c>
      <c r="D1231">
        <v>1307.5595702999999</v>
      </c>
      <c r="E1231">
        <v>1373.6352539</v>
      </c>
      <c r="F1231">
        <v>1354.1655272999999</v>
      </c>
      <c r="G1231">
        <v>0</v>
      </c>
      <c r="H1231">
        <v>2400</v>
      </c>
      <c r="I1231">
        <v>2400</v>
      </c>
      <c r="J1231">
        <v>0</v>
      </c>
      <c r="K1231">
        <v>80</v>
      </c>
      <c r="L1231">
        <v>79.970741271999998</v>
      </c>
      <c r="M1231">
        <v>50</v>
      </c>
      <c r="N1231">
        <v>50.129020691000001</v>
      </c>
    </row>
    <row r="1232" spans="1:14" x14ac:dyDescent="0.25">
      <c r="A1232">
        <v>1645.0098410000001</v>
      </c>
      <c r="B1232" s="1">
        <f>DATE(2014,11,1) + TIME(0,14,10)</f>
        <v>41944.009837962964</v>
      </c>
      <c r="C1232">
        <v>1313.1934814000001</v>
      </c>
      <c r="D1232">
        <v>1300.8754882999999</v>
      </c>
      <c r="E1232">
        <v>1383.0905762</v>
      </c>
      <c r="F1232">
        <v>1363.5482178</v>
      </c>
      <c r="G1232">
        <v>0</v>
      </c>
      <c r="H1232">
        <v>2400</v>
      </c>
      <c r="I1232">
        <v>2400</v>
      </c>
      <c r="J1232">
        <v>0</v>
      </c>
      <c r="K1232">
        <v>80</v>
      </c>
      <c r="L1232">
        <v>79.969108582000004</v>
      </c>
      <c r="M1232">
        <v>50</v>
      </c>
      <c r="N1232">
        <v>50.129127502000003</v>
      </c>
    </row>
    <row r="1233" spans="1:14" x14ac:dyDescent="0.25">
      <c r="A1233">
        <v>1645.029524</v>
      </c>
      <c r="B1233" s="1">
        <f>DATE(2014,11,1) + TIME(0,42,30)</f>
        <v>41944.029513888891</v>
      </c>
      <c r="C1233">
        <v>1308.7021483999999</v>
      </c>
      <c r="D1233">
        <v>1296.3468018000001</v>
      </c>
      <c r="E1233">
        <v>1388.8527832</v>
      </c>
      <c r="F1233">
        <v>1369.2609863</v>
      </c>
      <c r="G1233">
        <v>0</v>
      </c>
      <c r="H1233">
        <v>2400</v>
      </c>
      <c r="I1233">
        <v>2400</v>
      </c>
      <c r="J1233">
        <v>0</v>
      </c>
      <c r="K1233">
        <v>80</v>
      </c>
      <c r="L1233">
        <v>79.966407775999997</v>
      </c>
      <c r="M1233">
        <v>50</v>
      </c>
      <c r="N1233">
        <v>50.126670836999999</v>
      </c>
    </row>
    <row r="1234" spans="1:14" x14ac:dyDescent="0.25">
      <c r="A1234">
        <v>1645.088573</v>
      </c>
      <c r="B1234" s="1">
        <f>DATE(2014,11,1) + TIME(2,7,32)</f>
        <v>41944.088564814818</v>
      </c>
      <c r="C1234">
        <v>1306.9801024999999</v>
      </c>
      <c r="D1234">
        <v>1294.6147461</v>
      </c>
      <c r="E1234">
        <v>1390.6356201000001</v>
      </c>
      <c r="F1234">
        <v>1371.0367432</v>
      </c>
      <c r="G1234">
        <v>0</v>
      </c>
      <c r="H1234">
        <v>2400</v>
      </c>
      <c r="I1234">
        <v>2400</v>
      </c>
      <c r="J1234">
        <v>0</v>
      </c>
      <c r="K1234">
        <v>80</v>
      </c>
      <c r="L1234">
        <v>79.960273743000002</v>
      </c>
      <c r="M1234">
        <v>50</v>
      </c>
      <c r="N1234">
        <v>50.117988586000003</v>
      </c>
    </row>
    <row r="1235" spans="1:14" x14ac:dyDescent="0.25">
      <c r="A1235">
        <v>1645.2657200000001</v>
      </c>
      <c r="B1235" s="1">
        <f>DATE(2014,11,1) + TIME(6,22,38)</f>
        <v>41944.265717592592</v>
      </c>
      <c r="C1235">
        <v>1306.6798096</v>
      </c>
      <c r="D1235">
        <v>1294.3121338000001</v>
      </c>
      <c r="E1235">
        <v>1390.7463379000001</v>
      </c>
      <c r="F1235">
        <v>1371.1728516000001</v>
      </c>
      <c r="G1235">
        <v>0</v>
      </c>
      <c r="H1235">
        <v>2400</v>
      </c>
      <c r="I1235">
        <v>2400</v>
      </c>
      <c r="J1235">
        <v>0</v>
      </c>
      <c r="K1235">
        <v>80</v>
      </c>
      <c r="L1235">
        <v>79.944862365999995</v>
      </c>
      <c r="M1235">
        <v>50</v>
      </c>
      <c r="N1235">
        <v>50.096038817999997</v>
      </c>
    </row>
    <row r="1236" spans="1:14" x14ac:dyDescent="0.25">
      <c r="A1236">
        <v>1645.518296</v>
      </c>
      <c r="B1236" s="1">
        <f>DATE(2014,11,1) + TIME(12,26,20)</f>
        <v>41944.518287037034</v>
      </c>
      <c r="C1236">
        <v>1306.6551514</v>
      </c>
      <c r="D1236">
        <v>1294.286499</v>
      </c>
      <c r="E1236">
        <v>1390.6450195</v>
      </c>
      <c r="F1236">
        <v>1371.1020507999999</v>
      </c>
      <c r="G1236">
        <v>0</v>
      </c>
      <c r="H1236">
        <v>2400</v>
      </c>
      <c r="I1236">
        <v>2400</v>
      </c>
      <c r="J1236">
        <v>0</v>
      </c>
      <c r="K1236">
        <v>80</v>
      </c>
      <c r="L1236">
        <v>79.925048828000001</v>
      </c>
      <c r="M1236">
        <v>50</v>
      </c>
      <c r="N1236">
        <v>50.072071074999997</v>
      </c>
    </row>
    <row r="1237" spans="1:14" x14ac:dyDescent="0.25">
      <c r="A1237">
        <v>1645.841727</v>
      </c>
      <c r="B1237" s="1">
        <f>DATE(2014,11,1) + TIME(20,12,5)</f>
        <v>41944.841724537036</v>
      </c>
      <c r="C1237">
        <v>1306.6488036999999</v>
      </c>
      <c r="D1237">
        <v>1294.2791748</v>
      </c>
      <c r="E1237">
        <v>1390.5449219</v>
      </c>
      <c r="F1237">
        <v>1371.0314940999999</v>
      </c>
      <c r="G1237">
        <v>0</v>
      </c>
      <c r="H1237">
        <v>2400</v>
      </c>
      <c r="I1237">
        <v>2400</v>
      </c>
      <c r="J1237">
        <v>0</v>
      </c>
      <c r="K1237">
        <v>80</v>
      </c>
      <c r="L1237">
        <v>79.901687621999997</v>
      </c>
      <c r="M1237">
        <v>50</v>
      </c>
      <c r="N1237">
        <v>50.050029754999997</v>
      </c>
    </row>
    <row r="1238" spans="1:14" x14ac:dyDescent="0.25">
      <c r="A1238">
        <v>1646.282753</v>
      </c>
      <c r="B1238" s="1">
        <f>DATE(2014,11,2) + TIME(6,47,9)</f>
        <v>41945.282743055555</v>
      </c>
      <c r="C1238">
        <v>1306.6420897999999</v>
      </c>
      <c r="D1238">
        <v>1294.2714844</v>
      </c>
      <c r="E1238">
        <v>1390.4526367000001</v>
      </c>
      <c r="F1238">
        <v>1370.9671631000001</v>
      </c>
      <c r="G1238">
        <v>0</v>
      </c>
      <c r="H1238">
        <v>2400</v>
      </c>
      <c r="I1238">
        <v>2400</v>
      </c>
      <c r="J1238">
        <v>0</v>
      </c>
      <c r="K1238">
        <v>80</v>
      </c>
      <c r="L1238">
        <v>79.872871399000005</v>
      </c>
      <c r="M1238">
        <v>50</v>
      </c>
      <c r="N1238">
        <v>50.030429839999996</v>
      </c>
    </row>
    <row r="1239" spans="1:14" x14ac:dyDescent="0.25">
      <c r="A1239">
        <v>1646.7936500000001</v>
      </c>
      <c r="B1239" s="1">
        <f>DATE(2014,11,2) + TIME(19,2,51)</f>
        <v>41945.793645833335</v>
      </c>
      <c r="C1239">
        <v>1306.6330565999999</v>
      </c>
      <c r="D1239">
        <v>1294.2613524999999</v>
      </c>
      <c r="E1239">
        <v>1390.3809814000001</v>
      </c>
      <c r="F1239">
        <v>1370.918457</v>
      </c>
      <c r="G1239">
        <v>0</v>
      </c>
      <c r="H1239">
        <v>2400</v>
      </c>
      <c r="I1239">
        <v>2400</v>
      </c>
      <c r="J1239">
        <v>0</v>
      </c>
      <c r="K1239">
        <v>80</v>
      </c>
      <c r="L1239">
        <v>79.840408324999999</v>
      </c>
      <c r="M1239">
        <v>50</v>
      </c>
      <c r="N1239">
        <v>50.016380310000002</v>
      </c>
    </row>
    <row r="1240" spans="1:14" x14ac:dyDescent="0.25">
      <c r="A1240">
        <v>1647.40508</v>
      </c>
      <c r="B1240" s="1">
        <f>DATE(2014,11,3) + TIME(9,43,18)</f>
        <v>41946.405069444445</v>
      </c>
      <c r="C1240">
        <v>1306.6226807</v>
      </c>
      <c r="D1240">
        <v>1294.2497559000001</v>
      </c>
      <c r="E1240">
        <v>1390.3255615</v>
      </c>
      <c r="F1240">
        <v>1370.8818358999999</v>
      </c>
      <c r="G1240">
        <v>0</v>
      </c>
      <c r="H1240">
        <v>2400</v>
      </c>
      <c r="I1240">
        <v>2400</v>
      </c>
      <c r="J1240">
        <v>0</v>
      </c>
      <c r="K1240">
        <v>80</v>
      </c>
      <c r="L1240">
        <v>79.803100585999999</v>
      </c>
      <c r="M1240">
        <v>50</v>
      </c>
      <c r="N1240">
        <v>50.006694793999998</v>
      </c>
    </row>
    <row r="1241" spans="1:14" x14ac:dyDescent="0.25">
      <c r="A1241">
        <v>1648.166352</v>
      </c>
      <c r="B1241" s="1">
        <f>DATE(2014,11,4) + TIME(3,59,32)</f>
        <v>41947.166342592594</v>
      </c>
      <c r="C1241">
        <v>1306.6103516000001</v>
      </c>
      <c r="D1241">
        <v>1294.2358397999999</v>
      </c>
      <c r="E1241">
        <v>1390.2823486</v>
      </c>
      <c r="F1241">
        <v>1370.8543701000001</v>
      </c>
      <c r="G1241">
        <v>0</v>
      </c>
      <c r="H1241">
        <v>2400</v>
      </c>
      <c r="I1241">
        <v>2400</v>
      </c>
      <c r="J1241">
        <v>0</v>
      </c>
      <c r="K1241">
        <v>80</v>
      </c>
      <c r="L1241">
        <v>79.759094238000003</v>
      </c>
      <c r="M1241">
        <v>50</v>
      </c>
      <c r="N1241">
        <v>50.000404357999997</v>
      </c>
    </row>
    <row r="1242" spans="1:14" x14ac:dyDescent="0.25">
      <c r="A1242">
        <v>1649.026067</v>
      </c>
      <c r="B1242" s="1">
        <f>DATE(2014,11,5) + TIME(0,37,32)</f>
        <v>41948.026064814818</v>
      </c>
      <c r="C1242">
        <v>1306.5949707</v>
      </c>
      <c r="D1242">
        <v>1294.2188721</v>
      </c>
      <c r="E1242">
        <v>1390.2490233999999</v>
      </c>
      <c r="F1242">
        <v>1370.8344727000001</v>
      </c>
      <c r="G1242">
        <v>0</v>
      </c>
      <c r="H1242">
        <v>2400</v>
      </c>
      <c r="I1242">
        <v>2400</v>
      </c>
      <c r="J1242">
        <v>0</v>
      </c>
      <c r="K1242">
        <v>80</v>
      </c>
      <c r="L1242">
        <v>79.709068298000005</v>
      </c>
      <c r="M1242">
        <v>50</v>
      </c>
      <c r="N1242">
        <v>49.996913910000004</v>
      </c>
    </row>
    <row r="1243" spans="1:14" x14ac:dyDescent="0.25">
      <c r="A1243">
        <v>1649.9178300000001</v>
      </c>
      <c r="B1243" s="1">
        <f>DATE(2014,11,5) + TIME(22,1,40)</f>
        <v>41948.917824074073</v>
      </c>
      <c r="C1243">
        <v>1306.5777588000001</v>
      </c>
      <c r="D1243">
        <v>1294.1999512</v>
      </c>
      <c r="E1243">
        <v>1390.2235106999999</v>
      </c>
      <c r="F1243">
        <v>1370.8201904</v>
      </c>
      <c r="G1243">
        <v>0</v>
      </c>
      <c r="H1243">
        <v>2400</v>
      </c>
      <c r="I1243">
        <v>2400</v>
      </c>
      <c r="J1243">
        <v>0</v>
      </c>
      <c r="K1243">
        <v>80</v>
      </c>
      <c r="L1243">
        <v>79.655288696</v>
      </c>
      <c r="M1243">
        <v>50</v>
      </c>
      <c r="N1243">
        <v>49.995174407999997</v>
      </c>
    </row>
    <row r="1244" spans="1:14" x14ac:dyDescent="0.25">
      <c r="A1244">
        <v>1650.896739</v>
      </c>
      <c r="B1244" s="1">
        <f>DATE(2014,11,6) + TIME(21,31,18)</f>
        <v>41949.896736111114</v>
      </c>
      <c r="C1244">
        <v>1306.5599365</v>
      </c>
      <c r="D1244">
        <v>1294.1801757999999</v>
      </c>
      <c r="E1244">
        <v>1390.2037353999999</v>
      </c>
      <c r="F1244">
        <v>1370.8096923999999</v>
      </c>
      <c r="G1244">
        <v>0</v>
      </c>
      <c r="H1244">
        <v>2400</v>
      </c>
      <c r="I1244">
        <v>2400</v>
      </c>
      <c r="J1244">
        <v>0</v>
      </c>
      <c r="K1244">
        <v>80</v>
      </c>
      <c r="L1244">
        <v>79.597740173000005</v>
      </c>
      <c r="M1244">
        <v>50</v>
      </c>
      <c r="N1244">
        <v>49.994304657000001</v>
      </c>
    </row>
    <row r="1245" spans="1:14" x14ac:dyDescent="0.25">
      <c r="A1245">
        <v>1652.0199809999999</v>
      </c>
      <c r="B1245" s="1">
        <f>DATE(2014,11,8) + TIME(0,28,46)</f>
        <v>41951.019976851851</v>
      </c>
      <c r="C1245">
        <v>1306.5406493999999</v>
      </c>
      <c r="D1245">
        <v>1294.1585693</v>
      </c>
      <c r="E1245">
        <v>1390.1870117000001</v>
      </c>
      <c r="F1245">
        <v>1370.8013916</v>
      </c>
      <c r="G1245">
        <v>0</v>
      </c>
      <c r="H1245">
        <v>2400</v>
      </c>
      <c r="I1245">
        <v>2400</v>
      </c>
      <c r="J1245">
        <v>0</v>
      </c>
      <c r="K1245">
        <v>80</v>
      </c>
      <c r="L1245">
        <v>79.534866332999997</v>
      </c>
      <c r="M1245">
        <v>50</v>
      </c>
      <c r="N1245">
        <v>49.993888855000002</v>
      </c>
    </row>
    <row r="1246" spans="1:14" x14ac:dyDescent="0.25">
      <c r="A1246">
        <v>1653.2985610000001</v>
      </c>
      <c r="B1246" s="1">
        <f>DATE(2014,11,9) + TIME(7,9,55)</f>
        <v>41952.29855324074</v>
      </c>
      <c r="C1246">
        <v>1306.5184326000001</v>
      </c>
      <c r="D1246">
        <v>1294.1339111</v>
      </c>
      <c r="E1246">
        <v>1390.1719971</v>
      </c>
      <c r="F1246">
        <v>1370.7943115</v>
      </c>
      <c r="G1246">
        <v>0</v>
      </c>
      <c r="H1246">
        <v>2400</v>
      </c>
      <c r="I1246">
        <v>2400</v>
      </c>
      <c r="J1246">
        <v>0</v>
      </c>
      <c r="K1246">
        <v>80</v>
      </c>
      <c r="L1246">
        <v>79.465438843000001</v>
      </c>
      <c r="M1246">
        <v>50</v>
      </c>
      <c r="N1246">
        <v>49.993713378999999</v>
      </c>
    </row>
    <row r="1247" spans="1:14" x14ac:dyDescent="0.25">
      <c r="A1247">
        <v>1654.6019470000001</v>
      </c>
      <c r="B1247" s="1">
        <f>DATE(2014,11,10) + TIME(14,26,48)</f>
        <v>41953.601944444446</v>
      </c>
      <c r="C1247">
        <v>1306.4930420000001</v>
      </c>
      <c r="D1247">
        <v>1294.105957</v>
      </c>
      <c r="E1247">
        <v>1390.1583252</v>
      </c>
      <c r="F1247">
        <v>1370.7882079999999</v>
      </c>
      <c r="G1247">
        <v>0</v>
      </c>
      <c r="H1247">
        <v>2400</v>
      </c>
      <c r="I1247">
        <v>2400</v>
      </c>
      <c r="J1247">
        <v>0</v>
      </c>
      <c r="K1247">
        <v>80</v>
      </c>
      <c r="L1247">
        <v>79.391601562000005</v>
      </c>
      <c r="M1247">
        <v>50</v>
      </c>
      <c r="N1247">
        <v>49.993648528999998</v>
      </c>
    </row>
    <row r="1248" spans="1:14" x14ac:dyDescent="0.25">
      <c r="A1248">
        <v>1655.988793</v>
      </c>
      <c r="B1248" s="1">
        <f>DATE(2014,11,11) + TIME(23,43,51)</f>
        <v>41954.98878472222</v>
      </c>
      <c r="C1248">
        <v>1306.4671631000001</v>
      </c>
      <c r="D1248">
        <v>1294.0771483999999</v>
      </c>
      <c r="E1248">
        <v>1390.1470947</v>
      </c>
      <c r="F1248">
        <v>1370.7835693</v>
      </c>
      <c r="G1248">
        <v>0</v>
      </c>
      <c r="H1248">
        <v>2400</v>
      </c>
      <c r="I1248">
        <v>2400</v>
      </c>
      <c r="J1248">
        <v>0</v>
      </c>
      <c r="K1248">
        <v>80</v>
      </c>
      <c r="L1248">
        <v>79.314857482999997</v>
      </c>
      <c r="M1248">
        <v>50</v>
      </c>
      <c r="N1248">
        <v>49.993629456000001</v>
      </c>
    </row>
    <row r="1249" spans="1:14" x14ac:dyDescent="0.25">
      <c r="A1249">
        <v>1657.5221489999999</v>
      </c>
      <c r="B1249" s="1">
        <f>DATE(2014,11,13) + TIME(12,31,53)</f>
        <v>41956.522141203706</v>
      </c>
      <c r="C1249">
        <v>1306.4396973</v>
      </c>
      <c r="D1249">
        <v>1294.0465088000001</v>
      </c>
      <c r="E1249">
        <v>1390.137207</v>
      </c>
      <c r="F1249">
        <v>1370.7797852000001</v>
      </c>
      <c r="G1249">
        <v>0</v>
      </c>
      <c r="H1249">
        <v>2400</v>
      </c>
      <c r="I1249">
        <v>2400</v>
      </c>
      <c r="J1249">
        <v>0</v>
      </c>
      <c r="K1249">
        <v>80</v>
      </c>
      <c r="L1249">
        <v>79.233863830999994</v>
      </c>
      <c r="M1249">
        <v>50</v>
      </c>
      <c r="N1249">
        <v>49.993629456000001</v>
      </c>
    </row>
    <row r="1250" spans="1:14" x14ac:dyDescent="0.25">
      <c r="A1250">
        <v>1659.2337540000001</v>
      </c>
      <c r="B1250" s="1">
        <f>DATE(2014,11,15) + TIME(5,36,36)</f>
        <v>41958.233749999999</v>
      </c>
      <c r="C1250">
        <v>1306.4090576000001</v>
      </c>
      <c r="D1250">
        <v>1294.0124512</v>
      </c>
      <c r="E1250">
        <v>1390.1281738</v>
      </c>
      <c r="F1250">
        <v>1370.7766113</v>
      </c>
      <c r="G1250">
        <v>0</v>
      </c>
      <c r="H1250">
        <v>2400</v>
      </c>
      <c r="I1250">
        <v>2400</v>
      </c>
      <c r="J1250">
        <v>0</v>
      </c>
      <c r="K1250">
        <v>80</v>
      </c>
      <c r="L1250">
        <v>79.146751404</v>
      </c>
      <c r="M1250">
        <v>50</v>
      </c>
      <c r="N1250">
        <v>49.993633269999997</v>
      </c>
    </row>
    <row r="1251" spans="1:14" x14ac:dyDescent="0.25">
      <c r="A1251">
        <v>1660.971037</v>
      </c>
      <c r="B1251" s="1">
        <f>DATE(2014,11,16) + TIME(23,18,17)</f>
        <v>41959.971030092594</v>
      </c>
      <c r="C1251">
        <v>1306.3746338000001</v>
      </c>
      <c r="D1251">
        <v>1293.9743652</v>
      </c>
      <c r="E1251">
        <v>1390.119751</v>
      </c>
      <c r="F1251">
        <v>1370.7739257999999</v>
      </c>
      <c r="G1251">
        <v>0</v>
      </c>
      <c r="H1251">
        <v>2400</v>
      </c>
      <c r="I1251">
        <v>2400</v>
      </c>
      <c r="J1251">
        <v>0</v>
      </c>
      <c r="K1251">
        <v>80</v>
      </c>
      <c r="L1251">
        <v>79.054939270000006</v>
      </c>
      <c r="M1251">
        <v>50</v>
      </c>
      <c r="N1251">
        <v>49.993637085000003</v>
      </c>
    </row>
    <row r="1252" spans="1:14" x14ac:dyDescent="0.25">
      <c r="A1252">
        <v>1662.794999</v>
      </c>
      <c r="B1252" s="1">
        <f>DATE(2014,11,18) + TIME(19,4,47)</f>
        <v>41961.794988425929</v>
      </c>
      <c r="C1252">
        <v>1306.3394774999999</v>
      </c>
      <c r="D1252">
        <v>1293.9351807</v>
      </c>
      <c r="E1252">
        <v>1390.1126709</v>
      </c>
      <c r="F1252">
        <v>1370.7719727000001</v>
      </c>
      <c r="G1252">
        <v>0</v>
      </c>
      <c r="H1252">
        <v>2400</v>
      </c>
      <c r="I1252">
        <v>2400</v>
      </c>
      <c r="J1252">
        <v>0</v>
      </c>
      <c r="K1252">
        <v>80</v>
      </c>
      <c r="L1252">
        <v>78.960968018000003</v>
      </c>
      <c r="M1252">
        <v>50</v>
      </c>
      <c r="N1252">
        <v>49.993644713999998</v>
      </c>
    </row>
    <row r="1253" spans="1:14" x14ac:dyDescent="0.25">
      <c r="A1253">
        <v>1664.771923</v>
      </c>
      <c r="B1253" s="1">
        <f>DATE(2014,11,20) + TIME(18,31,34)</f>
        <v>41963.771921296298</v>
      </c>
      <c r="C1253">
        <v>1306.3023682</v>
      </c>
      <c r="D1253">
        <v>1293.8934326000001</v>
      </c>
      <c r="E1253">
        <v>1390.1064452999999</v>
      </c>
      <c r="F1253">
        <v>1370.7705077999999</v>
      </c>
      <c r="G1253">
        <v>0</v>
      </c>
      <c r="H1253">
        <v>2400</v>
      </c>
      <c r="I1253">
        <v>2400</v>
      </c>
      <c r="J1253">
        <v>0</v>
      </c>
      <c r="K1253">
        <v>80</v>
      </c>
      <c r="L1253">
        <v>78.863594054999993</v>
      </c>
      <c r="M1253">
        <v>50</v>
      </c>
      <c r="N1253">
        <v>49.993648528999998</v>
      </c>
    </row>
    <row r="1254" spans="1:14" x14ac:dyDescent="0.25">
      <c r="A1254">
        <v>1666.9158640000001</v>
      </c>
      <c r="B1254" s="1">
        <f>DATE(2014,11,22) + TIME(21,58,50)</f>
        <v>41965.915856481479</v>
      </c>
      <c r="C1254">
        <v>1306.2615966999999</v>
      </c>
      <c r="D1254">
        <v>1293.8477783000001</v>
      </c>
      <c r="E1254">
        <v>1390.1008300999999</v>
      </c>
      <c r="F1254">
        <v>1370.7695312000001</v>
      </c>
      <c r="G1254">
        <v>0</v>
      </c>
      <c r="H1254">
        <v>2400</v>
      </c>
      <c r="I1254">
        <v>2400</v>
      </c>
      <c r="J1254">
        <v>0</v>
      </c>
      <c r="K1254">
        <v>80</v>
      </c>
      <c r="L1254">
        <v>78.761070251000007</v>
      </c>
      <c r="M1254">
        <v>50</v>
      </c>
      <c r="N1254">
        <v>49.993656158</v>
      </c>
    </row>
    <row r="1255" spans="1:14" x14ac:dyDescent="0.25">
      <c r="A1255">
        <v>1669.094079</v>
      </c>
      <c r="B1255" s="1">
        <f>DATE(2014,11,25) + TIME(2,15,28)</f>
        <v>41968.094074074077</v>
      </c>
      <c r="C1255">
        <v>1306.2165527</v>
      </c>
      <c r="D1255">
        <v>1293.7973632999999</v>
      </c>
      <c r="E1255">
        <v>1390.0958252</v>
      </c>
      <c r="F1255">
        <v>1370.7689209</v>
      </c>
      <c r="G1255">
        <v>0</v>
      </c>
      <c r="H1255">
        <v>2400</v>
      </c>
      <c r="I1255">
        <v>2400</v>
      </c>
      <c r="J1255">
        <v>0</v>
      </c>
      <c r="K1255">
        <v>80</v>
      </c>
      <c r="L1255">
        <v>78.654510497999993</v>
      </c>
      <c r="M1255">
        <v>50</v>
      </c>
      <c r="N1255">
        <v>49.993663787999999</v>
      </c>
    </row>
    <row r="1256" spans="1:14" x14ac:dyDescent="0.25">
      <c r="A1256">
        <v>1671.3685190000001</v>
      </c>
      <c r="B1256" s="1">
        <f>DATE(2014,11,27) + TIME(8,50,40)</f>
        <v>41970.368518518517</v>
      </c>
      <c r="C1256">
        <v>1306.1701660000001</v>
      </c>
      <c r="D1256">
        <v>1293.7449951000001</v>
      </c>
      <c r="E1256">
        <v>1390.0915527</v>
      </c>
      <c r="F1256">
        <v>1370.7686768000001</v>
      </c>
      <c r="G1256">
        <v>0</v>
      </c>
      <c r="H1256">
        <v>2400</v>
      </c>
      <c r="I1256">
        <v>2400</v>
      </c>
      <c r="J1256">
        <v>0</v>
      </c>
      <c r="K1256">
        <v>80</v>
      </c>
      <c r="L1256">
        <v>78.546501160000005</v>
      </c>
      <c r="M1256">
        <v>50</v>
      </c>
      <c r="N1256">
        <v>49.993671417000002</v>
      </c>
    </row>
    <row r="1257" spans="1:14" x14ac:dyDescent="0.25">
      <c r="A1257">
        <v>1673.807262</v>
      </c>
      <c r="B1257" s="1">
        <f>DATE(2014,11,29) + TIME(19,22,27)</f>
        <v>41972.807256944441</v>
      </c>
      <c r="C1257">
        <v>1306.1208495999999</v>
      </c>
      <c r="D1257">
        <v>1293.6888428</v>
      </c>
      <c r="E1257">
        <v>1390.0878906</v>
      </c>
      <c r="F1257">
        <v>1370.7687988</v>
      </c>
      <c r="G1257">
        <v>0</v>
      </c>
      <c r="H1257">
        <v>2400</v>
      </c>
      <c r="I1257">
        <v>2400</v>
      </c>
      <c r="J1257">
        <v>0</v>
      </c>
      <c r="K1257">
        <v>80</v>
      </c>
      <c r="L1257">
        <v>78.435684203999998</v>
      </c>
      <c r="M1257">
        <v>50</v>
      </c>
      <c r="N1257">
        <v>49.993679047000001</v>
      </c>
    </row>
    <row r="1258" spans="1:14" x14ac:dyDescent="0.25">
      <c r="A1258">
        <v>1675</v>
      </c>
      <c r="B1258" s="1">
        <f>DATE(2014,12,1) + TIME(0,0,0)</f>
        <v>41974</v>
      </c>
      <c r="C1258">
        <v>1306.0656738</v>
      </c>
      <c r="D1258">
        <v>1293.6285399999999</v>
      </c>
      <c r="E1258">
        <v>1390.0844727000001</v>
      </c>
      <c r="F1258">
        <v>1370.769043</v>
      </c>
      <c r="G1258">
        <v>0</v>
      </c>
      <c r="H1258">
        <v>2400</v>
      </c>
      <c r="I1258">
        <v>2400</v>
      </c>
      <c r="J1258">
        <v>0</v>
      </c>
      <c r="K1258">
        <v>80</v>
      </c>
      <c r="L1258">
        <v>78.346252441000004</v>
      </c>
      <c r="M1258">
        <v>50</v>
      </c>
      <c r="N1258">
        <v>49.993682861000003</v>
      </c>
    </row>
    <row r="1259" spans="1:14" x14ac:dyDescent="0.25">
      <c r="A1259">
        <v>1677.5670210000001</v>
      </c>
      <c r="B1259" s="1">
        <f>DATE(2014,12,3) + TIME(13,36,30)</f>
        <v>41976.567013888889</v>
      </c>
      <c r="C1259">
        <v>1306.0391846</v>
      </c>
      <c r="D1259">
        <v>1293.5942382999999</v>
      </c>
      <c r="E1259">
        <v>1390.0832519999999</v>
      </c>
      <c r="F1259">
        <v>1370.7694091999999</v>
      </c>
      <c r="G1259">
        <v>0</v>
      </c>
      <c r="H1259">
        <v>2400</v>
      </c>
      <c r="I1259">
        <v>2400</v>
      </c>
      <c r="J1259">
        <v>0</v>
      </c>
      <c r="K1259">
        <v>80</v>
      </c>
      <c r="L1259">
        <v>78.257209778000004</v>
      </c>
      <c r="M1259">
        <v>50</v>
      </c>
      <c r="N1259">
        <v>49.993694304999998</v>
      </c>
    </row>
    <row r="1260" spans="1:14" x14ac:dyDescent="0.25">
      <c r="A1260">
        <v>1680.2347440000001</v>
      </c>
      <c r="B1260" s="1">
        <f>DATE(2014,12,6) + TIME(5,38,1)</f>
        <v>41979.234733796293</v>
      </c>
      <c r="C1260">
        <v>1305.9801024999999</v>
      </c>
      <c r="D1260">
        <v>1293.5270995999999</v>
      </c>
      <c r="E1260">
        <v>1390.0808105000001</v>
      </c>
      <c r="F1260">
        <v>1370.7702637</v>
      </c>
      <c r="G1260">
        <v>0</v>
      </c>
      <c r="H1260">
        <v>2400</v>
      </c>
      <c r="I1260">
        <v>2400</v>
      </c>
      <c r="J1260">
        <v>0</v>
      </c>
      <c r="K1260">
        <v>80</v>
      </c>
      <c r="L1260">
        <v>78.146476746000005</v>
      </c>
      <c r="M1260">
        <v>50</v>
      </c>
      <c r="N1260">
        <v>49.993701934999997</v>
      </c>
    </row>
    <row r="1261" spans="1:14" x14ac:dyDescent="0.25">
      <c r="A1261">
        <v>1682.9993730000001</v>
      </c>
      <c r="B1261" s="1">
        <f>DATE(2014,12,8) + TIME(23,59,5)</f>
        <v>41981.999363425923</v>
      </c>
      <c r="C1261">
        <v>1305.9165039</v>
      </c>
      <c r="D1261">
        <v>1293.4533690999999</v>
      </c>
      <c r="E1261">
        <v>1390.0787353999999</v>
      </c>
      <c r="F1261">
        <v>1370.7712402</v>
      </c>
      <c r="G1261">
        <v>0</v>
      </c>
      <c r="H1261">
        <v>2400</v>
      </c>
      <c r="I1261">
        <v>2400</v>
      </c>
      <c r="J1261">
        <v>0</v>
      </c>
      <c r="K1261">
        <v>80</v>
      </c>
      <c r="L1261">
        <v>78.028945922999995</v>
      </c>
      <c r="M1261">
        <v>50</v>
      </c>
      <c r="N1261">
        <v>49.993709564</v>
      </c>
    </row>
    <row r="1262" spans="1:14" x14ac:dyDescent="0.25">
      <c r="A1262">
        <v>1685.8278250000001</v>
      </c>
      <c r="B1262" s="1">
        <f>DATE(2014,12,11) + TIME(19,52,4)</f>
        <v>41984.827824074076</v>
      </c>
      <c r="C1262">
        <v>1305.8482666</v>
      </c>
      <c r="D1262">
        <v>1293.3734131000001</v>
      </c>
      <c r="E1262">
        <v>1390.0770264</v>
      </c>
      <c r="F1262">
        <v>1370.7724608999999</v>
      </c>
      <c r="G1262">
        <v>0</v>
      </c>
      <c r="H1262">
        <v>2400</v>
      </c>
      <c r="I1262">
        <v>2400</v>
      </c>
      <c r="J1262">
        <v>0</v>
      </c>
      <c r="K1262">
        <v>80</v>
      </c>
      <c r="L1262">
        <v>77.908889771000005</v>
      </c>
      <c r="M1262">
        <v>50</v>
      </c>
      <c r="N1262">
        <v>49.993721008000001</v>
      </c>
    </row>
    <row r="1263" spans="1:14" x14ac:dyDescent="0.25">
      <c r="A1263">
        <v>1688.7366019999999</v>
      </c>
      <c r="B1263" s="1">
        <f>DATE(2014,12,14) + TIME(17,40,42)</f>
        <v>41987.736597222225</v>
      </c>
      <c r="C1263">
        <v>1305.7757568</v>
      </c>
      <c r="D1263">
        <v>1293.2875977000001</v>
      </c>
      <c r="E1263">
        <v>1390.0756836</v>
      </c>
      <c r="F1263">
        <v>1370.7739257999999</v>
      </c>
      <c r="G1263">
        <v>0</v>
      </c>
      <c r="H1263">
        <v>2400</v>
      </c>
      <c r="I1263">
        <v>2400</v>
      </c>
      <c r="J1263">
        <v>0</v>
      </c>
      <c r="K1263">
        <v>80</v>
      </c>
      <c r="L1263">
        <v>77.787986755000006</v>
      </c>
      <c r="M1263">
        <v>50</v>
      </c>
      <c r="N1263">
        <v>49.993732452000003</v>
      </c>
    </row>
    <row r="1264" spans="1:14" x14ac:dyDescent="0.25">
      <c r="A1264">
        <v>1691.710605</v>
      </c>
      <c r="B1264" s="1">
        <f>DATE(2014,12,17) + TIME(17,3,16)</f>
        <v>41990.710601851853</v>
      </c>
      <c r="C1264">
        <v>1305.6981201000001</v>
      </c>
      <c r="D1264">
        <v>1293.1948242000001</v>
      </c>
      <c r="E1264">
        <v>1390.074707</v>
      </c>
      <c r="F1264">
        <v>1370.7753906</v>
      </c>
      <c r="G1264">
        <v>0</v>
      </c>
      <c r="H1264">
        <v>2400</v>
      </c>
      <c r="I1264">
        <v>2400</v>
      </c>
      <c r="J1264">
        <v>0</v>
      </c>
      <c r="K1264">
        <v>80</v>
      </c>
      <c r="L1264">
        <v>77.666381835999999</v>
      </c>
      <c r="M1264">
        <v>50</v>
      </c>
      <c r="N1264">
        <v>49.993740082000002</v>
      </c>
    </row>
    <row r="1265" spans="1:14" x14ac:dyDescent="0.25">
      <c r="A1265">
        <v>1694.7377469999999</v>
      </c>
      <c r="B1265" s="1">
        <f>DATE(2014,12,20) + TIME(17,42,21)</f>
        <v>41993.737743055557</v>
      </c>
      <c r="C1265">
        <v>1305.6153564000001</v>
      </c>
      <c r="D1265">
        <v>1293.0948486</v>
      </c>
      <c r="E1265">
        <v>1390.0739745999999</v>
      </c>
      <c r="F1265">
        <v>1370.7770995999999</v>
      </c>
      <c r="G1265">
        <v>0</v>
      </c>
      <c r="H1265">
        <v>2400</v>
      </c>
      <c r="I1265">
        <v>2400</v>
      </c>
      <c r="J1265">
        <v>0</v>
      </c>
      <c r="K1265">
        <v>80</v>
      </c>
      <c r="L1265">
        <v>77.544525145999998</v>
      </c>
      <c r="M1265">
        <v>50</v>
      </c>
      <c r="N1265">
        <v>49.993751525999997</v>
      </c>
    </row>
    <row r="1266" spans="1:14" x14ac:dyDescent="0.25">
      <c r="A1266">
        <v>1697.836182</v>
      </c>
      <c r="B1266" s="1">
        <f>DATE(2014,12,23) + TIME(20,4,6)</f>
        <v>41996.836180555554</v>
      </c>
      <c r="C1266">
        <v>1305.5273437999999</v>
      </c>
      <c r="D1266">
        <v>1292.9873047000001</v>
      </c>
      <c r="E1266">
        <v>1390.0734863</v>
      </c>
      <c r="F1266">
        <v>1370.7789307</v>
      </c>
      <c r="G1266">
        <v>0</v>
      </c>
      <c r="H1266">
        <v>2400</v>
      </c>
      <c r="I1266">
        <v>2400</v>
      </c>
      <c r="J1266">
        <v>0</v>
      </c>
      <c r="K1266">
        <v>80</v>
      </c>
      <c r="L1266">
        <v>77.422561646000005</v>
      </c>
      <c r="M1266">
        <v>50</v>
      </c>
      <c r="N1266">
        <v>49.993762969999999</v>
      </c>
    </row>
    <row r="1267" spans="1:14" x14ac:dyDescent="0.25">
      <c r="A1267">
        <v>1701.0223470000001</v>
      </c>
      <c r="B1267" s="1">
        <f>DATE(2014,12,27) + TIME(0,32,10)</f>
        <v>42000.022337962961</v>
      </c>
      <c r="C1267">
        <v>1305.4329834</v>
      </c>
      <c r="D1267">
        <v>1292.8708495999999</v>
      </c>
      <c r="E1267">
        <v>1390.0732422000001</v>
      </c>
      <c r="F1267">
        <v>1370.7807617000001</v>
      </c>
      <c r="G1267">
        <v>0</v>
      </c>
      <c r="H1267">
        <v>2400</v>
      </c>
      <c r="I1267">
        <v>2400</v>
      </c>
      <c r="J1267">
        <v>0</v>
      </c>
      <c r="K1267">
        <v>80</v>
      </c>
      <c r="L1267">
        <v>77.299888611</v>
      </c>
      <c r="M1267">
        <v>50</v>
      </c>
      <c r="N1267">
        <v>49.993770599000001</v>
      </c>
    </row>
    <row r="1268" spans="1:14" x14ac:dyDescent="0.25">
      <c r="A1268">
        <v>1704.2553680000001</v>
      </c>
      <c r="B1268" s="1">
        <f>DATE(2014,12,30) + TIME(6,7,43)</f>
        <v>42003.255358796298</v>
      </c>
      <c r="C1268">
        <v>1305.331543</v>
      </c>
      <c r="D1268">
        <v>1292.7443848</v>
      </c>
      <c r="E1268">
        <v>1390.0732422000001</v>
      </c>
      <c r="F1268">
        <v>1370.7828368999999</v>
      </c>
      <c r="G1268">
        <v>0</v>
      </c>
      <c r="H1268">
        <v>2400</v>
      </c>
      <c r="I1268">
        <v>2400</v>
      </c>
      <c r="J1268">
        <v>0</v>
      </c>
      <c r="K1268">
        <v>80</v>
      </c>
      <c r="L1268">
        <v>77.176239014000004</v>
      </c>
      <c r="M1268">
        <v>50</v>
      </c>
      <c r="N1268">
        <v>49.993782043000003</v>
      </c>
    </row>
    <row r="1269" spans="1:14" x14ac:dyDescent="0.25">
      <c r="A1269">
        <v>1706</v>
      </c>
      <c r="B1269" s="1">
        <f>DATE(2015,1,1) + TIME(0,0,0)</f>
        <v>42005</v>
      </c>
      <c r="C1269">
        <v>1305.2243652</v>
      </c>
      <c r="D1269">
        <v>1292.6123047000001</v>
      </c>
      <c r="E1269">
        <v>1390.0733643000001</v>
      </c>
      <c r="F1269">
        <v>1370.784668</v>
      </c>
      <c r="G1269">
        <v>0</v>
      </c>
      <c r="H1269">
        <v>2400</v>
      </c>
      <c r="I1269">
        <v>2400</v>
      </c>
      <c r="J1269">
        <v>0</v>
      </c>
      <c r="K1269">
        <v>80</v>
      </c>
      <c r="L1269">
        <v>77.071304321</v>
      </c>
      <c r="M1269">
        <v>50</v>
      </c>
      <c r="N1269">
        <v>49.993789673000002</v>
      </c>
    </row>
    <row r="1270" spans="1:14" x14ac:dyDescent="0.25">
      <c r="A1270">
        <v>1709.297922</v>
      </c>
      <c r="B1270" s="1">
        <f>DATE(2015,1,4) + TIME(7,9,0)</f>
        <v>42008.29791666667</v>
      </c>
      <c r="C1270">
        <v>1305.1597899999999</v>
      </c>
      <c r="D1270">
        <v>1292.5250243999999</v>
      </c>
      <c r="E1270">
        <v>1390.0737305</v>
      </c>
      <c r="F1270">
        <v>1370.7860106999999</v>
      </c>
      <c r="G1270">
        <v>0</v>
      </c>
      <c r="H1270">
        <v>2400</v>
      </c>
      <c r="I1270">
        <v>2400</v>
      </c>
      <c r="J1270">
        <v>0</v>
      </c>
      <c r="K1270">
        <v>80</v>
      </c>
      <c r="L1270">
        <v>76.978027343999997</v>
      </c>
      <c r="M1270">
        <v>50</v>
      </c>
      <c r="N1270">
        <v>49.993801116999997</v>
      </c>
    </row>
    <row r="1271" spans="1:14" x14ac:dyDescent="0.25">
      <c r="A1271">
        <v>1712.6696460000001</v>
      </c>
      <c r="B1271" s="1">
        <f>DATE(2015,1,7) + TIME(16,4,17)</f>
        <v>42011.669641203705</v>
      </c>
      <c r="C1271">
        <v>1305.0438231999999</v>
      </c>
      <c r="D1271">
        <v>1292.3782959</v>
      </c>
      <c r="E1271">
        <v>1390.0742187999999</v>
      </c>
      <c r="F1271">
        <v>1370.7880858999999</v>
      </c>
      <c r="G1271">
        <v>0</v>
      </c>
      <c r="H1271">
        <v>2400</v>
      </c>
      <c r="I1271">
        <v>2400</v>
      </c>
      <c r="J1271">
        <v>0</v>
      </c>
      <c r="K1271">
        <v>80</v>
      </c>
      <c r="L1271">
        <v>76.859832764000004</v>
      </c>
      <c r="M1271">
        <v>50</v>
      </c>
      <c r="N1271">
        <v>49.993812560999999</v>
      </c>
    </row>
    <row r="1272" spans="1:14" x14ac:dyDescent="0.25">
      <c r="A1272">
        <v>1716.100308</v>
      </c>
      <c r="B1272" s="1">
        <f>DATE(2015,1,11) + TIME(2,24,26)</f>
        <v>42015.100300925929</v>
      </c>
      <c r="C1272">
        <v>1304.9178466999999</v>
      </c>
      <c r="D1272">
        <v>1292.2161865</v>
      </c>
      <c r="E1272">
        <v>1390.0748291</v>
      </c>
      <c r="F1272">
        <v>1370.7904053</v>
      </c>
      <c r="G1272">
        <v>0</v>
      </c>
      <c r="H1272">
        <v>2400</v>
      </c>
      <c r="I1272">
        <v>2400</v>
      </c>
      <c r="J1272">
        <v>0</v>
      </c>
      <c r="K1272">
        <v>80</v>
      </c>
      <c r="L1272">
        <v>76.735191345000004</v>
      </c>
      <c r="M1272">
        <v>50</v>
      </c>
      <c r="N1272">
        <v>49.993824005</v>
      </c>
    </row>
    <row r="1273" spans="1:14" x14ac:dyDescent="0.25">
      <c r="A1273">
        <v>1719.587595</v>
      </c>
      <c r="B1273" s="1">
        <f>DATE(2015,1,14) + TIME(14,6,8)</f>
        <v>42018.587592592594</v>
      </c>
      <c r="C1273">
        <v>1304.7835693</v>
      </c>
      <c r="D1273">
        <v>1292.0413818</v>
      </c>
      <c r="E1273">
        <v>1390.0755615</v>
      </c>
      <c r="F1273">
        <v>1370.7926024999999</v>
      </c>
      <c r="G1273">
        <v>0</v>
      </c>
      <c r="H1273">
        <v>2400</v>
      </c>
      <c r="I1273">
        <v>2400</v>
      </c>
      <c r="J1273">
        <v>0</v>
      </c>
      <c r="K1273">
        <v>80</v>
      </c>
      <c r="L1273">
        <v>76.608047485</v>
      </c>
      <c r="M1273">
        <v>50</v>
      </c>
      <c r="N1273">
        <v>49.993835449000002</v>
      </c>
    </row>
    <row r="1274" spans="1:14" x14ac:dyDescent="0.25">
      <c r="A1274">
        <v>1723.1105419999999</v>
      </c>
      <c r="B1274" s="1">
        <f>DATE(2015,1,18) + TIME(2,39,10)</f>
        <v>42022.110532407409</v>
      </c>
      <c r="C1274">
        <v>1304.6408690999999</v>
      </c>
      <c r="D1274">
        <v>1291.854126</v>
      </c>
      <c r="E1274">
        <v>1390.0765381000001</v>
      </c>
      <c r="F1274">
        <v>1370.7950439000001</v>
      </c>
      <c r="G1274">
        <v>0</v>
      </c>
      <c r="H1274">
        <v>2400</v>
      </c>
      <c r="I1274">
        <v>2400</v>
      </c>
      <c r="J1274">
        <v>0</v>
      </c>
      <c r="K1274">
        <v>80</v>
      </c>
      <c r="L1274">
        <v>76.479095459000007</v>
      </c>
      <c r="M1274">
        <v>50</v>
      </c>
      <c r="N1274">
        <v>49.993846892999997</v>
      </c>
    </row>
    <row r="1275" spans="1:14" x14ac:dyDescent="0.25">
      <c r="A1275">
        <v>1726.6893689999999</v>
      </c>
      <c r="B1275" s="1">
        <f>DATE(2015,1,21) + TIME(16,32,41)</f>
        <v>42025.689363425925</v>
      </c>
      <c r="C1275">
        <v>1304.4907227000001</v>
      </c>
      <c r="D1275">
        <v>1291.6553954999999</v>
      </c>
      <c r="E1275">
        <v>1390.0775146000001</v>
      </c>
      <c r="F1275">
        <v>1370.7973632999999</v>
      </c>
      <c r="G1275">
        <v>0</v>
      </c>
      <c r="H1275">
        <v>2400</v>
      </c>
      <c r="I1275">
        <v>2400</v>
      </c>
      <c r="J1275">
        <v>0</v>
      </c>
      <c r="K1275">
        <v>80</v>
      </c>
      <c r="L1275">
        <v>76.348457335999996</v>
      </c>
      <c r="M1275">
        <v>50</v>
      </c>
      <c r="N1275">
        <v>49.993858336999999</v>
      </c>
    </row>
    <row r="1276" spans="1:14" x14ac:dyDescent="0.25">
      <c r="A1276">
        <v>1730.340942</v>
      </c>
      <c r="B1276" s="1">
        <f>DATE(2015,1,25) + TIME(8,10,57)</f>
        <v>42029.340937499997</v>
      </c>
      <c r="C1276">
        <v>1304.3320312000001</v>
      </c>
      <c r="D1276">
        <v>1291.4439697</v>
      </c>
      <c r="E1276">
        <v>1390.0786132999999</v>
      </c>
      <c r="F1276">
        <v>1370.7998047000001</v>
      </c>
      <c r="G1276">
        <v>0</v>
      </c>
      <c r="H1276">
        <v>2400</v>
      </c>
      <c r="I1276">
        <v>2400</v>
      </c>
      <c r="J1276">
        <v>0</v>
      </c>
      <c r="K1276">
        <v>80</v>
      </c>
      <c r="L1276">
        <v>76.215248107999997</v>
      </c>
      <c r="M1276">
        <v>50</v>
      </c>
      <c r="N1276">
        <v>49.993869781000001</v>
      </c>
    </row>
    <row r="1277" spans="1:14" x14ac:dyDescent="0.25">
      <c r="A1277">
        <v>1734.052261</v>
      </c>
      <c r="B1277" s="1">
        <f>DATE(2015,1,29) + TIME(1,15,15)</f>
        <v>42033.052256944444</v>
      </c>
      <c r="C1277">
        <v>1304.1641846</v>
      </c>
      <c r="D1277">
        <v>1291.2188721</v>
      </c>
      <c r="E1277">
        <v>1390.0799560999999</v>
      </c>
      <c r="F1277">
        <v>1370.8022461</v>
      </c>
      <c r="G1277">
        <v>0</v>
      </c>
      <c r="H1277">
        <v>2400</v>
      </c>
      <c r="I1277">
        <v>2400</v>
      </c>
      <c r="J1277">
        <v>0</v>
      </c>
      <c r="K1277">
        <v>80</v>
      </c>
      <c r="L1277">
        <v>76.078575134000005</v>
      </c>
      <c r="M1277">
        <v>50</v>
      </c>
      <c r="N1277">
        <v>49.993881225999999</v>
      </c>
    </row>
    <row r="1278" spans="1:14" x14ac:dyDescent="0.25">
      <c r="A1278">
        <v>1737</v>
      </c>
      <c r="B1278" s="1">
        <f>DATE(2015,2,1) + TIME(0,0,0)</f>
        <v>42036</v>
      </c>
      <c r="C1278">
        <v>1303.9885254000001</v>
      </c>
      <c r="D1278">
        <v>1290.9831543</v>
      </c>
      <c r="E1278">
        <v>1390.0811768000001</v>
      </c>
      <c r="F1278">
        <v>1370.8046875</v>
      </c>
      <c r="G1278">
        <v>0</v>
      </c>
      <c r="H1278">
        <v>2400</v>
      </c>
      <c r="I1278">
        <v>2400</v>
      </c>
      <c r="J1278">
        <v>0</v>
      </c>
      <c r="K1278">
        <v>80</v>
      </c>
      <c r="L1278">
        <v>75.944931030000006</v>
      </c>
      <c r="M1278">
        <v>50</v>
      </c>
      <c r="N1278">
        <v>49.993888855000002</v>
      </c>
    </row>
    <row r="1279" spans="1:14" x14ac:dyDescent="0.25">
      <c r="A1279">
        <v>1740.7600970000001</v>
      </c>
      <c r="B1279" s="1">
        <f>DATE(2015,2,4) + TIME(18,14,32)</f>
        <v>42039.760092592594</v>
      </c>
      <c r="C1279">
        <v>1303.838501</v>
      </c>
      <c r="D1279">
        <v>1290.7762451000001</v>
      </c>
      <c r="E1279">
        <v>1390.0822754000001</v>
      </c>
      <c r="F1279">
        <v>1370.8067627</v>
      </c>
      <c r="G1279">
        <v>0</v>
      </c>
      <c r="H1279">
        <v>2400</v>
      </c>
      <c r="I1279">
        <v>2400</v>
      </c>
      <c r="J1279">
        <v>0</v>
      </c>
      <c r="K1279">
        <v>80</v>
      </c>
      <c r="L1279">
        <v>75.820854186999995</v>
      </c>
      <c r="M1279">
        <v>50</v>
      </c>
      <c r="N1279">
        <v>49.993904114000003</v>
      </c>
    </row>
    <row r="1280" spans="1:14" x14ac:dyDescent="0.25">
      <c r="A1280">
        <v>1744.616203</v>
      </c>
      <c r="B1280" s="1">
        <f>DATE(2015,2,8) + TIME(14,47,19)</f>
        <v>42043.61619212963</v>
      </c>
      <c r="C1280">
        <v>1303.6519774999999</v>
      </c>
      <c r="D1280">
        <v>1290.5231934000001</v>
      </c>
      <c r="E1280">
        <v>1390.0836182</v>
      </c>
      <c r="F1280">
        <v>1370.8092041</v>
      </c>
      <c r="G1280">
        <v>0</v>
      </c>
      <c r="H1280">
        <v>2400</v>
      </c>
      <c r="I1280">
        <v>2400</v>
      </c>
      <c r="J1280">
        <v>0</v>
      </c>
      <c r="K1280">
        <v>80</v>
      </c>
      <c r="L1280">
        <v>75.677528381000002</v>
      </c>
      <c r="M1280">
        <v>50</v>
      </c>
      <c r="N1280">
        <v>49.993915557999998</v>
      </c>
    </row>
    <row r="1281" spans="1:14" x14ac:dyDescent="0.25">
      <c r="A1281">
        <v>1748.5532009999999</v>
      </c>
      <c r="B1281" s="1">
        <f>DATE(2015,2,12) + TIME(13,16,36)</f>
        <v>42047.553194444445</v>
      </c>
      <c r="C1281">
        <v>1303.4528809000001</v>
      </c>
      <c r="D1281">
        <v>1290.2503661999999</v>
      </c>
      <c r="E1281">
        <v>1390.0850829999999</v>
      </c>
      <c r="F1281">
        <v>1370.8117675999999</v>
      </c>
      <c r="G1281">
        <v>0</v>
      </c>
      <c r="H1281">
        <v>2400</v>
      </c>
      <c r="I1281">
        <v>2400</v>
      </c>
      <c r="J1281">
        <v>0</v>
      </c>
      <c r="K1281">
        <v>80</v>
      </c>
      <c r="L1281">
        <v>75.525085449000002</v>
      </c>
      <c r="M1281">
        <v>50</v>
      </c>
      <c r="N1281">
        <v>49.993927002</v>
      </c>
    </row>
    <row r="1282" spans="1:14" x14ac:dyDescent="0.25">
      <c r="A1282">
        <v>1752.5484300000001</v>
      </c>
      <c r="B1282" s="1">
        <f>DATE(2015,2,16) + TIME(13,9,44)</f>
        <v>42051.548425925925</v>
      </c>
      <c r="C1282">
        <v>1303.2436522999999</v>
      </c>
      <c r="D1282">
        <v>1289.9621582</v>
      </c>
      <c r="E1282">
        <v>1390.0865478999999</v>
      </c>
      <c r="F1282">
        <v>1370.8143310999999</v>
      </c>
      <c r="G1282">
        <v>0</v>
      </c>
      <c r="H1282">
        <v>2400</v>
      </c>
      <c r="I1282">
        <v>2400</v>
      </c>
      <c r="J1282">
        <v>0</v>
      </c>
      <c r="K1282">
        <v>80</v>
      </c>
      <c r="L1282">
        <v>75.365440368999998</v>
      </c>
      <c r="M1282">
        <v>50</v>
      </c>
      <c r="N1282">
        <v>49.993938446000001</v>
      </c>
    </row>
    <row r="1283" spans="1:14" x14ac:dyDescent="0.25">
      <c r="A1283">
        <v>1756.5979950000001</v>
      </c>
      <c r="B1283" s="1">
        <f>DATE(2015,2,20) + TIME(14,21,6)</f>
        <v>42055.597986111112</v>
      </c>
      <c r="C1283">
        <v>1303.026001</v>
      </c>
      <c r="D1283">
        <v>1289.6607666</v>
      </c>
      <c r="E1283">
        <v>1390.0880127</v>
      </c>
      <c r="F1283">
        <v>1370.8167725000001</v>
      </c>
      <c r="G1283">
        <v>0</v>
      </c>
      <c r="H1283">
        <v>2400</v>
      </c>
      <c r="I1283">
        <v>2400</v>
      </c>
      <c r="J1283">
        <v>0</v>
      </c>
      <c r="K1283">
        <v>80</v>
      </c>
      <c r="L1283">
        <v>75.198913574000002</v>
      </c>
      <c r="M1283">
        <v>50</v>
      </c>
      <c r="N1283">
        <v>49.993949890000003</v>
      </c>
    </row>
    <row r="1284" spans="1:14" x14ac:dyDescent="0.25">
      <c r="A1284">
        <v>1760.7244229999999</v>
      </c>
      <c r="B1284" s="1">
        <f>DATE(2015,2,24) + TIME(17,23,10)</f>
        <v>42059.724421296298</v>
      </c>
      <c r="C1284">
        <v>1302.8006591999999</v>
      </c>
      <c r="D1284">
        <v>1289.347168</v>
      </c>
      <c r="E1284">
        <v>1390.0894774999999</v>
      </c>
      <c r="F1284">
        <v>1370.8192139</v>
      </c>
      <c r="G1284">
        <v>0</v>
      </c>
      <c r="H1284">
        <v>2400</v>
      </c>
      <c r="I1284">
        <v>2400</v>
      </c>
      <c r="J1284">
        <v>0</v>
      </c>
      <c r="K1284">
        <v>80</v>
      </c>
      <c r="L1284">
        <v>75.025039672999995</v>
      </c>
      <c r="M1284">
        <v>50</v>
      </c>
      <c r="N1284">
        <v>49.993965148999997</v>
      </c>
    </row>
    <row r="1285" spans="1:14" x14ac:dyDescent="0.25">
      <c r="A1285">
        <v>1765</v>
      </c>
      <c r="B1285" s="1">
        <f>DATE(2015,3,1) + TIME(0,0,0)</f>
        <v>42064</v>
      </c>
      <c r="C1285">
        <v>1302.5665283000001</v>
      </c>
      <c r="D1285">
        <v>1289.0200195</v>
      </c>
      <c r="E1285">
        <v>1390.0908202999999</v>
      </c>
      <c r="F1285">
        <v>1370.8216553</v>
      </c>
      <c r="G1285">
        <v>0</v>
      </c>
      <c r="H1285">
        <v>2400</v>
      </c>
      <c r="I1285">
        <v>2400</v>
      </c>
      <c r="J1285">
        <v>0</v>
      </c>
      <c r="K1285">
        <v>80</v>
      </c>
      <c r="L1285">
        <v>74.841987610000004</v>
      </c>
      <c r="M1285">
        <v>50</v>
      </c>
      <c r="N1285">
        <v>49.993976592999999</v>
      </c>
    </row>
    <row r="1286" spans="1:14" x14ac:dyDescent="0.25">
      <c r="A1286">
        <v>1769.2253539999999</v>
      </c>
      <c r="B1286" s="1">
        <f>DATE(2015,3,5) + TIME(5,24,30)</f>
        <v>42068.225347222222</v>
      </c>
      <c r="C1286">
        <v>1302.3208007999999</v>
      </c>
      <c r="D1286">
        <v>1288.6755370999999</v>
      </c>
      <c r="E1286">
        <v>1390.0921631000001</v>
      </c>
      <c r="F1286">
        <v>1370.8239745999999</v>
      </c>
      <c r="G1286">
        <v>0</v>
      </c>
      <c r="H1286">
        <v>2400</v>
      </c>
      <c r="I1286">
        <v>2400</v>
      </c>
      <c r="J1286">
        <v>0</v>
      </c>
      <c r="K1286">
        <v>80</v>
      </c>
      <c r="L1286">
        <v>74.647644043</v>
      </c>
      <c r="M1286">
        <v>50</v>
      </c>
      <c r="N1286">
        <v>49.993988037000001</v>
      </c>
    </row>
    <row r="1287" spans="1:14" x14ac:dyDescent="0.25">
      <c r="A1287">
        <v>1773.6266089999999</v>
      </c>
      <c r="B1287" s="1">
        <f>DATE(2015,3,9) + TIME(15,2,19)</f>
        <v>42072.626608796294</v>
      </c>
      <c r="C1287">
        <v>1302.0726318</v>
      </c>
      <c r="D1287">
        <v>1288.3255615</v>
      </c>
      <c r="E1287">
        <v>1390.0935059000001</v>
      </c>
      <c r="F1287">
        <v>1370.8261719</v>
      </c>
      <c r="G1287">
        <v>0</v>
      </c>
      <c r="H1287">
        <v>2400</v>
      </c>
      <c r="I1287">
        <v>2400</v>
      </c>
      <c r="J1287">
        <v>0</v>
      </c>
      <c r="K1287">
        <v>80</v>
      </c>
      <c r="L1287">
        <v>74.445785521999994</v>
      </c>
      <c r="M1287">
        <v>50</v>
      </c>
      <c r="N1287">
        <v>49.994003296000002</v>
      </c>
    </row>
    <row r="1288" spans="1:14" x14ac:dyDescent="0.25">
      <c r="A1288">
        <v>1778.145078</v>
      </c>
      <c r="B1288" s="1">
        <f>DATE(2015,3,14) + TIME(3,28,54)</f>
        <v>42077.145069444443</v>
      </c>
      <c r="C1288">
        <v>1301.8126221</v>
      </c>
      <c r="D1288">
        <v>1287.9582519999999</v>
      </c>
      <c r="E1288">
        <v>1390.0946045000001</v>
      </c>
      <c r="F1288">
        <v>1370.8283690999999</v>
      </c>
      <c r="G1288">
        <v>0</v>
      </c>
      <c r="H1288">
        <v>2400</v>
      </c>
      <c r="I1288">
        <v>2400</v>
      </c>
      <c r="J1288">
        <v>0</v>
      </c>
      <c r="K1288">
        <v>80</v>
      </c>
      <c r="L1288">
        <v>74.229476929</v>
      </c>
      <c r="M1288">
        <v>50</v>
      </c>
      <c r="N1288">
        <v>49.994014739999997</v>
      </c>
    </row>
    <row r="1289" spans="1:14" x14ac:dyDescent="0.25">
      <c r="A1289">
        <v>1782.7365139999999</v>
      </c>
      <c r="B1289" s="1">
        <f>DATE(2015,3,18) + TIME(17,40,34)</f>
        <v>42081.736504629633</v>
      </c>
      <c r="C1289">
        <v>1301.5429687999999</v>
      </c>
      <c r="D1289">
        <v>1287.5756836</v>
      </c>
      <c r="E1289">
        <v>1390.0957031</v>
      </c>
      <c r="F1289">
        <v>1370.8304443</v>
      </c>
      <c r="G1289">
        <v>0</v>
      </c>
      <c r="H1289">
        <v>2400</v>
      </c>
      <c r="I1289">
        <v>2400</v>
      </c>
      <c r="J1289">
        <v>0</v>
      </c>
      <c r="K1289">
        <v>80</v>
      </c>
      <c r="L1289">
        <v>73.999069214000002</v>
      </c>
      <c r="M1289">
        <v>50</v>
      </c>
      <c r="N1289">
        <v>49.994029998999999</v>
      </c>
    </row>
    <row r="1290" spans="1:14" x14ac:dyDescent="0.25">
      <c r="A1290">
        <v>1787.4185419999999</v>
      </c>
      <c r="B1290" s="1">
        <f>DATE(2015,3,23) + TIME(10,2,42)</f>
        <v>42086.418541666666</v>
      </c>
      <c r="C1290">
        <v>1301.2664795000001</v>
      </c>
      <c r="D1290">
        <v>1287.1818848</v>
      </c>
      <c r="E1290">
        <v>1390.0966797000001</v>
      </c>
      <c r="F1290">
        <v>1370.8323975000001</v>
      </c>
      <c r="G1290">
        <v>0</v>
      </c>
      <c r="H1290">
        <v>2400</v>
      </c>
      <c r="I1290">
        <v>2400</v>
      </c>
      <c r="J1290">
        <v>0</v>
      </c>
      <c r="K1290">
        <v>80</v>
      </c>
      <c r="L1290">
        <v>73.755241393999995</v>
      </c>
      <c r="M1290">
        <v>50</v>
      </c>
      <c r="N1290">
        <v>49.994041443</v>
      </c>
    </row>
    <row r="1291" spans="1:14" x14ac:dyDescent="0.25">
      <c r="A1291">
        <v>1792.216649</v>
      </c>
      <c r="B1291" s="1">
        <f>DATE(2015,3,28) + TIME(5,11,58)</f>
        <v>42091.216643518521</v>
      </c>
      <c r="C1291">
        <v>1300.9830322</v>
      </c>
      <c r="D1291">
        <v>1286.7767334</v>
      </c>
      <c r="E1291">
        <v>1390.0974120999999</v>
      </c>
      <c r="F1291">
        <v>1370.8342285000001</v>
      </c>
      <c r="G1291">
        <v>0</v>
      </c>
      <c r="H1291">
        <v>2400</v>
      </c>
      <c r="I1291">
        <v>2400</v>
      </c>
      <c r="J1291">
        <v>0</v>
      </c>
      <c r="K1291">
        <v>80</v>
      </c>
      <c r="L1291">
        <v>73.496788025000001</v>
      </c>
      <c r="M1291">
        <v>50</v>
      </c>
      <c r="N1291">
        <v>49.994056702000002</v>
      </c>
    </row>
    <row r="1292" spans="1:14" x14ac:dyDescent="0.25">
      <c r="A1292">
        <v>1796</v>
      </c>
      <c r="B1292" s="1">
        <f>DATE(2015,4,1) + TIME(0,0,0)</f>
        <v>42095</v>
      </c>
      <c r="C1292">
        <v>1300.6937256000001</v>
      </c>
      <c r="D1292">
        <v>1286.3645019999999</v>
      </c>
      <c r="E1292">
        <v>1390.0979004000001</v>
      </c>
      <c r="F1292">
        <v>1370.8356934000001</v>
      </c>
      <c r="G1292">
        <v>0</v>
      </c>
      <c r="H1292">
        <v>2400</v>
      </c>
      <c r="I1292">
        <v>2400</v>
      </c>
      <c r="J1292">
        <v>0</v>
      </c>
      <c r="K1292">
        <v>80</v>
      </c>
      <c r="L1292">
        <v>73.232749939000001</v>
      </c>
      <c r="M1292">
        <v>50</v>
      </c>
      <c r="N1292">
        <v>49.994068145999996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2022-05-31T12:22:09Z</dcterms:created>
  <dcterms:modified xsi:type="dcterms:W3CDTF">2022-05-31T12:22:42Z</dcterms:modified>
</cp:coreProperties>
</file>