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S17_groundwater_flow/"/>
    </mc:Choice>
  </mc:AlternateContent>
  <xr:revisionPtr revIDLastSave="0" documentId="8_{2B5D012A-795F-42C1-8E9B-97A30D864328}" xr6:coauthVersionLast="47" xr6:coauthVersionMax="47" xr10:uidLastSave="{00000000-0000-0000-0000-000000000000}"/>
  <bookViews>
    <workbookView xWindow="-26220" yWindow="2580" windowWidth="15375" windowHeight="7875" xr2:uid="{6D2D6281-7A39-4218-864F-BD294C3D4B66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36" i="1" l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<sst xmlns="http://schemas.openxmlformats.org/spreadsheetml/2006/main" count="15" uniqueCount="15">
  <si>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MODEL\SCENARIOS\2022\S17_groundwater_flow\S17_groundwater_flow.sr3</t>
  </si>
  <si>
    <t>Time (day)</t>
  </si>
  <si>
    <t>Date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</si>
  <si>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</si>
  <si>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</si>
  <si>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</si>
  <si>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</si>
  <si>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</si>
  <si>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</si>
  <si>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</si>
  <si>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</si>
  <si>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INJ-Fluid Rate SC (m³/day)</t>
  </si>
  <si>
    <t>Hot well PROD-Fluid Rate SC (m³/day)</t>
  </si>
  <si>
    <t>Warm well INJ-Fluid Rate SC (m³/day)</t>
  </si>
  <si>
    <t>Warm well PROD-Fluid Rate SC (m³/day)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</si>
</sst>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A4F99B-3ED4-48C2-9331-27476BAF4491}" name="Table1" displayName="Table1" ref="A3:N2136" totalsRowShown="0">
  <autoFilter ref="A3:N2136" xr:uid="{04A4F99B-3ED4-48C2-9331-27476BAF4491}"/>
  <tableColumns count="14">
    <tableColumn id="1" xr3:uid="{323BFD8A-184E-4F98-B729-1C454E980DE9}" name="Time (day)"/>
    <tableColumn id="2" xr3:uid="{2B10BA5D-573F-4B0A-95B5-D7DA3727B69D}" name="Date" dataDxfId="0"/>
    <tableColumn id="3" xr3:uid="{65A8D767-DD53-4AC6-9FEA-5394FF0BE948}" name="Hot well INJ-Well bottom hole temperature (C)"/>
    <tableColumn id="4" xr3:uid="{F2D5A1BF-7CAB-4B6E-8D1E-150FA57F13B9}" name="Hot well PROD-Well bottom hole temperature (C)"/>
    <tableColumn id="5" xr3:uid="{785AF31D-89E5-4142-A2C7-121EEDE12146}" name="Warm well INJ-Well bottom hole temperature (C)"/>
    <tableColumn id="6" xr3:uid="{3C8DEDEC-E1C7-488E-AE12-8E33AC9AD689}" name="Warm well PROD-Well bottom hole temperature (C)"/>
    <tableColumn id="7" xr3:uid="{E42E2245-5834-44C5-99DE-1F7D67404175}" name="Hot well INJ-Well Bottom-hole Pressure (kPa)"/>
    <tableColumn id="8" xr3:uid="{CB75413C-7CA1-44AD-A013-547CDCCD9390}" name="Hot well PROD-Well Bottom-hole Pressure (kPa)"/>
    <tableColumn id="9" xr3:uid="{ACA04E84-4650-421B-9248-0D3D3020CDE9}" name="Warm well INJ-Well Bottom-hole Pressure (kPa)"/>
    <tableColumn id="10" xr3:uid="{1372A831-8390-4867-9797-CFB6A8AA3616}" name="Warm well PROD-Well Bottom-hole Pressure (kPa)"/>
    <tableColumn id="11" xr3:uid="{6223E209-383E-4EDE-B4EC-76FB5BE18CEA}" name="Hot well INJ-Fluid Rate SC (m³/day)"/>
    <tableColumn id="12" xr3:uid="{7ECE00F1-4116-4FF6-B97F-A166140B8A1C}" name="Hot well PROD-Fluid Rate SC (m³/day)"/>
    <tableColumn id="13" xr3:uid="{DA90F469-1566-4126-8A1C-A6F32154954D}" name="Warm well INJ-Fluid Rate SC (m³/day)"/>
    <tableColumn id="14" xr3:uid="{EC6D5C32-5422-403C-83A3-8C031C38771C}" name="Warm well PROD-Fluid Rate SC (m³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41603-4F67-46B1-B4CC-4B4A97FA6279}">
  <dimension ref="A1:N2136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44.85546875" customWidth="1"/>
    <col min="4" max="5" width="47.140625" customWidth="1"/>
    <col min="6" max="6" width="49.42578125" customWidth="1"/>
    <col min="7" max="7" width="43.5703125" customWidth="1"/>
    <col min="8" max="9" width="45.85546875" customWidth="1"/>
    <col min="10" max="10" width="48.140625" customWidth="1"/>
    <col min="11" max="11" width="34.140625" customWidth="1"/>
    <col min="12" max="13" width="36.42578125" customWidth="1"/>
    <col min="14" max="14" width="38.710937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80</v>
      </c>
      <c r="D4">
        <v>15.000118256</v>
      </c>
      <c r="E4">
        <v>50</v>
      </c>
      <c r="F4">
        <v>14.999955177</v>
      </c>
      <c r="G4">
        <v>1369.2735596</v>
      </c>
      <c r="H4">
        <v>1329.8488769999999</v>
      </c>
      <c r="I4">
        <v>1328.9722899999999</v>
      </c>
      <c r="J4">
        <v>1289.5467529</v>
      </c>
      <c r="K4">
        <v>2400</v>
      </c>
      <c r="L4">
        <v>0</v>
      </c>
      <c r="M4">
        <v>0</v>
      </c>
      <c r="N4">
        <v>2400</v>
      </c>
    </row>
    <row r="5" spans="1:14" x14ac:dyDescent="0.25">
      <c r="A5">
        <v>3.9999999999999998E-6</v>
      </c>
      <c r="B5" s="1">
        <f>DATE(2010,5,1) + TIME(0,0,0)</f>
        <v>40299</v>
      </c>
      <c r="C5">
        <v>80</v>
      </c>
      <c r="D5">
        <v>15.000466347</v>
      </c>
      <c r="E5">
        <v>50</v>
      </c>
      <c r="F5">
        <v>14.999827385</v>
      </c>
      <c r="G5">
        <v>1370.5152588000001</v>
      </c>
      <c r="H5">
        <v>1331.0908202999999</v>
      </c>
      <c r="I5">
        <v>1327.7358397999999</v>
      </c>
      <c r="J5">
        <v>1288.3100586</v>
      </c>
      <c r="K5">
        <v>2400</v>
      </c>
      <c r="L5">
        <v>0</v>
      </c>
      <c r="M5">
        <v>0</v>
      </c>
      <c r="N5">
        <v>2400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80</v>
      </c>
      <c r="D6">
        <v>15.001453400000001</v>
      </c>
      <c r="E6">
        <v>50</v>
      </c>
      <c r="F6">
        <v>14.999503136</v>
      </c>
      <c r="G6">
        <v>1373.6901855000001</v>
      </c>
      <c r="H6">
        <v>1334.2667236</v>
      </c>
      <c r="I6">
        <v>1324.5737305</v>
      </c>
      <c r="J6">
        <v>1285.1474608999999</v>
      </c>
      <c r="K6">
        <v>2400</v>
      </c>
      <c r="L6">
        <v>0</v>
      </c>
      <c r="M6">
        <v>0</v>
      </c>
      <c r="N6">
        <v>2400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80</v>
      </c>
      <c r="D7">
        <v>15.004107475</v>
      </c>
      <c r="E7">
        <v>50</v>
      </c>
      <c r="F7">
        <v>14.998830795</v>
      </c>
      <c r="G7">
        <v>1380.2470702999999</v>
      </c>
      <c r="H7">
        <v>1340.8261719</v>
      </c>
      <c r="I7">
        <v>1318.0427245999999</v>
      </c>
      <c r="J7">
        <v>1278.6154785000001</v>
      </c>
      <c r="K7">
        <v>2400</v>
      </c>
      <c r="L7">
        <v>0</v>
      </c>
      <c r="M7">
        <v>0</v>
      </c>
      <c r="N7">
        <v>2400</v>
      </c>
    </row>
    <row r="8" spans="1:14" x14ac:dyDescent="0.25">
      <c r="A8">
        <v>1.21E-4</v>
      </c>
      <c r="B8" s="1">
        <f>DATE(2010,5,1) + TIME(0,0,10)</f>
        <v>40299.000115740739</v>
      </c>
      <c r="C8">
        <v>80</v>
      </c>
      <c r="D8">
        <v>15.011060714999999</v>
      </c>
      <c r="E8">
        <v>50</v>
      </c>
      <c r="F8">
        <v>14.997821807999999</v>
      </c>
      <c r="G8">
        <v>1390.0941161999999</v>
      </c>
      <c r="H8">
        <v>1350.6804199000001</v>
      </c>
      <c r="I8">
        <v>1308.2297363</v>
      </c>
      <c r="J8">
        <v>1268.8012695</v>
      </c>
      <c r="K8">
        <v>2400</v>
      </c>
      <c r="L8">
        <v>0</v>
      </c>
      <c r="M8">
        <v>0</v>
      </c>
      <c r="N8">
        <v>2400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80</v>
      </c>
      <c r="D9">
        <v>15.030023575</v>
      </c>
      <c r="E9">
        <v>50</v>
      </c>
      <c r="F9">
        <v>14.996678352</v>
      </c>
      <c r="G9">
        <v>1401.2493896000001</v>
      </c>
      <c r="H9">
        <v>1361.8553466999999</v>
      </c>
      <c r="I9">
        <v>1297.0947266000001</v>
      </c>
      <c r="J9">
        <v>1257.6650391000001</v>
      </c>
      <c r="K9">
        <v>2400</v>
      </c>
      <c r="L9">
        <v>0</v>
      </c>
      <c r="M9">
        <v>0</v>
      </c>
      <c r="N9">
        <v>2400</v>
      </c>
    </row>
    <row r="10" spans="1:14" x14ac:dyDescent="0.25">
      <c r="A10">
        <v>1.093E-3</v>
      </c>
      <c r="B10" s="1">
        <f>DATE(2010,5,1) + TIME(0,1,34)</f>
        <v>40299.001087962963</v>
      </c>
      <c r="C10">
        <v>80</v>
      </c>
      <c r="D10">
        <v>15.084580421</v>
      </c>
      <c r="E10">
        <v>50</v>
      </c>
      <c r="F10">
        <v>14.995523453000001</v>
      </c>
      <c r="G10">
        <v>1412.4663086</v>
      </c>
      <c r="H10">
        <v>1373.1290283000001</v>
      </c>
      <c r="I10">
        <v>1285.8406981999999</v>
      </c>
      <c r="J10">
        <v>1246.4097899999999</v>
      </c>
      <c r="K10">
        <v>2400</v>
      </c>
      <c r="L10">
        <v>0</v>
      </c>
      <c r="M10">
        <v>0</v>
      </c>
      <c r="N10">
        <v>2400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80</v>
      </c>
      <c r="D11">
        <v>15.245542525999999</v>
      </c>
      <c r="E11">
        <v>50</v>
      </c>
      <c r="F11">
        <v>14.994379996999999</v>
      </c>
      <c r="G11">
        <v>1423.4658202999999</v>
      </c>
      <c r="H11">
        <v>1384.2943115</v>
      </c>
      <c r="I11">
        <v>1274.6348877</v>
      </c>
      <c r="J11">
        <v>1235.2026367000001</v>
      </c>
      <c r="K11">
        <v>2400</v>
      </c>
      <c r="L11">
        <v>0</v>
      </c>
      <c r="M11">
        <v>0</v>
      </c>
      <c r="N11">
        <v>2400</v>
      </c>
    </row>
    <row r="12" spans="1:14" x14ac:dyDescent="0.25">
      <c r="A12">
        <v>9.8410000000000008E-3</v>
      </c>
      <c r="B12" s="1">
        <f>DATE(2010,5,1) + TIME(0,14,10)</f>
        <v>40299.009837962964</v>
      </c>
      <c r="C12">
        <v>80</v>
      </c>
      <c r="D12">
        <v>15.722711563000001</v>
      </c>
      <c r="E12">
        <v>50</v>
      </c>
      <c r="F12">
        <v>14.993297577</v>
      </c>
      <c r="G12">
        <v>1433.5461425999999</v>
      </c>
      <c r="H12">
        <v>1394.8592529</v>
      </c>
      <c r="I12">
        <v>1263.8699951000001</v>
      </c>
      <c r="J12">
        <v>1224.4366454999999</v>
      </c>
      <c r="K12">
        <v>2400</v>
      </c>
      <c r="L12">
        <v>0</v>
      </c>
      <c r="M12">
        <v>0</v>
      </c>
      <c r="N12">
        <v>2400</v>
      </c>
    </row>
    <row r="13" spans="1:14" x14ac:dyDescent="0.25">
      <c r="A13">
        <v>2.3591000000000001E-2</v>
      </c>
      <c r="B13" s="1">
        <f>DATE(2010,5,1) + TIME(0,33,58)</f>
        <v>40299.023587962962</v>
      </c>
      <c r="C13">
        <v>80</v>
      </c>
      <c r="D13">
        <v>16.708278656000001</v>
      </c>
      <c r="E13">
        <v>50</v>
      </c>
      <c r="F13">
        <v>14.992580414000001</v>
      </c>
      <c r="G13">
        <v>1439.6407471</v>
      </c>
      <c r="H13">
        <v>1401.9213867000001</v>
      </c>
      <c r="I13">
        <v>1256.4544678</v>
      </c>
      <c r="J13">
        <v>1217.0203856999999</v>
      </c>
      <c r="K13">
        <v>2400</v>
      </c>
      <c r="L13">
        <v>0</v>
      </c>
      <c r="M13">
        <v>0</v>
      </c>
      <c r="N13">
        <v>2400</v>
      </c>
    </row>
    <row r="14" spans="1:14" x14ac:dyDescent="0.25">
      <c r="A14">
        <v>3.7541999999999999E-2</v>
      </c>
      <c r="B14" s="1">
        <f>DATE(2010,5,1) + TIME(0,54,3)</f>
        <v>40299.037534722222</v>
      </c>
      <c r="C14">
        <v>80</v>
      </c>
      <c r="D14">
        <v>17.694490432999999</v>
      </c>
      <c r="E14">
        <v>50</v>
      </c>
      <c r="F14">
        <v>14.992291451</v>
      </c>
      <c r="G14">
        <v>1441.6259766000001</v>
      </c>
      <c r="H14">
        <v>1404.8270264</v>
      </c>
      <c r="I14">
        <v>1253.2634277</v>
      </c>
      <c r="J14">
        <v>1213.8289795000001</v>
      </c>
      <c r="K14">
        <v>2400</v>
      </c>
      <c r="L14">
        <v>0</v>
      </c>
      <c r="M14">
        <v>0</v>
      </c>
      <c r="N14">
        <v>2400</v>
      </c>
    </row>
    <row r="15" spans="1:14" x14ac:dyDescent="0.25">
      <c r="A15">
        <v>5.1687999999999998E-2</v>
      </c>
      <c r="B15" s="1">
        <f>DATE(2010,5,1) + TIME(1,14,25)</f>
        <v>40299.051678240743</v>
      </c>
      <c r="C15">
        <v>80</v>
      </c>
      <c r="D15">
        <v>18.680988312</v>
      </c>
      <c r="E15">
        <v>50</v>
      </c>
      <c r="F15">
        <v>14.99216938</v>
      </c>
      <c r="G15">
        <v>1442.0333252</v>
      </c>
      <c r="H15">
        <v>1406.1170654</v>
      </c>
      <c r="I15">
        <v>1251.7296143000001</v>
      </c>
      <c r="J15">
        <v>1212.2951660000001</v>
      </c>
      <c r="K15">
        <v>2400</v>
      </c>
      <c r="L15">
        <v>0</v>
      </c>
      <c r="M15">
        <v>0</v>
      </c>
      <c r="N15">
        <v>2400</v>
      </c>
    </row>
    <row r="16" spans="1:14" x14ac:dyDescent="0.25">
      <c r="A16">
        <v>6.6028000000000003E-2</v>
      </c>
      <c r="B16" s="1">
        <f>DATE(2010,5,1) + TIME(1,35,4)</f>
        <v>40299.066018518519</v>
      </c>
      <c r="C16">
        <v>80</v>
      </c>
      <c r="D16">
        <v>19.667318344000002</v>
      </c>
      <c r="E16">
        <v>50</v>
      </c>
      <c r="F16">
        <v>14.992125510999999</v>
      </c>
      <c r="G16">
        <v>1441.7263184000001</v>
      </c>
      <c r="H16">
        <v>1406.6561279</v>
      </c>
      <c r="I16">
        <v>1250.9611815999999</v>
      </c>
      <c r="J16">
        <v>1211.5266113</v>
      </c>
      <c r="K16">
        <v>2400</v>
      </c>
      <c r="L16">
        <v>0</v>
      </c>
      <c r="M16">
        <v>0</v>
      </c>
      <c r="N16">
        <v>2400</v>
      </c>
    </row>
    <row r="17" spans="1:14" x14ac:dyDescent="0.25">
      <c r="A17">
        <v>8.0567E-2</v>
      </c>
      <c r="B17" s="1">
        <f>DATE(2010,5,1) + TIME(1,56,0)</f>
        <v>40299.080555555556</v>
      </c>
      <c r="C17">
        <v>80</v>
      </c>
      <c r="D17">
        <v>20.654001235999999</v>
      </c>
      <c r="E17">
        <v>50</v>
      </c>
      <c r="F17">
        <v>14.992119789</v>
      </c>
      <c r="G17">
        <v>1441.0681152</v>
      </c>
      <c r="H17">
        <v>1406.8101807</v>
      </c>
      <c r="I17">
        <v>1250.5758057</v>
      </c>
      <c r="J17">
        <v>1211.1411132999999</v>
      </c>
      <c r="K17">
        <v>2400</v>
      </c>
      <c r="L17">
        <v>0</v>
      </c>
      <c r="M17">
        <v>0</v>
      </c>
      <c r="N17">
        <v>2400</v>
      </c>
    </row>
    <row r="18" spans="1:14" x14ac:dyDescent="0.25">
      <c r="A18">
        <v>9.5301999999999998E-2</v>
      </c>
      <c r="B18" s="1">
        <f>DATE(2010,5,1) + TIME(2,17,14)</f>
        <v>40299.095300925925</v>
      </c>
      <c r="C18">
        <v>80</v>
      </c>
      <c r="D18">
        <v>21.640167236</v>
      </c>
      <c r="E18">
        <v>50</v>
      </c>
      <c r="F18">
        <v>14.992134094000001</v>
      </c>
      <c r="G18">
        <v>1440.2348632999999</v>
      </c>
      <c r="H18">
        <v>1406.7561035000001</v>
      </c>
      <c r="I18">
        <v>1250.3886719</v>
      </c>
      <c r="J18">
        <v>1210.9539795000001</v>
      </c>
      <c r="K18">
        <v>2400</v>
      </c>
      <c r="L18">
        <v>0</v>
      </c>
      <c r="M18">
        <v>0</v>
      </c>
      <c r="N18">
        <v>2400</v>
      </c>
    </row>
    <row r="19" spans="1:14" x14ac:dyDescent="0.25">
      <c r="A19">
        <v>0.11024299999999999</v>
      </c>
      <c r="B19" s="1">
        <f>DATE(2010,5,1) + TIME(2,38,44)</f>
        <v>40299.110231481478</v>
      </c>
      <c r="C19">
        <v>80</v>
      </c>
      <c r="D19">
        <v>22.625776291000001</v>
      </c>
      <c r="E19">
        <v>50</v>
      </c>
      <c r="F19">
        <v>14.992158890000001</v>
      </c>
      <c r="G19">
        <v>1439.3183594</v>
      </c>
      <c r="H19">
        <v>1406.5875243999999</v>
      </c>
      <c r="I19">
        <v>1250.3044434000001</v>
      </c>
      <c r="J19">
        <v>1210.869751</v>
      </c>
      <c r="K19">
        <v>2400</v>
      </c>
      <c r="L19">
        <v>0</v>
      </c>
      <c r="M19">
        <v>0</v>
      </c>
      <c r="N19">
        <v>2400</v>
      </c>
    </row>
    <row r="20" spans="1:14" x14ac:dyDescent="0.25">
      <c r="A20">
        <v>0.12540299999999999</v>
      </c>
      <c r="B20" s="1">
        <f>DATE(2010,5,1) + TIME(3,0,34)</f>
        <v>40299.125393518516</v>
      </c>
      <c r="C20">
        <v>80</v>
      </c>
      <c r="D20">
        <v>23.611101151</v>
      </c>
      <c r="E20">
        <v>50</v>
      </c>
      <c r="F20">
        <v>14.992188454000001</v>
      </c>
      <c r="G20">
        <v>1438.3686522999999</v>
      </c>
      <c r="H20">
        <v>1406.3562012</v>
      </c>
      <c r="I20">
        <v>1250.2724608999999</v>
      </c>
      <c r="J20">
        <v>1210.8377685999999</v>
      </c>
      <c r="K20">
        <v>2400</v>
      </c>
      <c r="L20">
        <v>0</v>
      </c>
      <c r="M20">
        <v>0</v>
      </c>
      <c r="N20">
        <v>2400</v>
      </c>
    </row>
    <row r="21" spans="1:14" x14ac:dyDescent="0.25">
      <c r="A21">
        <v>0.140788</v>
      </c>
      <c r="B21" s="1">
        <f>DATE(2010,5,1) + TIME(3,22,44)</f>
        <v>40299.140787037039</v>
      </c>
      <c r="C21">
        <v>80</v>
      </c>
      <c r="D21">
        <v>24.596132277999999</v>
      </c>
      <c r="E21">
        <v>50</v>
      </c>
      <c r="F21">
        <v>14.992221832</v>
      </c>
      <c r="G21">
        <v>1437.4138184000001</v>
      </c>
      <c r="H21">
        <v>1406.0919189000001</v>
      </c>
      <c r="I21">
        <v>1250.2661132999999</v>
      </c>
      <c r="J21">
        <v>1210.8312988</v>
      </c>
      <c r="K21">
        <v>2400</v>
      </c>
      <c r="L21">
        <v>0</v>
      </c>
      <c r="M21">
        <v>0</v>
      </c>
      <c r="N21">
        <v>2400</v>
      </c>
    </row>
    <row r="22" spans="1:14" x14ac:dyDescent="0.25">
      <c r="A22">
        <v>0.15640699999999999</v>
      </c>
      <c r="B22" s="1">
        <f>DATE(2010,5,1) + TIME(3,45,13)</f>
        <v>40299.156400462962</v>
      </c>
      <c r="C22">
        <v>80</v>
      </c>
      <c r="D22">
        <v>25.581251143999999</v>
      </c>
      <c r="E22">
        <v>50</v>
      </c>
      <c r="F22">
        <v>14.992255211</v>
      </c>
      <c r="G22">
        <v>1436.4694824000001</v>
      </c>
      <c r="H22">
        <v>1405.8116454999999</v>
      </c>
      <c r="I22">
        <v>1250.2711182</v>
      </c>
      <c r="J22">
        <v>1210.8363036999999</v>
      </c>
      <c r="K22">
        <v>2400</v>
      </c>
      <c r="L22">
        <v>0</v>
      </c>
      <c r="M22">
        <v>0</v>
      </c>
      <c r="N22">
        <v>2400</v>
      </c>
    </row>
    <row r="23" spans="1:14" x14ac:dyDescent="0.25">
      <c r="A23">
        <v>0.172263</v>
      </c>
      <c r="B23" s="1">
        <f>DATE(2010,5,1) + TIME(4,8,3)</f>
        <v>40299.172256944446</v>
      </c>
      <c r="C23">
        <v>80</v>
      </c>
      <c r="D23">
        <v>26.565950394000001</v>
      </c>
      <c r="E23">
        <v>50</v>
      </c>
      <c r="F23">
        <v>14.992289543</v>
      </c>
      <c r="G23">
        <v>1435.5447998</v>
      </c>
      <c r="H23">
        <v>1405.5258789</v>
      </c>
      <c r="I23">
        <v>1250.2805175999999</v>
      </c>
      <c r="J23">
        <v>1210.8457031</v>
      </c>
      <c r="K23">
        <v>2400</v>
      </c>
      <c r="L23">
        <v>0</v>
      </c>
      <c r="M23">
        <v>0</v>
      </c>
      <c r="N23">
        <v>2400</v>
      </c>
    </row>
    <row r="24" spans="1:14" x14ac:dyDescent="0.25">
      <c r="A24">
        <v>0.188364</v>
      </c>
      <c r="B24" s="1">
        <f>DATE(2010,5,1) + TIME(4,31,14)</f>
        <v>40299.188356481478</v>
      </c>
      <c r="C24">
        <v>80</v>
      </c>
      <c r="D24">
        <v>27.550064086999999</v>
      </c>
      <c r="E24">
        <v>50</v>
      </c>
      <c r="F24">
        <v>14.992323875</v>
      </c>
      <c r="G24">
        <v>1434.6446533000001</v>
      </c>
      <c r="H24">
        <v>1405.2402344</v>
      </c>
      <c r="I24">
        <v>1250.2906493999999</v>
      </c>
      <c r="J24">
        <v>1210.8558350000001</v>
      </c>
      <c r="K24">
        <v>2400</v>
      </c>
      <c r="L24">
        <v>0</v>
      </c>
      <c r="M24">
        <v>0</v>
      </c>
      <c r="N24">
        <v>2400</v>
      </c>
    </row>
    <row r="25" spans="1:14" x14ac:dyDescent="0.25">
      <c r="A25">
        <v>0.20472599999999999</v>
      </c>
      <c r="B25" s="1">
        <f>DATE(2010,5,1) + TIME(4,54,48)</f>
        <v>40299.204722222225</v>
      </c>
      <c r="C25">
        <v>80</v>
      </c>
      <c r="D25">
        <v>28.533838272000001</v>
      </c>
      <c r="E25">
        <v>50</v>
      </c>
      <c r="F25">
        <v>14.992358208000001</v>
      </c>
      <c r="G25">
        <v>1433.7709961</v>
      </c>
      <c r="H25">
        <v>1404.958374</v>
      </c>
      <c r="I25">
        <v>1250.300293</v>
      </c>
      <c r="J25">
        <v>1210.8653564000001</v>
      </c>
      <c r="K25">
        <v>2400</v>
      </c>
      <c r="L25">
        <v>0</v>
      </c>
      <c r="M25">
        <v>0</v>
      </c>
      <c r="N25">
        <v>2400</v>
      </c>
    </row>
    <row r="26" spans="1:14" x14ac:dyDescent="0.25">
      <c r="A26">
        <v>0.221357</v>
      </c>
      <c r="B26" s="1">
        <f>DATE(2010,5,1) + TIME(5,18,45)</f>
        <v>40299.221354166664</v>
      </c>
      <c r="C26">
        <v>80</v>
      </c>
      <c r="D26">
        <v>29.51726532</v>
      </c>
      <c r="E26">
        <v>50</v>
      </c>
      <c r="F26">
        <v>14.992392540000001</v>
      </c>
      <c r="G26">
        <v>1432.9249268000001</v>
      </c>
      <c r="H26">
        <v>1404.6821289</v>
      </c>
      <c r="I26">
        <v>1250.3085937999999</v>
      </c>
      <c r="J26">
        <v>1210.8736572</v>
      </c>
      <c r="K26">
        <v>2400</v>
      </c>
      <c r="L26">
        <v>0</v>
      </c>
      <c r="M26">
        <v>0</v>
      </c>
      <c r="N26">
        <v>2400</v>
      </c>
    </row>
    <row r="27" spans="1:14" x14ac:dyDescent="0.25">
      <c r="A27">
        <v>0.23826900000000001</v>
      </c>
      <c r="B27" s="1">
        <f>DATE(2010,5,1) + TIME(5,43,6)</f>
        <v>40299.238263888888</v>
      </c>
      <c r="C27">
        <v>80</v>
      </c>
      <c r="D27">
        <v>30.500444412</v>
      </c>
      <c r="E27">
        <v>50</v>
      </c>
      <c r="F27">
        <v>14.992426871999999</v>
      </c>
      <c r="G27">
        <v>1432.1063231999999</v>
      </c>
      <c r="H27">
        <v>1404.4125977000001</v>
      </c>
      <c r="I27">
        <v>1250.3155518000001</v>
      </c>
      <c r="J27">
        <v>1210.8806152</v>
      </c>
      <c r="K27">
        <v>2400</v>
      </c>
      <c r="L27">
        <v>0</v>
      </c>
      <c r="M27">
        <v>0</v>
      </c>
      <c r="N27">
        <v>2400</v>
      </c>
    </row>
    <row r="28" spans="1:14" x14ac:dyDescent="0.25">
      <c r="A28">
        <v>0.25546999999999997</v>
      </c>
      <c r="B28" s="1">
        <f>DATE(2010,5,1) + TIME(6,7,52)</f>
        <v>40299.255462962959</v>
      </c>
      <c r="C28">
        <v>80</v>
      </c>
      <c r="D28">
        <v>31.483251572</v>
      </c>
      <c r="E28">
        <v>50</v>
      </c>
      <c r="F28">
        <v>14.992461205</v>
      </c>
      <c r="G28">
        <v>1431.3148193</v>
      </c>
      <c r="H28">
        <v>1404.1505127</v>
      </c>
      <c r="I28">
        <v>1250.3214111</v>
      </c>
      <c r="J28">
        <v>1210.8863524999999</v>
      </c>
      <c r="K28">
        <v>2400</v>
      </c>
      <c r="L28">
        <v>0</v>
      </c>
      <c r="M28">
        <v>0</v>
      </c>
      <c r="N28">
        <v>2400</v>
      </c>
    </row>
    <row r="29" spans="1:14" x14ac:dyDescent="0.25">
      <c r="A29">
        <v>0.27297199999999999</v>
      </c>
      <c r="B29" s="1">
        <f>DATE(2010,5,1) + TIME(6,33,4)</f>
        <v>40299.272962962961</v>
      </c>
      <c r="C29">
        <v>80</v>
      </c>
      <c r="D29">
        <v>32.465564727999997</v>
      </c>
      <c r="E29">
        <v>50</v>
      </c>
      <c r="F29">
        <v>14.992495537</v>
      </c>
      <c r="G29">
        <v>1430.5499268000001</v>
      </c>
      <c r="H29">
        <v>1403.8959961</v>
      </c>
      <c r="I29">
        <v>1250.3261719</v>
      </c>
      <c r="J29">
        <v>1210.8912353999999</v>
      </c>
      <c r="K29">
        <v>2400</v>
      </c>
      <c r="L29">
        <v>0</v>
      </c>
      <c r="M29">
        <v>0</v>
      </c>
      <c r="N29">
        <v>2400</v>
      </c>
    </row>
    <row r="30" spans="1:14" x14ac:dyDescent="0.25">
      <c r="A30">
        <v>0.29078900000000002</v>
      </c>
      <c r="B30" s="1">
        <f>DATE(2010,5,1) + TIME(6,58,44)</f>
        <v>40299.29078703704</v>
      </c>
      <c r="C30">
        <v>80</v>
      </c>
      <c r="D30">
        <v>33.447471618999998</v>
      </c>
      <c r="E30">
        <v>50</v>
      </c>
      <c r="F30">
        <v>14.992528914999999</v>
      </c>
      <c r="G30">
        <v>1429.8104248</v>
      </c>
      <c r="H30">
        <v>1403.6490478999999</v>
      </c>
      <c r="I30">
        <v>1250.3302002</v>
      </c>
      <c r="J30">
        <v>1210.8951416</v>
      </c>
      <c r="K30">
        <v>2400</v>
      </c>
      <c r="L30">
        <v>0</v>
      </c>
      <c r="M30">
        <v>0</v>
      </c>
      <c r="N30">
        <v>2400</v>
      </c>
    </row>
    <row r="31" spans="1:14" x14ac:dyDescent="0.25">
      <c r="A31">
        <v>0.30893399999999999</v>
      </c>
      <c r="B31" s="1">
        <f>DATE(2010,5,1) + TIME(7,24,51)</f>
        <v>40299.308923611112</v>
      </c>
      <c r="C31">
        <v>80</v>
      </c>
      <c r="D31">
        <v>34.428958893000001</v>
      </c>
      <c r="E31">
        <v>50</v>
      </c>
      <c r="F31">
        <v>14.992563248</v>
      </c>
      <c r="G31">
        <v>1429.0957031</v>
      </c>
      <c r="H31">
        <v>1403.4094238</v>
      </c>
      <c r="I31">
        <v>1250.3336182</v>
      </c>
      <c r="J31">
        <v>1210.8985596</v>
      </c>
      <c r="K31">
        <v>2400</v>
      </c>
      <c r="L31">
        <v>0</v>
      </c>
      <c r="M31">
        <v>0</v>
      </c>
      <c r="N31">
        <v>2400</v>
      </c>
    </row>
    <row r="32" spans="1:14" x14ac:dyDescent="0.25">
      <c r="A32">
        <v>0.32742199999999999</v>
      </c>
      <c r="B32" s="1">
        <f>DATE(2010,5,1) + TIME(7,51,29)</f>
        <v>40299.327418981484</v>
      </c>
      <c r="C32">
        <v>80</v>
      </c>
      <c r="D32">
        <v>35.410007477000001</v>
      </c>
      <c r="E32">
        <v>50</v>
      </c>
      <c r="F32">
        <v>14.99259758</v>
      </c>
      <c r="G32">
        <v>1428.4045410000001</v>
      </c>
      <c r="H32">
        <v>1403.1770019999999</v>
      </c>
      <c r="I32">
        <v>1250.3365478999999</v>
      </c>
      <c r="J32">
        <v>1210.9013672000001</v>
      </c>
      <c r="K32">
        <v>2400</v>
      </c>
      <c r="L32">
        <v>0</v>
      </c>
      <c r="M32">
        <v>0</v>
      </c>
      <c r="N32">
        <v>2400</v>
      </c>
    </row>
    <row r="33" spans="1:14" x14ac:dyDescent="0.25">
      <c r="A33">
        <v>0.34626600000000002</v>
      </c>
      <c r="B33" s="1">
        <f>DATE(2010,5,1) + TIME(8,18,37)</f>
        <v>40299.346261574072</v>
      </c>
      <c r="C33">
        <v>80</v>
      </c>
      <c r="D33">
        <v>36.390602112000003</v>
      </c>
      <c r="E33">
        <v>50</v>
      </c>
      <c r="F33">
        <v>14.992631912</v>
      </c>
      <c r="G33">
        <v>1427.7360839999999</v>
      </c>
      <c r="H33">
        <v>1402.9515381000001</v>
      </c>
      <c r="I33">
        <v>1250.3389893000001</v>
      </c>
      <c r="J33">
        <v>1210.9038086</v>
      </c>
      <c r="K33">
        <v>2400</v>
      </c>
      <c r="L33">
        <v>0</v>
      </c>
      <c r="M33">
        <v>0</v>
      </c>
      <c r="N33">
        <v>2400</v>
      </c>
    </row>
    <row r="34" spans="1:14" x14ac:dyDescent="0.25">
      <c r="A34">
        <v>0.36548399999999998</v>
      </c>
      <c r="B34" s="1">
        <f>DATE(2010,5,1) + TIME(8,46,17)</f>
        <v>40299.365474537037</v>
      </c>
      <c r="C34">
        <v>80</v>
      </c>
      <c r="D34">
        <v>37.370719909999998</v>
      </c>
      <c r="E34">
        <v>50</v>
      </c>
      <c r="F34">
        <v>14.992665291</v>
      </c>
      <c r="G34">
        <v>1427.0893555</v>
      </c>
      <c r="H34">
        <v>1402.7326660000001</v>
      </c>
      <c r="I34">
        <v>1250.3411865</v>
      </c>
      <c r="J34">
        <v>1210.9060059000001</v>
      </c>
      <c r="K34">
        <v>2400</v>
      </c>
      <c r="L34">
        <v>0</v>
      </c>
      <c r="M34">
        <v>0</v>
      </c>
      <c r="N34">
        <v>2400</v>
      </c>
    </row>
    <row r="35" spans="1:14" x14ac:dyDescent="0.25">
      <c r="A35">
        <v>0.38509100000000002</v>
      </c>
      <c r="B35" s="1">
        <f>DATE(2010,5,1) + TIME(9,14,31)</f>
        <v>40299.385081018518</v>
      </c>
      <c r="C35">
        <v>80</v>
      </c>
      <c r="D35">
        <v>38.350341796999999</v>
      </c>
      <c r="E35">
        <v>50</v>
      </c>
      <c r="F35">
        <v>14.992699623</v>
      </c>
      <c r="G35">
        <v>1426.4632568</v>
      </c>
      <c r="H35">
        <v>1402.5201416</v>
      </c>
      <c r="I35">
        <v>1250.3431396000001</v>
      </c>
      <c r="J35">
        <v>1210.9078368999999</v>
      </c>
      <c r="K35">
        <v>2400</v>
      </c>
      <c r="L35">
        <v>0</v>
      </c>
      <c r="M35">
        <v>0</v>
      </c>
      <c r="N35">
        <v>2400</v>
      </c>
    </row>
    <row r="36" spans="1:14" x14ac:dyDescent="0.25">
      <c r="A36">
        <v>0.40510699999999999</v>
      </c>
      <c r="B36" s="1">
        <f>DATE(2010,5,1) + TIME(9,43,21)</f>
        <v>40299.405104166668</v>
      </c>
      <c r="C36">
        <v>80</v>
      </c>
      <c r="D36">
        <v>39.329444885000001</v>
      </c>
      <c r="E36">
        <v>50</v>
      </c>
      <c r="F36">
        <v>14.992733955</v>
      </c>
      <c r="G36">
        <v>1425.8569336</v>
      </c>
      <c r="H36">
        <v>1402.3135986</v>
      </c>
      <c r="I36">
        <v>1250.3449707</v>
      </c>
      <c r="J36">
        <v>1210.9095459</v>
      </c>
      <c r="K36">
        <v>2400</v>
      </c>
      <c r="L36">
        <v>0</v>
      </c>
      <c r="M36">
        <v>0</v>
      </c>
      <c r="N36">
        <v>2400</v>
      </c>
    </row>
    <row r="37" spans="1:14" x14ac:dyDescent="0.25">
      <c r="A37">
        <v>0.42554900000000001</v>
      </c>
      <c r="B37" s="1">
        <f>DATE(2010,5,1) + TIME(10,12,47)</f>
        <v>40299.425543981481</v>
      </c>
      <c r="C37">
        <v>80</v>
      </c>
      <c r="D37">
        <v>40.308074951000002</v>
      </c>
      <c r="E37">
        <v>50</v>
      </c>
      <c r="F37">
        <v>14.992768288000001</v>
      </c>
      <c r="G37">
        <v>1425.2695312000001</v>
      </c>
      <c r="H37">
        <v>1402.112793</v>
      </c>
      <c r="I37">
        <v>1250.3465576000001</v>
      </c>
      <c r="J37">
        <v>1210.9111327999999</v>
      </c>
      <c r="K37">
        <v>2400</v>
      </c>
      <c r="L37">
        <v>0</v>
      </c>
      <c r="M37">
        <v>0</v>
      </c>
      <c r="N37">
        <v>2400</v>
      </c>
    </row>
    <row r="38" spans="1:14" x14ac:dyDescent="0.25">
      <c r="A38">
        <v>0.446438</v>
      </c>
      <c r="B38" s="1">
        <f>DATE(2010,5,1) + TIME(10,42,52)</f>
        <v>40299.446435185186</v>
      </c>
      <c r="C38">
        <v>80</v>
      </c>
      <c r="D38">
        <v>41.286220551</v>
      </c>
      <c r="E38">
        <v>50</v>
      </c>
      <c r="F38">
        <v>14.992802620000001</v>
      </c>
      <c r="G38">
        <v>1424.7000731999999</v>
      </c>
      <c r="H38">
        <v>1401.9172363</v>
      </c>
      <c r="I38">
        <v>1250.3481445</v>
      </c>
      <c r="J38">
        <v>1210.9125977000001</v>
      </c>
      <c r="K38">
        <v>2400</v>
      </c>
      <c r="L38">
        <v>0</v>
      </c>
      <c r="M38">
        <v>0</v>
      </c>
      <c r="N38">
        <v>2400</v>
      </c>
    </row>
    <row r="39" spans="1:14" x14ac:dyDescent="0.25">
      <c r="A39">
        <v>0.46779399999999999</v>
      </c>
      <c r="B39" s="1">
        <f>DATE(2010,5,1) + TIME(11,13,37)</f>
        <v>40299.467789351853</v>
      </c>
      <c r="C39">
        <v>80</v>
      </c>
      <c r="D39">
        <v>42.263626099</v>
      </c>
      <c r="E39">
        <v>50</v>
      </c>
      <c r="F39">
        <v>14.992837906</v>
      </c>
      <c r="G39">
        <v>1424.1478271000001</v>
      </c>
      <c r="H39">
        <v>1401.7268065999999</v>
      </c>
      <c r="I39">
        <v>1250.3494873</v>
      </c>
      <c r="J39">
        <v>1210.9138184000001</v>
      </c>
      <c r="K39">
        <v>2400</v>
      </c>
      <c r="L39">
        <v>0</v>
      </c>
      <c r="M39">
        <v>0</v>
      </c>
      <c r="N39">
        <v>2400</v>
      </c>
    </row>
    <row r="40" spans="1:14" x14ac:dyDescent="0.25">
      <c r="A40">
        <v>0.48964299999999999</v>
      </c>
      <c r="B40" s="1">
        <f>DATE(2010,5,1) + TIME(11,45,5)</f>
        <v>40299.489641203705</v>
      </c>
      <c r="C40">
        <v>80</v>
      </c>
      <c r="D40">
        <v>43.240398407000001</v>
      </c>
      <c r="E40">
        <v>50</v>
      </c>
      <c r="F40">
        <v>14.992872238</v>
      </c>
      <c r="G40">
        <v>1423.6119385</v>
      </c>
      <c r="H40">
        <v>1401.5410156</v>
      </c>
      <c r="I40">
        <v>1250.3507079999999</v>
      </c>
      <c r="J40">
        <v>1210.9150391000001</v>
      </c>
      <c r="K40">
        <v>2400</v>
      </c>
      <c r="L40">
        <v>0</v>
      </c>
      <c r="M40">
        <v>0</v>
      </c>
      <c r="N40">
        <v>2400</v>
      </c>
    </row>
    <row r="41" spans="1:14" x14ac:dyDescent="0.25">
      <c r="A41">
        <v>0.51201200000000002</v>
      </c>
      <c r="B41" s="1">
        <f>DATE(2010,5,1) + TIME(12,17,17)</f>
        <v>40299.512002314812</v>
      </c>
      <c r="C41">
        <v>80</v>
      </c>
      <c r="D41">
        <v>44.216514586999999</v>
      </c>
      <c r="E41">
        <v>50</v>
      </c>
      <c r="F41">
        <v>14.992906570000001</v>
      </c>
      <c r="G41">
        <v>1423.0916748</v>
      </c>
      <c r="H41">
        <v>1401.3597411999999</v>
      </c>
      <c r="I41">
        <v>1250.3519286999999</v>
      </c>
      <c r="J41">
        <v>1210.9161377</v>
      </c>
      <c r="K41">
        <v>2400</v>
      </c>
      <c r="L41">
        <v>0</v>
      </c>
      <c r="M41">
        <v>0</v>
      </c>
      <c r="N41">
        <v>2400</v>
      </c>
    </row>
    <row r="42" spans="1:14" x14ac:dyDescent="0.25">
      <c r="A42">
        <v>0.53492799999999996</v>
      </c>
      <c r="B42" s="1">
        <f>DATE(2010,5,1) + TIME(12,50,17)</f>
        <v>40299.534918981481</v>
      </c>
      <c r="C42">
        <v>80</v>
      </c>
      <c r="D42">
        <v>45.191932678000001</v>
      </c>
      <c r="E42">
        <v>50</v>
      </c>
      <c r="F42">
        <v>14.992941856</v>
      </c>
      <c r="G42">
        <v>1422.5861815999999</v>
      </c>
      <c r="H42">
        <v>1401.1824951000001</v>
      </c>
      <c r="I42">
        <v>1250.3531493999999</v>
      </c>
      <c r="J42">
        <v>1210.9172363</v>
      </c>
      <c r="K42">
        <v>2400</v>
      </c>
      <c r="L42">
        <v>0</v>
      </c>
      <c r="M42">
        <v>0</v>
      </c>
      <c r="N42">
        <v>2400</v>
      </c>
    </row>
    <row r="43" spans="1:14" x14ac:dyDescent="0.25">
      <c r="A43">
        <v>0.55842199999999997</v>
      </c>
      <c r="B43" s="1">
        <f>DATE(2010,5,1) + TIME(13,24,7)</f>
        <v>40299.55841435185</v>
      </c>
      <c r="C43">
        <v>80</v>
      </c>
      <c r="D43">
        <v>46.166618346999996</v>
      </c>
      <c r="E43">
        <v>50</v>
      </c>
      <c r="F43">
        <v>14.992977142000001</v>
      </c>
      <c r="G43">
        <v>1422.0948486</v>
      </c>
      <c r="H43">
        <v>1401.0090332</v>
      </c>
      <c r="I43">
        <v>1250.354126</v>
      </c>
      <c r="J43">
        <v>1210.9182129000001</v>
      </c>
      <c r="K43">
        <v>2400</v>
      </c>
      <c r="L43">
        <v>0</v>
      </c>
      <c r="M43">
        <v>0</v>
      </c>
      <c r="N43">
        <v>2400</v>
      </c>
    </row>
    <row r="44" spans="1:14" x14ac:dyDescent="0.25">
      <c r="A44">
        <v>0.58252599999999999</v>
      </c>
      <c r="B44" s="1">
        <f>DATE(2010,5,1) + TIME(13,58,50)</f>
        <v>40299.58252314815</v>
      </c>
      <c r="C44">
        <v>80</v>
      </c>
      <c r="D44">
        <v>47.140529633</v>
      </c>
      <c r="E44">
        <v>50</v>
      </c>
      <c r="F44">
        <v>14.993012428</v>
      </c>
      <c r="G44">
        <v>1421.6169434000001</v>
      </c>
      <c r="H44">
        <v>1400.8391113</v>
      </c>
      <c r="I44">
        <v>1250.3552245999999</v>
      </c>
      <c r="J44">
        <v>1210.9190673999999</v>
      </c>
      <c r="K44">
        <v>2400</v>
      </c>
      <c r="L44">
        <v>0</v>
      </c>
      <c r="M44">
        <v>0</v>
      </c>
      <c r="N44">
        <v>2400</v>
      </c>
    </row>
    <row r="45" spans="1:14" x14ac:dyDescent="0.25">
      <c r="A45">
        <v>0.60727500000000001</v>
      </c>
      <c r="B45" s="1">
        <f>DATE(2010,5,1) + TIME(14,34,28)</f>
        <v>40299.607268518521</v>
      </c>
      <c r="C45">
        <v>80</v>
      </c>
      <c r="D45">
        <v>48.113624573000003</v>
      </c>
      <c r="E45">
        <v>50</v>
      </c>
      <c r="F45">
        <v>14.993047713999999</v>
      </c>
      <c r="G45">
        <v>1421.1518555</v>
      </c>
      <c r="H45">
        <v>1400.6723632999999</v>
      </c>
      <c r="I45">
        <v>1250.3560791</v>
      </c>
      <c r="J45">
        <v>1210.9199219</v>
      </c>
      <c r="K45">
        <v>2400</v>
      </c>
      <c r="L45">
        <v>0</v>
      </c>
      <c r="M45">
        <v>0</v>
      </c>
      <c r="N45">
        <v>2400</v>
      </c>
    </row>
    <row r="46" spans="1:14" x14ac:dyDescent="0.25">
      <c r="A46">
        <v>0.63270899999999997</v>
      </c>
      <c r="B46" s="1">
        <f>DATE(2010,5,1) + TIME(15,11,6)</f>
        <v>40299.632708333331</v>
      </c>
      <c r="C46">
        <v>80</v>
      </c>
      <c r="D46">
        <v>49.085849762000002</v>
      </c>
      <c r="E46">
        <v>50</v>
      </c>
      <c r="F46">
        <v>14.993083</v>
      </c>
      <c r="G46">
        <v>1420.6988524999999</v>
      </c>
      <c r="H46">
        <v>1400.5086670000001</v>
      </c>
      <c r="I46">
        <v>1250.3570557</v>
      </c>
      <c r="J46">
        <v>1210.9207764</v>
      </c>
      <c r="K46">
        <v>2400</v>
      </c>
      <c r="L46">
        <v>0</v>
      </c>
      <c r="M46">
        <v>0</v>
      </c>
      <c r="N46">
        <v>2400</v>
      </c>
    </row>
    <row r="47" spans="1:14" x14ac:dyDescent="0.25">
      <c r="A47">
        <v>0.65886999999999996</v>
      </c>
      <c r="B47" s="1">
        <f>DATE(2010,5,1) + TIME(15,48,46)</f>
        <v>40299.658865740741</v>
      </c>
      <c r="C47">
        <v>80</v>
      </c>
      <c r="D47">
        <v>50.057128906000003</v>
      </c>
      <c r="E47">
        <v>50</v>
      </c>
      <c r="F47">
        <v>14.99311924</v>
      </c>
      <c r="G47">
        <v>1420.2573242000001</v>
      </c>
      <c r="H47">
        <v>1400.3476562000001</v>
      </c>
      <c r="I47">
        <v>1250.3579102000001</v>
      </c>
      <c r="J47">
        <v>1210.9215088000001</v>
      </c>
      <c r="K47">
        <v>2400</v>
      </c>
      <c r="L47">
        <v>0</v>
      </c>
      <c r="M47">
        <v>0</v>
      </c>
      <c r="N47">
        <v>2400</v>
      </c>
    </row>
    <row r="48" spans="1:14" x14ac:dyDescent="0.25">
      <c r="A48">
        <v>0.68580399999999997</v>
      </c>
      <c r="B48" s="1">
        <f>DATE(2010,5,1) + TIME(16,27,33)</f>
        <v>40299.685798611114</v>
      </c>
      <c r="C48">
        <v>80</v>
      </c>
      <c r="D48">
        <v>51.027019500999998</v>
      </c>
      <c r="E48">
        <v>50</v>
      </c>
      <c r="F48">
        <v>14.993155479</v>
      </c>
      <c r="G48">
        <v>1419.8267822</v>
      </c>
      <c r="H48">
        <v>1400.1888428</v>
      </c>
      <c r="I48">
        <v>1250.3587646000001</v>
      </c>
      <c r="J48">
        <v>1210.9222411999999</v>
      </c>
      <c r="K48">
        <v>2400</v>
      </c>
      <c r="L48">
        <v>0</v>
      </c>
      <c r="M48">
        <v>0</v>
      </c>
      <c r="N48">
        <v>2400</v>
      </c>
    </row>
    <row r="49" spans="1:14" x14ac:dyDescent="0.25">
      <c r="A49">
        <v>0.71357400000000004</v>
      </c>
      <c r="B49" s="1">
        <f>DATE(2010,5,1) + TIME(17,7,32)</f>
        <v>40299.713564814818</v>
      </c>
      <c r="C49">
        <v>80</v>
      </c>
      <c r="D49">
        <v>51.996273041000002</v>
      </c>
      <c r="E49">
        <v>50</v>
      </c>
      <c r="F49">
        <v>14.993191719</v>
      </c>
      <c r="G49">
        <v>1419.4063721</v>
      </c>
      <c r="H49">
        <v>1400.0322266000001</v>
      </c>
      <c r="I49">
        <v>1250.3594971</v>
      </c>
      <c r="J49">
        <v>1210.9229736</v>
      </c>
      <c r="K49">
        <v>2400</v>
      </c>
      <c r="L49">
        <v>0</v>
      </c>
      <c r="M49">
        <v>0</v>
      </c>
      <c r="N49">
        <v>2400</v>
      </c>
    </row>
    <row r="50" spans="1:14" x14ac:dyDescent="0.25">
      <c r="A50">
        <v>0.74222500000000002</v>
      </c>
      <c r="B50" s="1">
        <f>DATE(2010,5,1) + TIME(17,48,48)</f>
        <v>40299.742222222223</v>
      </c>
      <c r="C50">
        <v>80</v>
      </c>
      <c r="D50">
        <v>52.964412689</v>
      </c>
      <c r="E50">
        <v>50</v>
      </c>
      <c r="F50">
        <v>14.993227959</v>
      </c>
      <c r="G50">
        <v>1418.9958495999999</v>
      </c>
      <c r="H50">
        <v>1399.8774414</v>
      </c>
      <c r="I50">
        <v>1250.3602295000001</v>
      </c>
      <c r="J50">
        <v>1210.9235839999999</v>
      </c>
      <c r="K50">
        <v>2400</v>
      </c>
      <c r="L50">
        <v>0</v>
      </c>
      <c r="M50">
        <v>0</v>
      </c>
      <c r="N50">
        <v>2400</v>
      </c>
    </row>
    <row r="51" spans="1:14" x14ac:dyDescent="0.25">
      <c r="A51">
        <v>0.77181900000000003</v>
      </c>
      <c r="B51" s="1">
        <f>DATE(2010,5,1) + TIME(18,31,25)</f>
        <v>40299.771817129629</v>
      </c>
      <c r="C51">
        <v>80</v>
      </c>
      <c r="D51">
        <v>53.931362151999998</v>
      </c>
      <c r="E51">
        <v>50</v>
      </c>
      <c r="F51">
        <v>14.993265151999999</v>
      </c>
      <c r="G51">
        <v>1418.5944824000001</v>
      </c>
      <c r="H51">
        <v>1399.7241211</v>
      </c>
      <c r="I51">
        <v>1250.3610839999999</v>
      </c>
      <c r="J51">
        <v>1210.9241943</v>
      </c>
      <c r="K51">
        <v>2400</v>
      </c>
      <c r="L51">
        <v>0</v>
      </c>
      <c r="M51">
        <v>0</v>
      </c>
      <c r="N51">
        <v>2400</v>
      </c>
    </row>
    <row r="52" spans="1:14" x14ac:dyDescent="0.25">
      <c r="A52">
        <v>0.80242500000000005</v>
      </c>
      <c r="B52" s="1">
        <f>DATE(2010,5,1) + TIME(19,15,29)</f>
        <v>40299.802418981482</v>
      </c>
      <c r="C52">
        <v>80</v>
      </c>
      <c r="D52">
        <v>54.897037505999997</v>
      </c>
      <c r="E52">
        <v>50</v>
      </c>
      <c r="F52">
        <v>14.993302345</v>
      </c>
      <c r="G52">
        <v>1418.2017822</v>
      </c>
      <c r="H52">
        <v>1399.5720214999999</v>
      </c>
      <c r="I52">
        <v>1250.3618164</v>
      </c>
      <c r="J52">
        <v>1210.9249268000001</v>
      </c>
      <c r="K52">
        <v>2400</v>
      </c>
      <c r="L52">
        <v>0</v>
      </c>
      <c r="M52">
        <v>0</v>
      </c>
      <c r="N52">
        <v>2400</v>
      </c>
    </row>
    <row r="53" spans="1:14" x14ac:dyDescent="0.25">
      <c r="A53">
        <v>0.83411800000000003</v>
      </c>
      <c r="B53" s="1">
        <f>DATE(2010,5,1) + TIME(20,1,7)</f>
        <v>40299.834108796298</v>
      </c>
      <c r="C53">
        <v>80</v>
      </c>
      <c r="D53">
        <v>55.861343384000001</v>
      </c>
      <c r="E53">
        <v>50</v>
      </c>
      <c r="F53">
        <v>14.993339539000001</v>
      </c>
      <c r="G53">
        <v>1417.8170166</v>
      </c>
      <c r="H53">
        <v>1399.4210204999999</v>
      </c>
      <c r="I53">
        <v>1250.3625488</v>
      </c>
      <c r="J53">
        <v>1210.9255370999999</v>
      </c>
      <c r="K53">
        <v>2400</v>
      </c>
      <c r="L53">
        <v>0</v>
      </c>
      <c r="M53">
        <v>0</v>
      </c>
      <c r="N53">
        <v>2400</v>
      </c>
    </row>
    <row r="54" spans="1:14" x14ac:dyDescent="0.25">
      <c r="A54">
        <v>0.86698500000000001</v>
      </c>
      <c r="B54" s="1">
        <f>DATE(2010,5,1) + TIME(20,48,27)</f>
        <v>40299.866979166669</v>
      </c>
      <c r="C54">
        <v>80</v>
      </c>
      <c r="D54">
        <v>56.824172974</v>
      </c>
      <c r="E54">
        <v>50</v>
      </c>
      <c r="F54">
        <v>14.993377686000001</v>
      </c>
      <c r="G54">
        <v>1417.4399414</v>
      </c>
      <c r="H54">
        <v>1399.2705077999999</v>
      </c>
      <c r="I54">
        <v>1250.3632812000001</v>
      </c>
      <c r="J54">
        <v>1210.9260254000001</v>
      </c>
      <c r="K54">
        <v>2400</v>
      </c>
      <c r="L54">
        <v>0</v>
      </c>
      <c r="M54">
        <v>0</v>
      </c>
      <c r="N54">
        <v>2400</v>
      </c>
    </row>
    <row r="55" spans="1:14" x14ac:dyDescent="0.25">
      <c r="A55">
        <v>0.90112000000000003</v>
      </c>
      <c r="B55" s="1">
        <f>DATE(2010,5,1) + TIME(21,37,36)</f>
        <v>40299.90111111111</v>
      </c>
      <c r="C55">
        <v>80</v>
      </c>
      <c r="D55">
        <v>57.785415649000001</v>
      </c>
      <c r="E55">
        <v>50</v>
      </c>
      <c r="F55">
        <v>14.993415833</v>
      </c>
      <c r="G55">
        <v>1417.0698242000001</v>
      </c>
      <c r="H55">
        <v>1399.1203613</v>
      </c>
      <c r="I55">
        <v>1250.3638916</v>
      </c>
      <c r="J55">
        <v>1210.9266356999999</v>
      </c>
      <c r="K55">
        <v>2400</v>
      </c>
      <c r="L55">
        <v>0</v>
      </c>
      <c r="M55">
        <v>0</v>
      </c>
      <c r="N55">
        <v>2400</v>
      </c>
    </row>
    <row r="56" spans="1:14" x14ac:dyDescent="0.25">
      <c r="A56">
        <v>0.93663200000000002</v>
      </c>
      <c r="B56" s="1">
        <f>DATE(2010,5,1) + TIME(22,28,45)</f>
        <v>40299.936631944445</v>
      </c>
      <c r="C56">
        <v>80</v>
      </c>
      <c r="D56">
        <v>58.744934082</v>
      </c>
      <c r="E56">
        <v>50</v>
      </c>
      <c r="F56">
        <v>14.993454933000001</v>
      </c>
      <c r="G56">
        <v>1416.7061768000001</v>
      </c>
      <c r="H56">
        <v>1398.9702147999999</v>
      </c>
      <c r="I56">
        <v>1250.364624</v>
      </c>
      <c r="J56">
        <v>1210.9272461</v>
      </c>
      <c r="K56">
        <v>2400</v>
      </c>
      <c r="L56">
        <v>0</v>
      </c>
      <c r="M56">
        <v>0</v>
      </c>
      <c r="N56">
        <v>2400</v>
      </c>
    </row>
    <row r="57" spans="1:14" x14ac:dyDescent="0.25">
      <c r="A57">
        <v>0.97364200000000001</v>
      </c>
      <c r="B57" s="1">
        <f>DATE(2010,5,1) + TIME(23,22,2)</f>
        <v>40299.973634259259</v>
      </c>
      <c r="C57">
        <v>80</v>
      </c>
      <c r="D57">
        <v>59.702579497999999</v>
      </c>
      <c r="E57">
        <v>50</v>
      </c>
      <c r="F57">
        <v>14.993494033999999</v>
      </c>
      <c r="G57">
        <v>1416.3485106999999</v>
      </c>
      <c r="H57">
        <v>1398.8198242000001</v>
      </c>
      <c r="I57">
        <v>1250.3653564000001</v>
      </c>
      <c r="J57">
        <v>1210.9278564000001</v>
      </c>
      <c r="K57">
        <v>2400</v>
      </c>
      <c r="L57">
        <v>0</v>
      </c>
      <c r="M57">
        <v>0</v>
      </c>
      <c r="N57">
        <v>2400</v>
      </c>
    </row>
    <row r="58" spans="1:14" x14ac:dyDescent="0.25">
      <c r="A58">
        <v>1</v>
      </c>
      <c r="B58" s="1">
        <f>DATE(2010,5,2) + TIME(0,0,0)</f>
        <v>40300</v>
      </c>
      <c r="C58">
        <v>80</v>
      </c>
      <c r="D58">
        <v>60.363937378000003</v>
      </c>
      <c r="E58">
        <v>50</v>
      </c>
      <c r="F58">
        <v>14.99352169</v>
      </c>
      <c r="G58">
        <v>1416.1047363</v>
      </c>
      <c r="H58">
        <v>1398.7047118999999</v>
      </c>
      <c r="I58">
        <v>1250.3660889</v>
      </c>
      <c r="J58">
        <v>1210.9284668</v>
      </c>
      <c r="K58">
        <v>2400</v>
      </c>
      <c r="L58">
        <v>0</v>
      </c>
      <c r="M58">
        <v>0</v>
      </c>
      <c r="N58">
        <v>2400</v>
      </c>
    </row>
    <row r="59" spans="1:14" x14ac:dyDescent="0.25">
      <c r="A59">
        <v>1.0386470000000001</v>
      </c>
      <c r="B59" s="1">
        <f>DATE(2010,5,2) + TIME(0,55,39)</f>
        <v>40300.038645833331</v>
      </c>
      <c r="C59">
        <v>80</v>
      </c>
      <c r="D59">
        <v>61.289417266999997</v>
      </c>
      <c r="E59">
        <v>50</v>
      </c>
      <c r="F59">
        <v>14.993560791</v>
      </c>
      <c r="G59">
        <v>1415.7661132999999</v>
      </c>
      <c r="H59">
        <v>1398.5675048999999</v>
      </c>
      <c r="I59">
        <v>1250.3666992000001</v>
      </c>
      <c r="J59">
        <v>1210.9289550999999</v>
      </c>
      <c r="K59">
        <v>2400</v>
      </c>
      <c r="L59">
        <v>0</v>
      </c>
      <c r="M59">
        <v>0</v>
      </c>
      <c r="N59">
        <v>2400</v>
      </c>
    </row>
    <row r="60" spans="1:14" x14ac:dyDescent="0.25">
      <c r="A60">
        <v>1.0804050000000001</v>
      </c>
      <c r="B60" s="1">
        <f>DATE(2010,5,2) + TIME(1,55,47)</f>
        <v>40300.080405092594</v>
      </c>
      <c r="C60">
        <v>80</v>
      </c>
      <c r="D60">
        <v>62.241069793999998</v>
      </c>
      <c r="E60">
        <v>50</v>
      </c>
      <c r="F60">
        <v>14.993600845</v>
      </c>
      <c r="G60">
        <v>1415.421875</v>
      </c>
      <c r="H60">
        <v>1398.4154053</v>
      </c>
      <c r="I60">
        <v>1250.3674315999999</v>
      </c>
      <c r="J60">
        <v>1210.9295654</v>
      </c>
      <c r="K60">
        <v>2400</v>
      </c>
      <c r="L60">
        <v>0</v>
      </c>
      <c r="M60">
        <v>0</v>
      </c>
      <c r="N60">
        <v>2400</v>
      </c>
    </row>
    <row r="61" spans="1:14" x14ac:dyDescent="0.25">
      <c r="A61">
        <v>1.124285</v>
      </c>
      <c r="B61" s="1">
        <f>DATE(2010,5,2) + TIME(2,58,58)</f>
        <v>40300.124282407407</v>
      </c>
      <c r="C61">
        <v>80</v>
      </c>
      <c r="D61">
        <v>63.190181731999999</v>
      </c>
      <c r="E61">
        <v>50</v>
      </c>
      <c r="F61">
        <v>14.993642807000001</v>
      </c>
      <c r="G61">
        <v>1415.0809326000001</v>
      </c>
      <c r="H61">
        <v>1398.2601318</v>
      </c>
      <c r="I61">
        <v>1250.3682861</v>
      </c>
      <c r="J61">
        <v>1210.9301757999999</v>
      </c>
      <c r="K61">
        <v>2400</v>
      </c>
      <c r="L61">
        <v>0</v>
      </c>
      <c r="M61">
        <v>0</v>
      </c>
      <c r="N61">
        <v>2400</v>
      </c>
    </row>
    <row r="62" spans="1:14" x14ac:dyDescent="0.25">
      <c r="A62">
        <v>1.1705179999999999</v>
      </c>
      <c r="B62" s="1">
        <f>DATE(2010,5,2) + TIME(4,5,32)</f>
        <v>40300.17050925926</v>
      </c>
      <c r="C62">
        <v>80</v>
      </c>
      <c r="D62">
        <v>64.136405945000007</v>
      </c>
      <c r="E62">
        <v>50</v>
      </c>
      <c r="F62">
        <v>14.993684769</v>
      </c>
      <c r="G62">
        <v>1414.7431641000001</v>
      </c>
      <c r="H62">
        <v>1398.1025391000001</v>
      </c>
      <c r="I62">
        <v>1250.3691406</v>
      </c>
      <c r="J62">
        <v>1210.9309082</v>
      </c>
      <c r="K62">
        <v>2400</v>
      </c>
      <c r="L62">
        <v>0</v>
      </c>
      <c r="M62">
        <v>0</v>
      </c>
      <c r="N62">
        <v>2400</v>
      </c>
    </row>
    <row r="63" spans="1:14" x14ac:dyDescent="0.25">
      <c r="A63">
        <v>1.219379</v>
      </c>
      <c r="B63" s="1">
        <f>DATE(2010,5,2) + TIME(5,15,54)</f>
        <v>40300.219375000001</v>
      </c>
      <c r="C63">
        <v>80</v>
      </c>
      <c r="D63">
        <v>65.079437256000006</v>
      </c>
      <c r="E63">
        <v>50</v>
      </c>
      <c r="F63">
        <v>14.993727684</v>
      </c>
      <c r="G63">
        <v>1414.4079589999999</v>
      </c>
      <c r="H63">
        <v>1397.9418945</v>
      </c>
      <c r="I63">
        <v>1250.3699951000001</v>
      </c>
      <c r="J63">
        <v>1210.9316406</v>
      </c>
      <c r="K63">
        <v>2400</v>
      </c>
      <c r="L63">
        <v>0</v>
      </c>
      <c r="M63">
        <v>0</v>
      </c>
      <c r="N63">
        <v>2400</v>
      </c>
    </row>
    <row r="64" spans="1:14" x14ac:dyDescent="0.25">
      <c r="A64">
        <v>1.271191</v>
      </c>
      <c r="B64" s="1">
        <f>DATE(2010,5,2) + TIME(6,30,30)</f>
        <v>40300.271180555559</v>
      </c>
      <c r="C64">
        <v>80</v>
      </c>
      <c r="D64">
        <v>66.019096375000004</v>
      </c>
      <c r="E64">
        <v>50</v>
      </c>
      <c r="F64">
        <v>14.993771553</v>
      </c>
      <c r="G64">
        <v>1414.0743408000001</v>
      </c>
      <c r="H64">
        <v>1397.777832</v>
      </c>
      <c r="I64">
        <v>1250.3709716999999</v>
      </c>
      <c r="J64">
        <v>1210.9324951000001</v>
      </c>
      <c r="K64">
        <v>2400</v>
      </c>
      <c r="L64">
        <v>0</v>
      </c>
      <c r="M64">
        <v>0</v>
      </c>
      <c r="N64">
        <v>2400</v>
      </c>
    </row>
    <row r="65" spans="1:14" x14ac:dyDescent="0.25">
      <c r="A65">
        <v>1.32633</v>
      </c>
      <c r="B65" s="1">
        <f>DATE(2010,5,2) + TIME(7,49,54)</f>
        <v>40300.326319444444</v>
      </c>
      <c r="C65">
        <v>80</v>
      </c>
      <c r="D65">
        <v>66.954544067</v>
      </c>
      <c r="E65">
        <v>50</v>
      </c>
      <c r="F65">
        <v>14.993816376</v>
      </c>
      <c r="G65">
        <v>1413.7416992000001</v>
      </c>
      <c r="H65">
        <v>1397.609375</v>
      </c>
      <c r="I65">
        <v>1250.3719481999999</v>
      </c>
      <c r="J65">
        <v>1210.9333495999999</v>
      </c>
      <c r="K65">
        <v>2400</v>
      </c>
      <c r="L65">
        <v>0</v>
      </c>
      <c r="M65">
        <v>0</v>
      </c>
      <c r="N65">
        <v>2400</v>
      </c>
    </row>
    <row r="66" spans="1:14" x14ac:dyDescent="0.25">
      <c r="A66">
        <v>1.354473</v>
      </c>
      <c r="B66" s="1">
        <f>DATE(2010,5,2) + TIME(8,30,26)</f>
        <v>40300.354467592595</v>
      </c>
      <c r="C66">
        <v>80</v>
      </c>
      <c r="D66">
        <v>67.416519164999997</v>
      </c>
      <c r="E66">
        <v>50</v>
      </c>
      <c r="F66">
        <v>14.993839264</v>
      </c>
      <c r="G66">
        <v>1413.5545654</v>
      </c>
      <c r="H66">
        <v>1397.4757079999999</v>
      </c>
      <c r="I66">
        <v>1250.3728027</v>
      </c>
      <c r="J66">
        <v>1210.934082</v>
      </c>
      <c r="K66">
        <v>2400</v>
      </c>
      <c r="L66">
        <v>0</v>
      </c>
      <c r="M66">
        <v>0</v>
      </c>
      <c r="N66">
        <v>2400</v>
      </c>
    </row>
    <row r="67" spans="1:14" x14ac:dyDescent="0.25">
      <c r="A67">
        <v>1.3826160000000001</v>
      </c>
      <c r="B67" s="1">
        <f>DATE(2010,5,2) + TIME(9,10,58)</f>
        <v>40300.382615740738</v>
      </c>
      <c r="C67">
        <v>80</v>
      </c>
      <c r="D67">
        <v>67.862640381000006</v>
      </c>
      <c r="E67">
        <v>50</v>
      </c>
      <c r="F67">
        <v>14.993861197999999</v>
      </c>
      <c r="G67">
        <v>1413.3933105000001</v>
      </c>
      <c r="H67">
        <v>1397.3901367000001</v>
      </c>
      <c r="I67">
        <v>1250.3735352000001</v>
      </c>
      <c r="J67">
        <v>1210.9346923999999</v>
      </c>
      <c r="K67">
        <v>2400</v>
      </c>
      <c r="L67">
        <v>0</v>
      </c>
      <c r="M67">
        <v>0</v>
      </c>
      <c r="N67">
        <v>2400</v>
      </c>
    </row>
    <row r="68" spans="1:14" x14ac:dyDescent="0.25">
      <c r="A68">
        <v>1.4107590000000001</v>
      </c>
      <c r="B68" s="1">
        <f>DATE(2010,5,2) + TIME(9,51,29)</f>
        <v>40300.410752314812</v>
      </c>
      <c r="C68">
        <v>80</v>
      </c>
      <c r="D68">
        <v>68.293426514000004</v>
      </c>
      <c r="E68">
        <v>50</v>
      </c>
      <c r="F68">
        <v>14.993883133000001</v>
      </c>
      <c r="G68">
        <v>1413.2379149999999</v>
      </c>
      <c r="H68">
        <v>1397.3063964999999</v>
      </c>
      <c r="I68">
        <v>1250.3741454999999</v>
      </c>
      <c r="J68">
        <v>1210.9351807</v>
      </c>
      <c r="K68">
        <v>2400</v>
      </c>
      <c r="L68">
        <v>0</v>
      </c>
      <c r="M68">
        <v>0</v>
      </c>
      <c r="N68">
        <v>2400</v>
      </c>
    </row>
    <row r="69" spans="1:14" x14ac:dyDescent="0.25">
      <c r="A69">
        <v>1.4389019999999999</v>
      </c>
      <c r="B69" s="1">
        <f>DATE(2010,5,2) + TIME(10,32,1)</f>
        <v>40300.438900462963</v>
      </c>
      <c r="C69">
        <v>80</v>
      </c>
      <c r="D69">
        <v>68.709358214999995</v>
      </c>
      <c r="E69">
        <v>50</v>
      </c>
      <c r="F69">
        <v>14.993904113999999</v>
      </c>
      <c r="G69">
        <v>1413.0871582</v>
      </c>
      <c r="H69">
        <v>1397.223999</v>
      </c>
      <c r="I69">
        <v>1250.3747559000001</v>
      </c>
      <c r="J69">
        <v>1210.9356689000001</v>
      </c>
      <c r="K69">
        <v>2400</v>
      </c>
      <c r="L69">
        <v>0</v>
      </c>
      <c r="M69">
        <v>0</v>
      </c>
      <c r="N69">
        <v>2400</v>
      </c>
    </row>
    <row r="70" spans="1:14" x14ac:dyDescent="0.25">
      <c r="A70">
        <v>1.4670449999999999</v>
      </c>
      <c r="B70" s="1">
        <f>DATE(2010,5,2) + TIME(11,12,32)</f>
        <v>40300.467037037037</v>
      </c>
      <c r="C70">
        <v>80</v>
      </c>
      <c r="D70">
        <v>69.110900878999999</v>
      </c>
      <c r="E70">
        <v>50</v>
      </c>
      <c r="F70">
        <v>14.993925095</v>
      </c>
      <c r="G70">
        <v>1412.9406738</v>
      </c>
      <c r="H70">
        <v>1397.1427002</v>
      </c>
      <c r="I70">
        <v>1250.3752440999999</v>
      </c>
      <c r="J70">
        <v>1210.9361572</v>
      </c>
      <c r="K70">
        <v>2400</v>
      </c>
      <c r="L70">
        <v>0</v>
      </c>
      <c r="M70">
        <v>0</v>
      </c>
      <c r="N70">
        <v>2400</v>
      </c>
    </row>
    <row r="71" spans="1:14" x14ac:dyDescent="0.25">
      <c r="A71">
        <v>1.523331</v>
      </c>
      <c r="B71" s="1">
        <f>DATE(2010,5,2) + TIME(12,33,35)</f>
        <v>40300.523321759261</v>
      </c>
      <c r="C71">
        <v>80</v>
      </c>
      <c r="D71">
        <v>69.859001160000005</v>
      </c>
      <c r="E71">
        <v>50</v>
      </c>
      <c r="F71">
        <v>14.993965148999999</v>
      </c>
      <c r="G71">
        <v>1412.6917725000001</v>
      </c>
      <c r="H71">
        <v>1397.0349120999999</v>
      </c>
      <c r="I71">
        <v>1250.3759766000001</v>
      </c>
      <c r="J71">
        <v>1210.9367675999999</v>
      </c>
      <c r="K71">
        <v>2400</v>
      </c>
      <c r="L71">
        <v>0</v>
      </c>
      <c r="M71">
        <v>0</v>
      </c>
      <c r="N71">
        <v>2400</v>
      </c>
    </row>
    <row r="72" spans="1:14" x14ac:dyDescent="0.25">
      <c r="A72">
        <v>1.5796600000000001</v>
      </c>
      <c r="B72" s="1">
        <f>DATE(2010,5,2) + TIME(13,54,42)</f>
        <v>40300.579652777778</v>
      </c>
      <c r="C72">
        <v>80</v>
      </c>
      <c r="D72">
        <v>70.556884765999996</v>
      </c>
      <c r="E72">
        <v>50</v>
      </c>
      <c r="F72">
        <v>14.99400425</v>
      </c>
      <c r="G72">
        <v>1412.4287108999999</v>
      </c>
      <c r="H72">
        <v>1396.8796387</v>
      </c>
      <c r="I72">
        <v>1250.3769531</v>
      </c>
      <c r="J72">
        <v>1210.9376221</v>
      </c>
      <c r="K72">
        <v>2400</v>
      </c>
      <c r="L72">
        <v>0</v>
      </c>
      <c r="M72">
        <v>0</v>
      </c>
      <c r="N72">
        <v>2400</v>
      </c>
    </row>
    <row r="73" spans="1:14" x14ac:dyDescent="0.25">
      <c r="A73">
        <v>1.636269</v>
      </c>
      <c r="B73" s="1">
        <f>DATE(2010,5,2) + TIME(15,16,13)</f>
        <v>40300.636261574073</v>
      </c>
      <c r="C73">
        <v>80</v>
      </c>
      <c r="D73">
        <v>71.210472107000001</v>
      </c>
      <c r="E73">
        <v>50</v>
      </c>
      <c r="F73">
        <v>14.994041443</v>
      </c>
      <c r="G73">
        <v>1412.177124</v>
      </c>
      <c r="H73">
        <v>1396.7271728999999</v>
      </c>
      <c r="I73">
        <v>1250.3780518000001</v>
      </c>
      <c r="J73">
        <v>1210.9385986</v>
      </c>
      <c r="K73">
        <v>2400</v>
      </c>
      <c r="L73">
        <v>0</v>
      </c>
      <c r="M73">
        <v>0</v>
      </c>
      <c r="N73">
        <v>2400</v>
      </c>
    </row>
    <row r="74" spans="1:14" x14ac:dyDescent="0.25">
      <c r="A74">
        <v>1.6932400000000001</v>
      </c>
      <c r="B74" s="1">
        <f>DATE(2010,5,2) + TIME(16,38,15)</f>
        <v>40300.693229166667</v>
      </c>
      <c r="C74">
        <v>80</v>
      </c>
      <c r="D74">
        <v>71.823074340999995</v>
      </c>
      <c r="E74">
        <v>50</v>
      </c>
      <c r="F74">
        <v>14.994077682</v>
      </c>
      <c r="G74">
        <v>1411.9361572</v>
      </c>
      <c r="H74">
        <v>1396.5773925999999</v>
      </c>
      <c r="I74">
        <v>1250.3791504000001</v>
      </c>
      <c r="J74">
        <v>1210.9395752</v>
      </c>
      <c r="K74">
        <v>2400</v>
      </c>
      <c r="L74">
        <v>0</v>
      </c>
      <c r="M74">
        <v>0</v>
      </c>
      <c r="N74">
        <v>2400</v>
      </c>
    </row>
    <row r="75" spans="1:14" x14ac:dyDescent="0.25">
      <c r="A75">
        <v>1.750656</v>
      </c>
      <c r="B75" s="1">
        <f>DATE(2010,5,2) + TIME(18,0,56)</f>
        <v>40300.750648148147</v>
      </c>
      <c r="C75">
        <v>80</v>
      </c>
      <c r="D75">
        <v>72.397590636999993</v>
      </c>
      <c r="E75">
        <v>50</v>
      </c>
      <c r="F75">
        <v>14.994112968</v>
      </c>
      <c r="G75">
        <v>1411.7047118999999</v>
      </c>
      <c r="H75">
        <v>1396.4299315999999</v>
      </c>
      <c r="I75">
        <v>1250.380249</v>
      </c>
      <c r="J75">
        <v>1210.9405518000001</v>
      </c>
      <c r="K75">
        <v>2400</v>
      </c>
      <c r="L75">
        <v>0</v>
      </c>
      <c r="M75">
        <v>0</v>
      </c>
      <c r="N75">
        <v>2400</v>
      </c>
    </row>
    <row r="76" spans="1:14" x14ac:dyDescent="0.25">
      <c r="A76">
        <v>1.8086</v>
      </c>
      <c r="B76" s="1">
        <f>DATE(2010,5,2) + TIME(19,24,23)</f>
        <v>40300.808599537035</v>
      </c>
      <c r="C76">
        <v>80</v>
      </c>
      <c r="D76">
        <v>72.936630249000004</v>
      </c>
      <c r="E76">
        <v>50</v>
      </c>
      <c r="F76">
        <v>14.994147301</v>
      </c>
      <c r="G76">
        <v>1411.4816894999999</v>
      </c>
      <c r="H76">
        <v>1396.2843018000001</v>
      </c>
      <c r="I76">
        <v>1250.3814697</v>
      </c>
      <c r="J76">
        <v>1210.9416504000001</v>
      </c>
      <c r="K76">
        <v>2400</v>
      </c>
      <c r="L76">
        <v>0</v>
      </c>
      <c r="M76">
        <v>0</v>
      </c>
      <c r="N76">
        <v>2400</v>
      </c>
    </row>
    <row r="77" spans="1:14" x14ac:dyDescent="0.25">
      <c r="A77">
        <v>1.8671530000000001</v>
      </c>
      <c r="B77" s="1">
        <f>DATE(2010,5,2) + TIME(20,48,42)</f>
        <v>40300.867152777777</v>
      </c>
      <c r="C77">
        <v>80</v>
      </c>
      <c r="D77">
        <v>73.442535399999997</v>
      </c>
      <c r="E77">
        <v>50</v>
      </c>
      <c r="F77">
        <v>14.994181633</v>
      </c>
      <c r="G77">
        <v>1411.2662353999999</v>
      </c>
      <c r="H77">
        <v>1396.1401367000001</v>
      </c>
      <c r="I77">
        <v>1250.3825684000001</v>
      </c>
      <c r="J77">
        <v>1210.9426269999999</v>
      </c>
      <c r="K77">
        <v>2400</v>
      </c>
      <c r="L77">
        <v>0</v>
      </c>
      <c r="M77">
        <v>0</v>
      </c>
      <c r="N77">
        <v>2400</v>
      </c>
    </row>
    <row r="78" spans="1:14" x14ac:dyDescent="0.25">
      <c r="A78">
        <v>1.92639</v>
      </c>
      <c r="B78" s="1">
        <f>DATE(2010,5,2) + TIME(22,14,0)</f>
        <v>40300.926388888889</v>
      </c>
      <c r="C78">
        <v>80</v>
      </c>
      <c r="D78">
        <v>73.917366028000004</v>
      </c>
      <c r="E78">
        <v>50</v>
      </c>
      <c r="F78">
        <v>14.994214058000001</v>
      </c>
      <c r="G78">
        <v>1411.0573730000001</v>
      </c>
      <c r="H78">
        <v>1395.9974365</v>
      </c>
      <c r="I78">
        <v>1250.3836670000001</v>
      </c>
      <c r="J78">
        <v>1210.9436035000001</v>
      </c>
      <c r="K78">
        <v>2400</v>
      </c>
      <c r="L78">
        <v>0</v>
      </c>
      <c r="M78">
        <v>0</v>
      </c>
      <c r="N78">
        <v>2400</v>
      </c>
    </row>
    <row r="79" spans="1:14" x14ac:dyDescent="0.25">
      <c r="A79">
        <v>1.9863980000000001</v>
      </c>
      <c r="B79" s="1">
        <f>DATE(2010,5,2) + TIME(23,40,24)</f>
        <v>40300.986388888887</v>
      </c>
      <c r="C79">
        <v>80</v>
      </c>
      <c r="D79">
        <v>74.363090514999996</v>
      </c>
      <c r="E79">
        <v>50</v>
      </c>
      <c r="F79">
        <v>14.994246483</v>
      </c>
      <c r="G79">
        <v>1410.8546143000001</v>
      </c>
      <c r="H79">
        <v>1395.8555908000001</v>
      </c>
      <c r="I79">
        <v>1250.3847656</v>
      </c>
      <c r="J79">
        <v>1210.9447021000001</v>
      </c>
      <c r="K79">
        <v>2400</v>
      </c>
      <c r="L79">
        <v>0</v>
      </c>
      <c r="M79">
        <v>0</v>
      </c>
      <c r="N79">
        <v>2400</v>
      </c>
    </row>
    <row r="80" spans="1:14" x14ac:dyDescent="0.25">
      <c r="A80">
        <v>2</v>
      </c>
      <c r="B80" s="1">
        <f>DATE(2010,5,3) + TIME(0,0,0)</f>
        <v>40301</v>
      </c>
      <c r="C80">
        <v>80</v>
      </c>
      <c r="D80">
        <v>74.462448120000005</v>
      </c>
      <c r="E80">
        <v>50</v>
      </c>
      <c r="F80">
        <v>14.994254112</v>
      </c>
      <c r="G80">
        <v>1410.7484131000001</v>
      </c>
      <c r="H80">
        <v>1395.7456055</v>
      </c>
      <c r="I80">
        <v>1250.385376</v>
      </c>
      <c r="J80">
        <v>1210.9451904</v>
      </c>
      <c r="K80">
        <v>2400</v>
      </c>
      <c r="L80">
        <v>0</v>
      </c>
      <c r="M80">
        <v>0</v>
      </c>
      <c r="N80">
        <v>2400</v>
      </c>
    </row>
    <row r="81" spans="1:14" x14ac:dyDescent="0.25">
      <c r="A81">
        <v>2.0608689999999998</v>
      </c>
      <c r="B81" s="1">
        <f>DATE(2010,5,3) + TIME(1,27,39)</f>
        <v>40301.060868055552</v>
      </c>
      <c r="C81">
        <v>80</v>
      </c>
      <c r="D81">
        <v>74.873458862000007</v>
      </c>
      <c r="E81">
        <v>50</v>
      </c>
      <c r="F81">
        <v>14.994285583</v>
      </c>
      <c r="G81">
        <v>1410.6129149999999</v>
      </c>
      <c r="H81">
        <v>1395.6828613</v>
      </c>
      <c r="I81">
        <v>1250.3863524999999</v>
      </c>
      <c r="J81">
        <v>1210.9460449000001</v>
      </c>
      <c r="K81">
        <v>2400</v>
      </c>
      <c r="L81">
        <v>0</v>
      </c>
      <c r="M81">
        <v>0</v>
      </c>
      <c r="N81">
        <v>2400</v>
      </c>
    </row>
    <row r="82" spans="1:14" x14ac:dyDescent="0.25">
      <c r="A82">
        <v>2.1229019999999998</v>
      </c>
      <c r="B82" s="1">
        <f>DATE(2010,5,3) + TIME(2,56,58)</f>
        <v>40301.122893518521</v>
      </c>
      <c r="C82">
        <v>80</v>
      </c>
      <c r="D82">
        <v>75.260223389000004</v>
      </c>
      <c r="E82">
        <v>50</v>
      </c>
      <c r="F82">
        <v>14.994316101000001</v>
      </c>
      <c r="G82">
        <v>1410.4222411999999</v>
      </c>
      <c r="H82">
        <v>1395.5433350000001</v>
      </c>
      <c r="I82">
        <v>1250.3873291</v>
      </c>
      <c r="J82">
        <v>1210.9470214999999</v>
      </c>
      <c r="K82">
        <v>2400</v>
      </c>
      <c r="L82">
        <v>0</v>
      </c>
      <c r="M82">
        <v>0</v>
      </c>
      <c r="N82">
        <v>2400</v>
      </c>
    </row>
    <row r="83" spans="1:14" x14ac:dyDescent="0.25">
      <c r="A83">
        <v>2.185994</v>
      </c>
      <c r="B83" s="1">
        <f>DATE(2010,5,3) + TIME(4,27,49)</f>
        <v>40301.185983796298</v>
      </c>
      <c r="C83">
        <v>80</v>
      </c>
      <c r="D83">
        <v>75.623001099000007</v>
      </c>
      <c r="E83">
        <v>50</v>
      </c>
      <c r="F83">
        <v>14.994346619</v>
      </c>
      <c r="G83">
        <v>1410.2347411999999</v>
      </c>
      <c r="H83">
        <v>1395.4033202999999</v>
      </c>
      <c r="I83">
        <v>1250.3885498</v>
      </c>
      <c r="J83">
        <v>1210.9481201000001</v>
      </c>
      <c r="K83">
        <v>2400</v>
      </c>
      <c r="L83">
        <v>0</v>
      </c>
      <c r="M83">
        <v>0</v>
      </c>
      <c r="N83">
        <v>2400</v>
      </c>
    </row>
    <row r="84" spans="1:14" x14ac:dyDescent="0.25">
      <c r="A84">
        <v>2.2502469999999999</v>
      </c>
      <c r="B84" s="1">
        <f>DATE(2010,5,3) + TIME(6,0,21)</f>
        <v>40301.250243055554</v>
      </c>
      <c r="C84">
        <v>80</v>
      </c>
      <c r="D84">
        <v>75.963241577000005</v>
      </c>
      <c r="E84">
        <v>50</v>
      </c>
      <c r="F84">
        <v>14.994377136000001</v>
      </c>
      <c r="G84">
        <v>1410.0507812000001</v>
      </c>
      <c r="H84">
        <v>1395.2633057</v>
      </c>
      <c r="I84">
        <v>1250.3896483999999</v>
      </c>
      <c r="J84">
        <v>1210.9492187999999</v>
      </c>
      <c r="K84">
        <v>2400</v>
      </c>
      <c r="L84">
        <v>0</v>
      </c>
      <c r="M84">
        <v>0</v>
      </c>
      <c r="N84">
        <v>2400</v>
      </c>
    </row>
    <row r="85" spans="1:14" x14ac:dyDescent="0.25">
      <c r="A85">
        <v>2.315763</v>
      </c>
      <c r="B85" s="1">
        <f>DATE(2010,5,3) + TIME(7,34,41)</f>
        <v>40301.315752314818</v>
      </c>
      <c r="C85">
        <v>80</v>
      </c>
      <c r="D85">
        <v>76.282180785999998</v>
      </c>
      <c r="E85">
        <v>50</v>
      </c>
      <c r="F85">
        <v>14.994406700000001</v>
      </c>
      <c r="G85">
        <v>1409.8701172000001</v>
      </c>
      <c r="H85">
        <v>1395.1232910000001</v>
      </c>
      <c r="I85">
        <v>1250.3908690999999</v>
      </c>
      <c r="J85">
        <v>1210.9503173999999</v>
      </c>
      <c r="K85">
        <v>2400</v>
      </c>
      <c r="L85">
        <v>0</v>
      </c>
      <c r="M85">
        <v>0</v>
      </c>
      <c r="N85">
        <v>2400</v>
      </c>
    </row>
    <row r="86" spans="1:14" x14ac:dyDescent="0.25">
      <c r="A86">
        <v>2.3826529999999999</v>
      </c>
      <c r="B86" s="1">
        <f>DATE(2010,5,3) + TIME(9,11,1)</f>
        <v>40301.382650462961</v>
      </c>
      <c r="C86">
        <v>80</v>
      </c>
      <c r="D86">
        <v>76.580978393999999</v>
      </c>
      <c r="E86">
        <v>50</v>
      </c>
      <c r="F86">
        <v>14.994436264000001</v>
      </c>
      <c r="G86">
        <v>1409.6920166</v>
      </c>
      <c r="H86">
        <v>1394.9829102000001</v>
      </c>
      <c r="I86">
        <v>1250.3920897999999</v>
      </c>
      <c r="J86">
        <v>1210.9514160000001</v>
      </c>
      <c r="K86">
        <v>2400</v>
      </c>
      <c r="L86">
        <v>0</v>
      </c>
      <c r="M86">
        <v>0</v>
      </c>
      <c r="N86">
        <v>2400</v>
      </c>
    </row>
    <row r="87" spans="1:14" x14ac:dyDescent="0.25">
      <c r="A87">
        <v>2.4510339999999999</v>
      </c>
      <c r="B87" s="1">
        <f>DATE(2010,5,3) + TIME(10,49,29)</f>
        <v>40301.45103009259</v>
      </c>
      <c r="C87">
        <v>80</v>
      </c>
      <c r="D87">
        <v>76.860710143999995</v>
      </c>
      <c r="E87">
        <v>50</v>
      </c>
      <c r="F87">
        <v>14.994464874</v>
      </c>
      <c r="G87">
        <v>1409.5164795000001</v>
      </c>
      <c r="H87">
        <v>1394.8420410000001</v>
      </c>
      <c r="I87">
        <v>1250.3933105000001</v>
      </c>
      <c r="J87">
        <v>1210.9525146000001</v>
      </c>
      <c r="K87">
        <v>2400</v>
      </c>
      <c r="L87">
        <v>0</v>
      </c>
      <c r="M87">
        <v>0</v>
      </c>
      <c r="N87">
        <v>2400</v>
      </c>
    </row>
    <row r="88" spans="1:14" x14ac:dyDescent="0.25">
      <c r="A88">
        <v>2.5210309999999998</v>
      </c>
      <c r="B88" s="1">
        <f>DATE(2010,5,3) + TIME(12,30,17)</f>
        <v>40301.52103009259</v>
      </c>
      <c r="C88">
        <v>80</v>
      </c>
      <c r="D88">
        <v>77.122367858999993</v>
      </c>
      <c r="E88">
        <v>50</v>
      </c>
      <c r="F88">
        <v>14.994493483999999</v>
      </c>
      <c r="G88">
        <v>1409.3427733999999</v>
      </c>
      <c r="H88">
        <v>1394.7005615</v>
      </c>
      <c r="I88">
        <v>1250.3945312000001</v>
      </c>
      <c r="J88">
        <v>1210.9536132999999</v>
      </c>
      <c r="K88">
        <v>2400</v>
      </c>
      <c r="L88">
        <v>0</v>
      </c>
      <c r="M88">
        <v>0</v>
      </c>
      <c r="N88">
        <v>2400</v>
      </c>
    </row>
    <row r="89" spans="1:14" x14ac:dyDescent="0.25">
      <c r="A89">
        <v>2.5928</v>
      </c>
      <c r="B89" s="1">
        <f>DATE(2010,5,3) + TIME(14,13,37)</f>
        <v>40301.592789351853</v>
      </c>
      <c r="C89">
        <v>80</v>
      </c>
      <c r="D89">
        <v>77.366958617999998</v>
      </c>
      <c r="E89">
        <v>50</v>
      </c>
      <c r="F89">
        <v>14.994522095000001</v>
      </c>
      <c r="G89">
        <v>1409.1707764</v>
      </c>
      <c r="H89">
        <v>1394.5583495999999</v>
      </c>
      <c r="I89">
        <v>1250.3957519999999</v>
      </c>
      <c r="J89">
        <v>1210.9548339999999</v>
      </c>
      <c r="K89">
        <v>2400</v>
      </c>
      <c r="L89">
        <v>0</v>
      </c>
      <c r="M89">
        <v>0</v>
      </c>
      <c r="N89">
        <v>2400</v>
      </c>
    </row>
    <row r="90" spans="1:14" x14ac:dyDescent="0.25">
      <c r="A90">
        <v>2.66648</v>
      </c>
      <c r="B90" s="1">
        <f>DATE(2010,5,3) + TIME(15,59,43)</f>
        <v>40301.66646990741</v>
      </c>
      <c r="C90">
        <v>80</v>
      </c>
      <c r="D90">
        <v>77.595314025999997</v>
      </c>
      <c r="E90">
        <v>50</v>
      </c>
      <c r="F90">
        <v>14.994550705</v>
      </c>
      <c r="G90">
        <v>1409.0001221</v>
      </c>
      <c r="H90">
        <v>1394.4150391000001</v>
      </c>
      <c r="I90">
        <v>1250.3969727000001</v>
      </c>
      <c r="J90">
        <v>1210.9559326000001</v>
      </c>
      <c r="K90">
        <v>2400</v>
      </c>
      <c r="L90">
        <v>0</v>
      </c>
      <c r="M90">
        <v>0</v>
      </c>
      <c r="N90">
        <v>2400</v>
      </c>
    </row>
    <row r="91" spans="1:14" x14ac:dyDescent="0.25">
      <c r="A91">
        <v>2.7422209999999998</v>
      </c>
      <c r="B91" s="1">
        <f>DATE(2010,5,3) + TIME(17,48,47)</f>
        <v>40301.742210648146</v>
      </c>
      <c r="C91">
        <v>80</v>
      </c>
      <c r="D91">
        <v>77.808227539000001</v>
      </c>
      <c r="E91">
        <v>50</v>
      </c>
      <c r="F91">
        <v>14.994579314999999</v>
      </c>
      <c r="G91">
        <v>1408.8303223</v>
      </c>
      <c r="H91">
        <v>1394.2706298999999</v>
      </c>
      <c r="I91">
        <v>1250.3981934000001</v>
      </c>
      <c r="J91">
        <v>1210.9571533000001</v>
      </c>
      <c r="K91">
        <v>2400</v>
      </c>
      <c r="L91">
        <v>0</v>
      </c>
      <c r="M91">
        <v>0</v>
      </c>
      <c r="N91">
        <v>2400</v>
      </c>
    </row>
    <row r="92" spans="1:14" x14ac:dyDescent="0.25">
      <c r="A92">
        <v>2.820198</v>
      </c>
      <c r="B92" s="1">
        <f>DATE(2010,5,3) + TIME(19,41,5)</f>
        <v>40301.820196759261</v>
      </c>
      <c r="C92">
        <v>80</v>
      </c>
      <c r="D92">
        <v>78.006484985</v>
      </c>
      <c r="E92">
        <v>50</v>
      </c>
      <c r="F92">
        <v>14.994606972</v>
      </c>
      <c r="G92">
        <v>1408.6612548999999</v>
      </c>
      <c r="H92">
        <v>1394.1248779</v>
      </c>
      <c r="I92">
        <v>1250.3995361</v>
      </c>
      <c r="J92">
        <v>1210.958374</v>
      </c>
      <c r="K92">
        <v>2400</v>
      </c>
      <c r="L92">
        <v>0</v>
      </c>
      <c r="M92">
        <v>0</v>
      </c>
      <c r="N92">
        <v>2400</v>
      </c>
    </row>
    <row r="93" spans="1:14" x14ac:dyDescent="0.25">
      <c r="A93">
        <v>2.9006050000000001</v>
      </c>
      <c r="B93" s="1">
        <f>DATE(2010,5,3) + TIME(21,36,52)</f>
        <v>40301.900601851848</v>
      </c>
      <c r="C93">
        <v>80</v>
      </c>
      <c r="D93">
        <v>78.190803528000004</v>
      </c>
      <c r="E93">
        <v>50</v>
      </c>
      <c r="F93">
        <v>14.994635582000001</v>
      </c>
      <c r="G93">
        <v>1408.4925536999999</v>
      </c>
      <c r="H93">
        <v>1393.9775391000001</v>
      </c>
      <c r="I93">
        <v>1250.4007568</v>
      </c>
      <c r="J93">
        <v>1210.9595947</v>
      </c>
      <c r="K93">
        <v>2400</v>
      </c>
      <c r="L93">
        <v>0</v>
      </c>
      <c r="M93">
        <v>0</v>
      </c>
      <c r="N93">
        <v>2400</v>
      </c>
    </row>
    <row r="94" spans="1:14" x14ac:dyDescent="0.25">
      <c r="A94">
        <v>2.983654</v>
      </c>
      <c r="B94" s="1">
        <f>DATE(2010,5,3) + TIME(23,36,27)</f>
        <v>40301.98364583333</v>
      </c>
      <c r="C94">
        <v>80</v>
      </c>
      <c r="D94">
        <v>78.361892699999999</v>
      </c>
      <c r="E94">
        <v>50</v>
      </c>
      <c r="F94">
        <v>14.994663238999999</v>
      </c>
      <c r="G94">
        <v>1408.3239745999999</v>
      </c>
      <c r="H94">
        <v>1393.8284911999999</v>
      </c>
      <c r="I94">
        <v>1250.4020995999999</v>
      </c>
      <c r="J94">
        <v>1210.9609375</v>
      </c>
      <c r="K94">
        <v>2400</v>
      </c>
      <c r="L94">
        <v>0</v>
      </c>
      <c r="M94">
        <v>0</v>
      </c>
      <c r="N94">
        <v>2400</v>
      </c>
    </row>
    <row r="95" spans="1:14" x14ac:dyDescent="0.25">
      <c r="A95">
        <v>3</v>
      </c>
      <c r="B95" s="1">
        <f>DATE(2010,5,4) + TIME(0,0,0)</f>
        <v>40302</v>
      </c>
      <c r="C95">
        <v>80</v>
      </c>
      <c r="D95">
        <v>78.394851685000006</v>
      </c>
      <c r="E95">
        <v>50</v>
      </c>
      <c r="F95">
        <v>14.994668961</v>
      </c>
      <c r="G95">
        <v>1408.1934814000001</v>
      </c>
      <c r="H95">
        <v>1393.6925048999999</v>
      </c>
      <c r="I95">
        <v>1250.402832</v>
      </c>
      <c r="J95">
        <v>1210.9615478999999</v>
      </c>
      <c r="K95">
        <v>2400</v>
      </c>
      <c r="L95">
        <v>0</v>
      </c>
      <c r="M95">
        <v>0</v>
      </c>
      <c r="N95">
        <v>2400</v>
      </c>
    </row>
    <row r="96" spans="1:14" x14ac:dyDescent="0.25">
      <c r="A96">
        <v>3.085928</v>
      </c>
      <c r="B96" s="1">
        <f>DATE(2010,5,4) + TIME(2,3,44)</f>
        <v>40302.085925925923</v>
      </c>
      <c r="C96">
        <v>80</v>
      </c>
      <c r="D96">
        <v>78.549934386999993</v>
      </c>
      <c r="E96">
        <v>50</v>
      </c>
      <c r="F96">
        <v>14.994697571</v>
      </c>
      <c r="G96">
        <v>1408.1217041</v>
      </c>
      <c r="H96">
        <v>1393.6474608999999</v>
      </c>
      <c r="I96">
        <v>1250.4038086</v>
      </c>
      <c r="J96">
        <v>1210.9625243999999</v>
      </c>
      <c r="K96">
        <v>2400</v>
      </c>
      <c r="L96">
        <v>0</v>
      </c>
      <c r="M96">
        <v>0</v>
      </c>
      <c r="N96">
        <v>2400</v>
      </c>
    </row>
    <row r="97" spans="1:14" x14ac:dyDescent="0.25">
      <c r="A97">
        <v>3.1753</v>
      </c>
      <c r="B97" s="1">
        <f>DATE(2010,5,4) + TIME(4,12,25)</f>
        <v>40302.17528935185</v>
      </c>
      <c r="C97">
        <v>80</v>
      </c>
      <c r="D97">
        <v>78.693748474000003</v>
      </c>
      <c r="E97">
        <v>50</v>
      </c>
      <c r="F97">
        <v>14.994725227</v>
      </c>
      <c r="G97">
        <v>1407.9538574000001</v>
      </c>
      <c r="H97">
        <v>1393.4956055</v>
      </c>
      <c r="I97">
        <v>1250.4051514</v>
      </c>
      <c r="J97">
        <v>1210.9637451000001</v>
      </c>
      <c r="K97">
        <v>2400</v>
      </c>
      <c r="L97">
        <v>0</v>
      </c>
      <c r="M97">
        <v>0</v>
      </c>
      <c r="N97">
        <v>2400</v>
      </c>
    </row>
    <row r="98" spans="1:14" x14ac:dyDescent="0.25">
      <c r="A98">
        <v>3.2674609999999999</v>
      </c>
      <c r="B98" s="1">
        <f>DATE(2010,5,4) + TIME(6,25,8)</f>
        <v>40302.267453703702</v>
      </c>
      <c r="C98">
        <v>80</v>
      </c>
      <c r="D98">
        <v>78.825538635000001</v>
      </c>
      <c r="E98">
        <v>50</v>
      </c>
      <c r="F98">
        <v>14.994753837999999</v>
      </c>
      <c r="G98">
        <v>1407.7840576000001</v>
      </c>
      <c r="H98">
        <v>1393.340332</v>
      </c>
      <c r="I98">
        <v>1250.4066161999999</v>
      </c>
      <c r="J98">
        <v>1210.9652100000001</v>
      </c>
      <c r="K98">
        <v>2400</v>
      </c>
      <c r="L98">
        <v>0</v>
      </c>
      <c r="M98">
        <v>0</v>
      </c>
      <c r="N98">
        <v>2400</v>
      </c>
    </row>
    <row r="99" spans="1:14" x14ac:dyDescent="0.25">
      <c r="A99">
        <v>3.3626900000000002</v>
      </c>
      <c r="B99" s="1">
        <f>DATE(2010,5,4) + TIME(8,42,16)</f>
        <v>40302.362685185188</v>
      </c>
      <c r="C99">
        <v>80</v>
      </c>
      <c r="D99">
        <v>78.946113585999996</v>
      </c>
      <c r="E99">
        <v>50</v>
      </c>
      <c r="F99">
        <v>14.994781494</v>
      </c>
      <c r="G99">
        <v>1407.6141356999999</v>
      </c>
      <c r="H99">
        <v>1393.1833495999999</v>
      </c>
      <c r="I99">
        <v>1250.4080810999999</v>
      </c>
      <c r="J99">
        <v>1210.9665527</v>
      </c>
      <c r="K99">
        <v>2400</v>
      </c>
      <c r="L99">
        <v>0</v>
      </c>
      <c r="M99">
        <v>0</v>
      </c>
      <c r="N99">
        <v>2400</v>
      </c>
    </row>
    <row r="100" spans="1:14" x14ac:dyDescent="0.25">
      <c r="A100">
        <v>3.461093</v>
      </c>
      <c r="B100" s="1">
        <f>DATE(2010,5,4) + TIME(11,3,58)</f>
        <v>40302.461087962962</v>
      </c>
      <c r="C100">
        <v>80</v>
      </c>
      <c r="D100">
        <v>79.056007385000001</v>
      </c>
      <c r="E100">
        <v>50</v>
      </c>
      <c r="F100">
        <v>14.994810104000001</v>
      </c>
      <c r="G100">
        <v>1407.4437256000001</v>
      </c>
      <c r="H100">
        <v>1393.0246582</v>
      </c>
      <c r="I100">
        <v>1250.4095459</v>
      </c>
      <c r="J100">
        <v>1210.9680175999999</v>
      </c>
      <c r="K100">
        <v>2400</v>
      </c>
      <c r="L100">
        <v>0</v>
      </c>
      <c r="M100">
        <v>0</v>
      </c>
      <c r="N100">
        <v>2400</v>
      </c>
    </row>
    <row r="101" spans="1:14" x14ac:dyDescent="0.25">
      <c r="A101">
        <v>3.5629469999999999</v>
      </c>
      <c r="B101" s="1">
        <f>DATE(2010,5,4) + TIME(13,30,38)</f>
        <v>40302.562939814816</v>
      </c>
      <c r="C101">
        <v>80</v>
      </c>
      <c r="D101">
        <v>79.155937195000007</v>
      </c>
      <c r="E101">
        <v>50</v>
      </c>
      <c r="F101">
        <v>14.994838715</v>
      </c>
      <c r="G101">
        <v>1407.2727050999999</v>
      </c>
      <c r="H101">
        <v>1392.8641356999999</v>
      </c>
      <c r="I101">
        <v>1250.4111327999999</v>
      </c>
      <c r="J101">
        <v>1210.9694824000001</v>
      </c>
      <c r="K101">
        <v>2400</v>
      </c>
      <c r="L101">
        <v>0</v>
      </c>
      <c r="M101">
        <v>0</v>
      </c>
      <c r="N101">
        <v>2400</v>
      </c>
    </row>
    <row r="102" spans="1:14" x14ac:dyDescent="0.25">
      <c r="A102">
        <v>3.6685620000000001</v>
      </c>
      <c r="B102" s="1">
        <f>DATE(2010,5,4) + TIME(16,2,43)</f>
        <v>40302.668553240743</v>
      </c>
      <c r="C102">
        <v>80</v>
      </c>
      <c r="D102">
        <v>79.246566771999994</v>
      </c>
      <c r="E102">
        <v>50</v>
      </c>
      <c r="F102">
        <v>14.994867325</v>
      </c>
      <c r="G102">
        <v>1407.1008300999999</v>
      </c>
      <c r="H102">
        <v>1392.7016602000001</v>
      </c>
      <c r="I102">
        <v>1250.4127197</v>
      </c>
      <c r="J102">
        <v>1210.9710693</v>
      </c>
      <c r="K102">
        <v>2400</v>
      </c>
      <c r="L102">
        <v>0</v>
      </c>
      <c r="M102">
        <v>0</v>
      </c>
      <c r="N102">
        <v>2400</v>
      </c>
    </row>
    <row r="103" spans="1:14" x14ac:dyDescent="0.25">
      <c r="A103">
        <v>3.7782900000000001</v>
      </c>
      <c r="B103" s="1">
        <f>DATE(2010,5,4) + TIME(18,40,44)</f>
        <v>40302.778287037036</v>
      </c>
      <c r="C103">
        <v>80</v>
      </c>
      <c r="D103">
        <v>79.328529357999997</v>
      </c>
      <c r="E103">
        <v>50</v>
      </c>
      <c r="F103">
        <v>14.994895935000001</v>
      </c>
      <c r="G103">
        <v>1406.9278564000001</v>
      </c>
      <c r="H103">
        <v>1392.5368652</v>
      </c>
      <c r="I103">
        <v>1250.4143065999999</v>
      </c>
      <c r="J103">
        <v>1210.9726562000001</v>
      </c>
      <c r="K103">
        <v>2400</v>
      </c>
      <c r="L103">
        <v>0</v>
      </c>
      <c r="M103">
        <v>0</v>
      </c>
      <c r="N103">
        <v>2400</v>
      </c>
    </row>
    <row r="104" spans="1:14" x14ac:dyDescent="0.25">
      <c r="A104">
        <v>3.8924189999999999</v>
      </c>
      <c r="B104" s="1">
        <f>DATE(2010,5,4) + TIME(21,25,4)</f>
        <v>40302.892407407409</v>
      </c>
      <c r="C104">
        <v>80</v>
      </c>
      <c r="D104">
        <v>79.402366638000004</v>
      </c>
      <c r="E104">
        <v>50</v>
      </c>
      <c r="F104">
        <v>14.994924545</v>
      </c>
      <c r="G104">
        <v>1406.7532959</v>
      </c>
      <c r="H104">
        <v>1392.369751</v>
      </c>
      <c r="I104">
        <v>1250.4160156</v>
      </c>
      <c r="J104">
        <v>1210.9742432</v>
      </c>
      <c r="K104">
        <v>2400</v>
      </c>
      <c r="L104">
        <v>0</v>
      </c>
      <c r="M104">
        <v>0</v>
      </c>
      <c r="N104">
        <v>2400</v>
      </c>
    </row>
    <row r="105" spans="1:14" x14ac:dyDescent="0.25">
      <c r="A105">
        <v>4</v>
      </c>
      <c r="B105" s="1">
        <f>DATE(2010,5,5) + TIME(0,0,0)</f>
        <v>40303</v>
      </c>
      <c r="C105">
        <v>80</v>
      </c>
      <c r="D105">
        <v>79.463142395000006</v>
      </c>
      <c r="E105">
        <v>50</v>
      </c>
      <c r="F105">
        <v>14.994952202</v>
      </c>
      <c r="G105">
        <v>1406.5786132999999</v>
      </c>
      <c r="H105">
        <v>1392.2004394999999</v>
      </c>
      <c r="I105">
        <v>1250.4176024999999</v>
      </c>
      <c r="J105">
        <v>1210.9758300999999</v>
      </c>
      <c r="K105">
        <v>2400</v>
      </c>
      <c r="L105">
        <v>0</v>
      </c>
      <c r="M105">
        <v>0</v>
      </c>
      <c r="N105">
        <v>2400</v>
      </c>
    </row>
    <row r="106" spans="1:14" x14ac:dyDescent="0.25">
      <c r="A106">
        <v>4.1177820000000001</v>
      </c>
      <c r="B106" s="1">
        <f>DATE(2010,5,5) + TIME(2,49,36)</f>
        <v>40303.117777777778</v>
      </c>
      <c r="C106">
        <v>80</v>
      </c>
      <c r="D106">
        <v>79.520553589000002</v>
      </c>
      <c r="E106">
        <v>50</v>
      </c>
      <c r="F106">
        <v>14.994979858000001</v>
      </c>
      <c r="G106">
        <v>1406.4161377</v>
      </c>
      <c r="H106">
        <v>1392.0437012</v>
      </c>
      <c r="I106">
        <v>1250.4191894999999</v>
      </c>
      <c r="J106">
        <v>1210.9774170000001</v>
      </c>
      <c r="K106">
        <v>2400</v>
      </c>
      <c r="L106">
        <v>0</v>
      </c>
      <c r="M106">
        <v>0</v>
      </c>
      <c r="N106">
        <v>2400</v>
      </c>
    </row>
    <row r="107" spans="1:14" x14ac:dyDescent="0.25">
      <c r="A107">
        <v>4.2361510000000004</v>
      </c>
      <c r="B107" s="1">
        <f>DATE(2010,5,5) + TIME(5,40,3)</f>
        <v>40303.236145833333</v>
      </c>
      <c r="C107">
        <v>80</v>
      </c>
      <c r="D107">
        <v>79.570327758999994</v>
      </c>
      <c r="E107">
        <v>50</v>
      </c>
      <c r="F107">
        <v>14.995007514999999</v>
      </c>
      <c r="G107">
        <v>1406.2446289</v>
      </c>
      <c r="H107">
        <v>1391.8767089999999</v>
      </c>
      <c r="I107">
        <v>1250.4208983999999</v>
      </c>
      <c r="J107">
        <v>1210.979126</v>
      </c>
      <c r="K107">
        <v>2400</v>
      </c>
      <c r="L107">
        <v>0</v>
      </c>
      <c r="M107">
        <v>0</v>
      </c>
      <c r="N107">
        <v>2400</v>
      </c>
    </row>
    <row r="108" spans="1:14" x14ac:dyDescent="0.25">
      <c r="A108">
        <v>4.3550550000000001</v>
      </c>
      <c r="B108" s="1">
        <f>DATE(2010,5,5) + TIME(8,31,16)</f>
        <v>40303.355046296296</v>
      </c>
      <c r="C108">
        <v>80</v>
      </c>
      <c r="D108">
        <v>79.613441467000001</v>
      </c>
      <c r="E108">
        <v>50</v>
      </c>
      <c r="F108">
        <v>14.995035172</v>
      </c>
      <c r="G108">
        <v>1406.0767822</v>
      </c>
      <c r="H108">
        <v>1391.7127685999999</v>
      </c>
      <c r="I108">
        <v>1250.4226074000001</v>
      </c>
      <c r="J108">
        <v>1210.9807129000001</v>
      </c>
      <c r="K108">
        <v>2400</v>
      </c>
      <c r="L108">
        <v>0</v>
      </c>
      <c r="M108">
        <v>0</v>
      </c>
      <c r="N108">
        <v>2400</v>
      </c>
    </row>
    <row r="109" spans="1:14" x14ac:dyDescent="0.25">
      <c r="A109">
        <v>4.4744070000000002</v>
      </c>
      <c r="B109" s="1">
        <f>DATE(2010,5,5) + TIME(11,23,8)</f>
        <v>40303.474398148152</v>
      </c>
      <c r="C109">
        <v>80</v>
      </c>
      <c r="D109">
        <v>79.650764464999995</v>
      </c>
      <c r="E109">
        <v>50</v>
      </c>
      <c r="F109">
        <v>14.995061873999999</v>
      </c>
      <c r="G109">
        <v>1405.9127197</v>
      </c>
      <c r="H109">
        <v>1391.5520019999999</v>
      </c>
      <c r="I109">
        <v>1250.4243164</v>
      </c>
      <c r="J109">
        <v>1210.9824219</v>
      </c>
      <c r="K109">
        <v>2400</v>
      </c>
      <c r="L109">
        <v>0</v>
      </c>
      <c r="M109">
        <v>0</v>
      </c>
      <c r="N109">
        <v>2400</v>
      </c>
    </row>
    <row r="110" spans="1:14" x14ac:dyDescent="0.25">
      <c r="A110">
        <v>4.5943880000000004</v>
      </c>
      <c r="B110" s="1">
        <f>DATE(2010,5,5) + TIME(14,15,55)</f>
        <v>40303.594386574077</v>
      </c>
      <c r="C110">
        <v>80</v>
      </c>
      <c r="D110">
        <v>79.683105468999997</v>
      </c>
      <c r="E110">
        <v>50</v>
      </c>
      <c r="F110">
        <v>14.995087624</v>
      </c>
      <c r="G110">
        <v>1405.7523193</v>
      </c>
      <c r="H110">
        <v>1391.3942870999999</v>
      </c>
      <c r="I110">
        <v>1250.4260254000001</v>
      </c>
      <c r="J110">
        <v>1210.9840088000001</v>
      </c>
      <c r="K110">
        <v>2400</v>
      </c>
      <c r="L110">
        <v>0</v>
      </c>
      <c r="M110">
        <v>0</v>
      </c>
      <c r="N110">
        <v>2400</v>
      </c>
    </row>
    <row r="111" spans="1:14" x14ac:dyDescent="0.25">
      <c r="A111">
        <v>4.7151639999999997</v>
      </c>
      <c r="B111" s="1">
        <f>DATE(2010,5,5) + TIME(17,9,50)</f>
        <v>40303.715162037035</v>
      </c>
      <c r="C111">
        <v>80</v>
      </c>
      <c r="D111">
        <v>79.711166382000002</v>
      </c>
      <c r="E111">
        <v>50</v>
      </c>
      <c r="F111">
        <v>14.995113373000001</v>
      </c>
      <c r="G111">
        <v>1405.5950928</v>
      </c>
      <c r="H111">
        <v>1391.2393798999999</v>
      </c>
      <c r="I111">
        <v>1250.4277344</v>
      </c>
      <c r="J111">
        <v>1210.9857178</v>
      </c>
      <c r="K111">
        <v>2400</v>
      </c>
      <c r="L111">
        <v>0</v>
      </c>
      <c r="M111">
        <v>0</v>
      </c>
      <c r="N111">
        <v>2400</v>
      </c>
    </row>
    <row r="112" spans="1:14" x14ac:dyDescent="0.25">
      <c r="A112">
        <v>4.8369010000000001</v>
      </c>
      <c r="B112" s="1">
        <f>DATE(2010,5,5) + TIME(20,5,8)</f>
        <v>40303.836898148147</v>
      </c>
      <c r="C112">
        <v>80</v>
      </c>
      <c r="D112">
        <v>79.735534668</v>
      </c>
      <c r="E112">
        <v>50</v>
      </c>
      <c r="F112">
        <v>14.995139121999999</v>
      </c>
      <c r="G112">
        <v>1405.4406738</v>
      </c>
      <c r="H112">
        <v>1391.0870361</v>
      </c>
      <c r="I112">
        <v>1250.4294434000001</v>
      </c>
      <c r="J112">
        <v>1210.9874268000001</v>
      </c>
      <c r="K112">
        <v>2400</v>
      </c>
      <c r="L112">
        <v>0</v>
      </c>
      <c r="M112">
        <v>0</v>
      </c>
      <c r="N112">
        <v>2400</v>
      </c>
    </row>
    <row r="113" spans="1:14" x14ac:dyDescent="0.25">
      <c r="A113">
        <v>4.9597860000000003</v>
      </c>
      <c r="B113" s="1">
        <f>DATE(2010,5,5) + TIME(23,2,5)</f>
        <v>40303.959780092591</v>
      </c>
      <c r="C113">
        <v>80</v>
      </c>
      <c r="D113">
        <v>79.756706238000007</v>
      </c>
      <c r="E113">
        <v>50</v>
      </c>
      <c r="F113">
        <v>14.995163917999999</v>
      </c>
      <c r="G113">
        <v>1405.2886963000001</v>
      </c>
      <c r="H113">
        <v>1390.9368896000001</v>
      </c>
      <c r="I113">
        <v>1250.4312743999999</v>
      </c>
      <c r="J113">
        <v>1210.9890137</v>
      </c>
      <c r="K113">
        <v>2400</v>
      </c>
      <c r="L113">
        <v>0</v>
      </c>
      <c r="M113">
        <v>0</v>
      </c>
      <c r="N113">
        <v>2400</v>
      </c>
    </row>
    <row r="114" spans="1:14" x14ac:dyDescent="0.25">
      <c r="A114">
        <v>5</v>
      </c>
      <c r="B114" s="1">
        <f>DATE(2010,5,6) + TIME(0,0,0)</f>
        <v>40304</v>
      </c>
      <c r="C114">
        <v>80</v>
      </c>
      <c r="D114">
        <v>79.763252257999994</v>
      </c>
      <c r="E114">
        <v>50</v>
      </c>
      <c r="F114">
        <v>14.995172501000001</v>
      </c>
      <c r="G114">
        <v>1405.1424560999999</v>
      </c>
      <c r="H114">
        <v>1390.7895507999999</v>
      </c>
      <c r="I114">
        <v>1250.4323730000001</v>
      </c>
      <c r="J114">
        <v>1210.9901123</v>
      </c>
      <c r="K114">
        <v>2400</v>
      </c>
      <c r="L114">
        <v>0</v>
      </c>
      <c r="M114">
        <v>0</v>
      </c>
      <c r="N114">
        <v>2400</v>
      </c>
    </row>
    <row r="115" spans="1:14" x14ac:dyDescent="0.25">
      <c r="A115">
        <v>5.1242070000000002</v>
      </c>
      <c r="B115" s="1">
        <f>DATE(2010,5,6) + TIME(2,58,51)</f>
        <v>40304.124201388891</v>
      </c>
      <c r="C115">
        <v>80</v>
      </c>
      <c r="D115">
        <v>79.780761718999997</v>
      </c>
      <c r="E115">
        <v>50</v>
      </c>
      <c r="F115">
        <v>14.995197296000001</v>
      </c>
      <c r="G115">
        <v>1405.090332</v>
      </c>
      <c r="H115">
        <v>1390.7404785000001</v>
      </c>
      <c r="I115">
        <v>1250.4335937999999</v>
      </c>
      <c r="J115">
        <v>1210.9913329999999</v>
      </c>
      <c r="K115">
        <v>2400</v>
      </c>
      <c r="L115">
        <v>0</v>
      </c>
      <c r="M115">
        <v>0</v>
      </c>
      <c r="N115">
        <v>2400</v>
      </c>
    </row>
    <row r="116" spans="1:14" x14ac:dyDescent="0.25">
      <c r="A116">
        <v>5.2504400000000002</v>
      </c>
      <c r="B116" s="1">
        <f>DATE(2010,5,6) + TIME(6,0,37)</f>
        <v>40304.250428240739</v>
      </c>
      <c r="C116">
        <v>80</v>
      </c>
      <c r="D116">
        <v>79.796035767000006</v>
      </c>
      <c r="E116">
        <v>50</v>
      </c>
      <c r="F116">
        <v>14.995222092000001</v>
      </c>
      <c r="G116">
        <v>1404.9442139</v>
      </c>
      <c r="H116">
        <v>1390.5955810999999</v>
      </c>
      <c r="I116">
        <v>1250.4353027</v>
      </c>
      <c r="J116">
        <v>1210.9930420000001</v>
      </c>
      <c r="K116">
        <v>2400</v>
      </c>
      <c r="L116">
        <v>0</v>
      </c>
      <c r="M116">
        <v>0</v>
      </c>
      <c r="N116">
        <v>2400</v>
      </c>
    </row>
    <row r="117" spans="1:14" x14ac:dyDescent="0.25">
      <c r="A117">
        <v>5.3784140000000003</v>
      </c>
      <c r="B117" s="1">
        <f>DATE(2010,5,6) + TIME(9,4,54)</f>
        <v>40304.37840277778</v>
      </c>
      <c r="C117">
        <v>80</v>
      </c>
      <c r="D117">
        <v>79.809333800999994</v>
      </c>
      <c r="E117">
        <v>50</v>
      </c>
      <c r="F117">
        <v>14.995245934</v>
      </c>
      <c r="G117">
        <v>1404.7985839999999</v>
      </c>
      <c r="H117">
        <v>1390.4510498</v>
      </c>
      <c r="I117">
        <v>1250.4370117000001</v>
      </c>
      <c r="J117">
        <v>1210.994751</v>
      </c>
      <c r="K117">
        <v>2400</v>
      </c>
      <c r="L117">
        <v>0</v>
      </c>
      <c r="M117">
        <v>0</v>
      </c>
      <c r="N117">
        <v>2400</v>
      </c>
    </row>
    <row r="118" spans="1:14" x14ac:dyDescent="0.25">
      <c r="A118">
        <v>5.5083169999999999</v>
      </c>
      <c r="B118" s="1">
        <f>DATE(2010,5,6) + TIME(12,11,58)</f>
        <v>40304.508310185185</v>
      </c>
      <c r="C118">
        <v>80</v>
      </c>
      <c r="D118">
        <v>79.820915221999996</v>
      </c>
      <c r="E118">
        <v>50</v>
      </c>
      <c r="F118">
        <v>14.995269775000001</v>
      </c>
      <c r="G118">
        <v>1404.6542969</v>
      </c>
      <c r="H118">
        <v>1390.3077393000001</v>
      </c>
      <c r="I118">
        <v>1250.4388428</v>
      </c>
      <c r="J118">
        <v>1210.9964600000001</v>
      </c>
      <c r="K118">
        <v>2400</v>
      </c>
      <c r="L118">
        <v>0</v>
      </c>
      <c r="M118">
        <v>0</v>
      </c>
      <c r="N118">
        <v>2400</v>
      </c>
    </row>
    <row r="119" spans="1:14" x14ac:dyDescent="0.25">
      <c r="A119">
        <v>5.6403470000000002</v>
      </c>
      <c r="B119" s="1">
        <f>DATE(2010,5,6) + TIME(15,22,6)</f>
        <v>40304.640347222223</v>
      </c>
      <c r="C119">
        <v>80</v>
      </c>
      <c r="D119">
        <v>79.831001282000003</v>
      </c>
      <c r="E119">
        <v>50</v>
      </c>
      <c r="F119">
        <v>14.995293617</v>
      </c>
      <c r="G119">
        <v>1404.5109863</v>
      </c>
      <c r="H119">
        <v>1390.1654053</v>
      </c>
      <c r="I119">
        <v>1250.4405518000001</v>
      </c>
      <c r="J119">
        <v>1210.9981689000001</v>
      </c>
      <c r="K119">
        <v>2400</v>
      </c>
      <c r="L119">
        <v>0</v>
      </c>
      <c r="M119">
        <v>0</v>
      </c>
      <c r="N119">
        <v>2400</v>
      </c>
    </row>
    <row r="120" spans="1:14" x14ac:dyDescent="0.25">
      <c r="A120">
        <v>5.7747149999999996</v>
      </c>
      <c r="B120" s="1">
        <f>DATE(2010,5,6) + TIME(18,35,35)</f>
        <v>40304.774710648147</v>
      </c>
      <c r="C120">
        <v>80</v>
      </c>
      <c r="D120">
        <v>79.839782714999998</v>
      </c>
      <c r="E120">
        <v>50</v>
      </c>
      <c r="F120">
        <v>14.995317459000001</v>
      </c>
      <c r="G120">
        <v>1404.3686522999999</v>
      </c>
      <c r="H120">
        <v>1390.0238036999999</v>
      </c>
      <c r="I120">
        <v>1250.4423827999999</v>
      </c>
      <c r="J120">
        <v>1211</v>
      </c>
      <c r="K120">
        <v>2400</v>
      </c>
      <c r="L120">
        <v>0</v>
      </c>
      <c r="M120">
        <v>0</v>
      </c>
      <c r="N120">
        <v>2400</v>
      </c>
    </row>
    <row r="121" spans="1:14" x14ac:dyDescent="0.25">
      <c r="A121">
        <v>5.911645</v>
      </c>
      <c r="B121" s="1">
        <f>DATE(2010,5,6) + TIME(21,52,46)</f>
        <v>40304.911643518521</v>
      </c>
      <c r="C121">
        <v>80</v>
      </c>
      <c r="D121">
        <v>79.847434997999997</v>
      </c>
      <c r="E121">
        <v>50</v>
      </c>
      <c r="F121">
        <v>14.995341301</v>
      </c>
      <c r="G121">
        <v>1404.2269286999999</v>
      </c>
      <c r="H121">
        <v>1389.8829346</v>
      </c>
      <c r="I121">
        <v>1250.4442139</v>
      </c>
      <c r="J121">
        <v>1211.0018310999999</v>
      </c>
      <c r="K121">
        <v>2400</v>
      </c>
      <c r="L121">
        <v>0</v>
      </c>
      <c r="M121">
        <v>0</v>
      </c>
      <c r="N121">
        <v>2400</v>
      </c>
    </row>
    <row r="122" spans="1:14" x14ac:dyDescent="0.25">
      <c r="A122">
        <v>6</v>
      </c>
      <c r="B122" s="1">
        <f>DATE(2010,5,7) + TIME(0,0,0)</f>
        <v>40305</v>
      </c>
      <c r="C122">
        <v>80</v>
      </c>
      <c r="D122">
        <v>79.851882935000006</v>
      </c>
      <c r="E122">
        <v>50</v>
      </c>
      <c r="F122">
        <v>14.995357513</v>
      </c>
      <c r="G122">
        <v>1404.0859375</v>
      </c>
      <c r="H122">
        <v>1389.7421875</v>
      </c>
      <c r="I122">
        <v>1250.4459228999999</v>
      </c>
      <c r="J122">
        <v>1211.003418</v>
      </c>
      <c r="K122">
        <v>2400</v>
      </c>
      <c r="L122">
        <v>0</v>
      </c>
      <c r="M122">
        <v>0</v>
      </c>
      <c r="N122">
        <v>2400</v>
      </c>
    </row>
    <row r="123" spans="1:14" x14ac:dyDescent="0.25">
      <c r="A123">
        <v>6.1397690000000003</v>
      </c>
      <c r="B123" s="1">
        <f>DATE(2010,5,7) + TIME(3,21,16)</f>
        <v>40305.139768518522</v>
      </c>
      <c r="C123">
        <v>80</v>
      </c>
      <c r="D123">
        <v>79.857917786000002</v>
      </c>
      <c r="E123">
        <v>50</v>
      </c>
      <c r="F123">
        <v>14.995380402</v>
      </c>
      <c r="G123">
        <v>1403.9957274999999</v>
      </c>
      <c r="H123">
        <v>1389.6529541</v>
      </c>
      <c r="I123">
        <v>1250.4473877</v>
      </c>
      <c r="J123">
        <v>1211.0048827999999</v>
      </c>
      <c r="K123">
        <v>2400</v>
      </c>
      <c r="L123">
        <v>0</v>
      </c>
      <c r="M123">
        <v>0</v>
      </c>
      <c r="N123">
        <v>2400</v>
      </c>
    </row>
    <row r="124" spans="1:14" x14ac:dyDescent="0.25">
      <c r="A124">
        <v>6.2844189999999998</v>
      </c>
      <c r="B124" s="1">
        <f>DATE(2010,5,7) + TIME(6,49,33)</f>
        <v>40305.284409722219</v>
      </c>
      <c r="C124">
        <v>80</v>
      </c>
      <c r="D124">
        <v>79.863235474000007</v>
      </c>
      <c r="E124">
        <v>50</v>
      </c>
      <c r="F124">
        <v>14.995404242999999</v>
      </c>
      <c r="G124">
        <v>1403.8570557</v>
      </c>
      <c r="H124">
        <v>1389.5150146000001</v>
      </c>
      <c r="I124">
        <v>1250.4492187999999</v>
      </c>
      <c r="J124">
        <v>1211.0067139</v>
      </c>
      <c r="K124">
        <v>2400</v>
      </c>
      <c r="L124">
        <v>0</v>
      </c>
      <c r="M124">
        <v>0</v>
      </c>
      <c r="N124">
        <v>2400</v>
      </c>
    </row>
    <row r="125" spans="1:14" x14ac:dyDescent="0.25">
      <c r="A125">
        <v>6.432188</v>
      </c>
      <c r="B125" s="1">
        <f>DATE(2010,5,7) + TIME(10,22,21)</f>
        <v>40305.432187500002</v>
      </c>
      <c r="C125">
        <v>80</v>
      </c>
      <c r="D125">
        <v>79.867866516000007</v>
      </c>
      <c r="E125">
        <v>50</v>
      </c>
      <c r="F125">
        <v>14.995428085</v>
      </c>
      <c r="G125">
        <v>1403.7161865</v>
      </c>
      <c r="H125">
        <v>1389.3748779</v>
      </c>
      <c r="I125">
        <v>1250.4512939000001</v>
      </c>
      <c r="J125">
        <v>1211.0086670000001</v>
      </c>
      <c r="K125">
        <v>2400</v>
      </c>
      <c r="L125">
        <v>0</v>
      </c>
      <c r="M125">
        <v>0</v>
      </c>
      <c r="N125">
        <v>2400</v>
      </c>
    </row>
    <row r="126" spans="1:14" x14ac:dyDescent="0.25">
      <c r="A126">
        <v>6.5834029999999997</v>
      </c>
      <c r="B126" s="1">
        <f>DATE(2010,5,7) + TIME(14,0,6)</f>
        <v>40305.583402777775</v>
      </c>
      <c r="C126">
        <v>80</v>
      </c>
      <c r="D126">
        <v>79.871894835999996</v>
      </c>
      <c r="E126">
        <v>50</v>
      </c>
      <c r="F126">
        <v>14.995450974000001</v>
      </c>
      <c r="G126">
        <v>1403.5754394999999</v>
      </c>
      <c r="H126">
        <v>1389.2348632999999</v>
      </c>
      <c r="I126">
        <v>1250.4532471</v>
      </c>
      <c r="J126">
        <v>1211.0106201000001</v>
      </c>
      <c r="K126">
        <v>2400</v>
      </c>
      <c r="L126">
        <v>0</v>
      </c>
      <c r="M126">
        <v>0</v>
      </c>
      <c r="N126">
        <v>2400</v>
      </c>
    </row>
    <row r="127" spans="1:14" x14ac:dyDescent="0.25">
      <c r="A127">
        <v>6.7383689999999996</v>
      </c>
      <c r="B127" s="1">
        <f>DATE(2010,5,7) + TIME(17,43,15)</f>
        <v>40305.738368055558</v>
      </c>
      <c r="C127">
        <v>80</v>
      </c>
      <c r="D127">
        <v>79.875411987000007</v>
      </c>
      <c r="E127">
        <v>50</v>
      </c>
      <c r="F127">
        <v>14.995474815</v>
      </c>
      <c r="G127">
        <v>1403.4344481999999</v>
      </c>
      <c r="H127">
        <v>1389.0946045000001</v>
      </c>
      <c r="I127">
        <v>1250.4553223</v>
      </c>
      <c r="J127">
        <v>1211.0125731999999</v>
      </c>
      <c r="K127">
        <v>2400</v>
      </c>
      <c r="L127">
        <v>0</v>
      </c>
      <c r="M127">
        <v>0</v>
      </c>
      <c r="N127">
        <v>2400</v>
      </c>
    </row>
    <row r="128" spans="1:14" x14ac:dyDescent="0.25">
      <c r="A128">
        <v>6.897424</v>
      </c>
      <c r="B128" s="1">
        <f>DATE(2010,5,7) + TIME(21,32,17)</f>
        <v>40305.897418981483</v>
      </c>
      <c r="C128">
        <v>80</v>
      </c>
      <c r="D128">
        <v>79.878486632999994</v>
      </c>
      <c r="E128">
        <v>50</v>
      </c>
      <c r="F128">
        <v>14.995498657000001</v>
      </c>
      <c r="G128">
        <v>1403.2930908000001</v>
      </c>
      <c r="H128">
        <v>1388.9541016000001</v>
      </c>
      <c r="I128">
        <v>1250.4573975000001</v>
      </c>
      <c r="J128">
        <v>1211.0146483999999</v>
      </c>
      <c r="K128">
        <v>2400</v>
      </c>
      <c r="L128">
        <v>0</v>
      </c>
      <c r="M128">
        <v>0</v>
      </c>
      <c r="N128">
        <v>2400</v>
      </c>
    </row>
    <row r="129" spans="1:14" x14ac:dyDescent="0.25">
      <c r="A129">
        <v>7</v>
      </c>
      <c r="B129" s="1">
        <f>DATE(2010,5,8) + TIME(0,0,0)</f>
        <v>40306</v>
      </c>
      <c r="C129">
        <v>80</v>
      </c>
      <c r="D129">
        <v>79.880264281999999</v>
      </c>
      <c r="E129">
        <v>50</v>
      </c>
      <c r="F129">
        <v>14.995514869999999</v>
      </c>
      <c r="G129">
        <v>1403.1508789</v>
      </c>
      <c r="H129">
        <v>1388.8125</v>
      </c>
      <c r="I129">
        <v>1250.4592285000001</v>
      </c>
      <c r="J129">
        <v>1211.0164795000001</v>
      </c>
      <c r="K129">
        <v>2400</v>
      </c>
      <c r="L129">
        <v>0</v>
      </c>
      <c r="M129">
        <v>0</v>
      </c>
      <c r="N129">
        <v>2400</v>
      </c>
    </row>
    <row r="130" spans="1:14" x14ac:dyDescent="0.25">
      <c r="A130">
        <v>7.1635140000000002</v>
      </c>
      <c r="B130" s="1">
        <f>DATE(2010,5,8) + TIME(3,55,27)</f>
        <v>40306.163506944446</v>
      </c>
      <c r="C130">
        <v>80</v>
      </c>
      <c r="D130">
        <v>79.882690429999997</v>
      </c>
      <c r="E130">
        <v>50</v>
      </c>
      <c r="F130">
        <v>14.995538712</v>
      </c>
      <c r="G130">
        <v>1403.0606689000001</v>
      </c>
      <c r="H130">
        <v>1388.7231445</v>
      </c>
      <c r="I130">
        <v>1250.4609375</v>
      </c>
      <c r="J130">
        <v>1211.0180664</v>
      </c>
      <c r="K130">
        <v>2400</v>
      </c>
      <c r="L130">
        <v>0</v>
      </c>
      <c r="M130">
        <v>0</v>
      </c>
      <c r="N130">
        <v>2400</v>
      </c>
    </row>
    <row r="131" spans="1:14" x14ac:dyDescent="0.25">
      <c r="A131">
        <v>7.3350210000000002</v>
      </c>
      <c r="B131" s="1">
        <f>DATE(2010,5,8) + TIME(8,2,25)</f>
        <v>40306.335011574076</v>
      </c>
      <c r="C131">
        <v>80</v>
      </c>
      <c r="D131">
        <v>79.884849548000005</v>
      </c>
      <c r="E131">
        <v>50</v>
      </c>
      <c r="F131">
        <v>14.995562552999999</v>
      </c>
      <c r="G131">
        <v>1402.9204102000001</v>
      </c>
      <c r="H131">
        <v>1388.5837402</v>
      </c>
      <c r="I131">
        <v>1250.4631348</v>
      </c>
      <c r="J131">
        <v>1211.0202637</v>
      </c>
      <c r="K131">
        <v>2400</v>
      </c>
      <c r="L131">
        <v>0</v>
      </c>
      <c r="M131">
        <v>0</v>
      </c>
      <c r="N131">
        <v>2400</v>
      </c>
    </row>
    <row r="132" spans="1:14" x14ac:dyDescent="0.25">
      <c r="A132">
        <v>7.5116170000000002</v>
      </c>
      <c r="B132" s="1">
        <f>DATE(2010,5,8) + TIME(12,16,43)</f>
        <v>40306.511608796296</v>
      </c>
      <c r="C132">
        <v>80</v>
      </c>
      <c r="D132">
        <v>79.886741638000004</v>
      </c>
      <c r="E132">
        <v>50</v>
      </c>
      <c r="F132">
        <v>14.995587348999999</v>
      </c>
      <c r="G132">
        <v>1402.7758789</v>
      </c>
      <c r="H132">
        <v>1388.4404297000001</v>
      </c>
      <c r="I132">
        <v>1250.4654541</v>
      </c>
      <c r="J132">
        <v>1211.0224608999999</v>
      </c>
      <c r="K132">
        <v>2400</v>
      </c>
      <c r="L132">
        <v>0</v>
      </c>
      <c r="M132">
        <v>0</v>
      </c>
      <c r="N132">
        <v>2400</v>
      </c>
    </row>
    <row r="133" spans="1:14" x14ac:dyDescent="0.25">
      <c r="A133">
        <v>7.6936</v>
      </c>
      <c r="B133" s="1">
        <f>DATE(2010,5,8) + TIME(16,38,47)</f>
        <v>40306.693599537037</v>
      </c>
      <c r="C133">
        <v>80</v>
      </c>
      <c r="D133">
        <v>79.888397217000005</v>
      </c>
      <c r="E133">
        <v>50</v>
      </c>
      <c r="F133">
        <v>14.995612144000001</v>
      </c>
      <c r="G133">
        <v>1402.6304932</v>
      </c>
      <c r="H133">
        <v>1388.2960204999999</v>
      </c>
      <c r="I133">
        <v>1250.4678954999999</v>
      </c>
      <c r="J133">
        <v>1211.0247803</v>
      </c>
      <c r="K133">
        <v>2400</v>
      </c>
      <c r="L133">
        <v>0</v>
      </c>
      <c r="M133">
        <v>0</v>
      </c>
      <c r="N133">
        <v>2400</v>
      </c>
    </row>
    <row r="134" spans="1:14" x14ac:dyDescent="0.25">
      <c r="A134">
        <v>7.7873869999999998</v>
      </c>
      <c r="B134" s="1">
        <f>DATE(2010,5,8) + TIME(18,53,50)</f>
        <v>40306.78738425926</v>
      </c>
      <c r="C134">
        <v>80</v>
      </c>
      <c r="D134">
        <v>79.889175414999997</v>
      </c>
      <c r="E134">
        <v>50</v>
      </c>
      <c r="F134">
        <v>14.995625496000001</v>
      </c>
      <c r="G134">
        <v>1402.4827881000001</v>
      </c>
      <c r="H134">
        <v>1388.1485596</v>
      </c>
      <c r="I134">
        <v>1250.4698486</v>
      </c>
      <c r="J134">
        <v>1211.0268555</v>
      </c>
      <c r="K134">
        <v>2400</v>
      </c>
      <c r="L134">
        <v>0</v>
      </c>
      <c r="M134">
        <v>0</v>
      </c>
      <c r="N134">
        <v>2400</v>
      </c>
    </row>
    <row r="135" spans="1:14" x14ac:dyDescent="0.25">
      <c r="A135">
        <v>7.8811749999999998</v>
      </c>
      <c r="B135" s="1">
        <f>DATE(2010,5,8) + TIME(21,8,53)</f>
        <v>40306.881168981483</v>
      </c>
      <c r="C135">
        <v>80</v>
      </c>
      <c r="D135">
        <v>79.889892578000001</v>
      </c>
      <c r="E135">
        <v>50</v>
      </c>
      <c r="F135">
        <v>14.995638847</v>
      </c>
      <c r="G135">
        <v>1402.4073486</v>
      </c>
      <c r="H135">
        <v>1388.0737305</v>
      </c>
      <c r="I135">
        <v>1250.4711914</v>
      </c>
      <c r="J135">
        <v>1211.0280762</v>
      </c>
      <c r="K135">
        <v>2400</v>
      </c>
      <c r="L135">
        <v>0</v>
      </c>
      <c r="M135">
        <v>0</v>
      </c>
      <c r="N135">
        <v>2400</v>
      </c>
    </row>
    <row r="136" spans="1:14" x14ac:dyDescent="0.25">
      <c r="A136">
        <v>8</v>
      </c>
      <c r="B136" s="1">
        <f>DATE(2010,5,9) + TIME(0,0,0)</f>
        <v>40307</v>
      </c>
      <c r="C136">
        <v>80</v>
      </c>
      <c r="D136">
        <v>79.890724182</v>
      </c>
      <c r="E136">
        <v>50</v>
      </c>
      <c r="F136">
        <v>14.995656013</v>
      </c>
      <c r="G136">
        <v>1402.3345947</v>
      </c>
      <c r="H136">
        <v>1388.0025635</v>
      </c>
      <c r="I136">
        <v>1250.4724120999999</v>
      </c>
      <c r="J136">
        <v>1211.0292969</v>
      </c>
      <c r="K136">
        <v>2400</v>
      </c>
      <c r="L136">
        <v>0</v>
      </c>
      <c r="M136">
        <v>0</v>
      </c>
      <c r="N136">
        <v>2400</v>
      </c>
    </row>
    <row r="137" spans="1:14" x14ac:dyDescent="0.25">
      <c r="A137">
        <v>8.1875750000000007</v>
      </c>
      <c r="B137" s="1">
        <f>DATE(2010,5,9) + TIME(4,30,6)</f>
        <v>40307.187569444446</v>
      </c>
      <c r="C137">
        <v>80</v>
      </c>
      <c r="D137">
        <v>79.891845703000001</v>
      </c>
      <c r="E137">
        <v>50</v>
      </c>
      <c r="F137">
        <v>14.995678902</v>
      </c>
      <c r="G137">
        <v>1402.2437743999999</v>
      </c>
      <c r="H137">
        <v>1387.9125977000001</v>
      </c>
      <c r="I137">
        <v>1250.4743652</v>
      </c>
      <c r="J137">
        <v>1211.0311279</v>
      </c>
      <c r="K137">
        <v>2400</v>
      </c>
      <c r="L137">
        <v>0</v>
      </c>
      <c r="M137">
        <v>0</v>
      </c>
      <c r="N137">
        <v>2400</v>
      </c>
    </row>
    <row r="138" spans="1:14" x14ac:dyDescent="0.25">
      <c r="A138">
        <v>8.3754919999999995</v>
      </c>
      <c r="B138" s="1">
        <f>DATE(2010,5,9) + TIME(9,0,42)</f>
        <v>40307.375486111108</v>
      </c>
      <c r="C138">
        <v>80</v>
      </c>
      <c r="D138">
        <v>79.892814635999997</v>
      </c>
      <c r="E138">
        <v>50</v>
      </c>
      <c r="F138">
        <v>14.995702744000001</v>
      </c>
      <c r="G138">
        <v>1402.1016846</v>
      </c>
      <c r="H138">
        <v>1387.7719727000001</v>
      </c>
      <c r="I138">
        <v>1250.4768065999999</v>
      </c>
      <c r="J138">
        <v>1211.0335693</v>
      </c>
      <c r="K138">
        <v>2400</v>
      </c>
      <c r="L138">
        <v>0</v>
      </c>
      <c r="M138">
        <v>0</v>
      </c>
      <c r="N138">
        <v>2400</v>
      </c>
    </row>
    <row r="139" spans="1:14" x14ac:dyDescent="0.25">
      <c r="A139">
        <v>8.5640289999999997</v>
      </c>
      <c r="B139" s="1">
        <f>DATE(2010,5,9) + TIME(13,32,12)</f>
        <v>40307.564027777778</v>
      </c>
      <c r="C139">
        <v>80</v>
      </c>
      <c r="D139">
        <v>79.893661499000004</v>
      </c>
      <c r="E139">
        <v>50</v>
      </c>
      <c r="F139">
        <v>14.995725631999999</v>
      </c>
      <c r="G139">
        <v>1401.9620361</v>
      </c>
      <c r="H139">
        <v>1387.6337891000001</v>
      </c>
      <c r="I139">
        <v>1250.4792480000001</v>
      </c>
      <c r="J139">
        <v>1211.0360106999999</v>
      </c>
      <c r="K139">
        <v>2400</v>
      </c>
      <c r="L139">
        <v>0</v>
      </c>
      <c r="M139">
        <v>0</v>
      </c>
      <c r="N139">
        <v>2400</v>
      </c>
    </row>
    <row r="140" spans="1:14" x14ac:dyDescent="0.25">
      <c r="A140">
        <v>8.7534539999999996</v>
      </c>
      <c r="B140" s="1">
        <f>DATE(2010,5,9) + TIME(18,4,58)</f>
        <v>40307.753449074073</v>
      </c>
      <c r="C140">
        <v>80</v>
      </c>
      <c r="D140">
        <v>79.894409179999997</v>
      </c>
      <c r="E140">
        <v>50</v>
      </c>
      <c r="F140">
        <v>14.995748519999999</v>
      </c>
      <c r="G140">
        <v>1401.8248291</v>
      </c>
      <c r="H140">
        <v>1387.4980469</v>
      </c>
      <c r="I140">
        <v>1250.4818115</v>
      </c>
      <c r="J140">
        <v>1211.0384521000001</v>
      </c>
      <c r="K140">
        <v>2400</v>
      </c>
      <c r="L140">
        <v>0</v>
      </c>
      <c r="M140">
        <v>0</v>
      </c>
      <c r="N140">
        <v>2400</v>
      </c>
    </row>
    <row r="141" spans="1:14" x14ac:dyDescent="0.25">
      <c r="A141">
        <v>8.9440849999999994</v>
      </c>
      <c r="B141" s="1">
        <f>DATE(2010,5,9) + TIME(22,39,28)</f>
        <v>40307.944074074076</v>
      </c>
      <c r="C141">
        <v>80</v>
      </c>
      <c r="D141">
        <v>79.895065308</v>
      </c>
      <c r="E141">
        <v>50</v>
      </c>
      <c r="F141">
        <v>14.995771408</v>
      </c>
      <c r="G141">
        <v>1401.6898193</v>
      </c>
      <c r="H141">
        <v>1387.364624</v>
      </c>
      <c r="I141">
        <v>1250.4842529</v>
      </c>
      <c r="J141">
        <v>1211.0408935999999</v>
      </c>
      <c r="K141">
        <v>2400</v>
      </c>
      <c r="L141">
        <v>0</v>
      </c>
      <c r="M141">
        <v>0</v>
      </c>
      <c r="N141">
        <v>2400</v>
      </c>
    </row>
    <row r="142" spans="1:14" x14ac:dyDescent="0.25">
      <c r="A142">
        <v>9</v>
      </c>
      <c r="B142" s="1">
        <f>DATE(2010,5,10) + TIME(0,0,0)</f>
        <v>40308</v>
      </c>
      <c r="C142">
        <v>80</v>
      </c>
      <c r="D142">
        <v>79.895233153999996</v>
      </c>
      <c r="E142">
        <v>50</v>
      </c>
      <c r="F142">
        <v>14.995779037</v>
      </c>
      <c r="G142">
        <v>1401.5571289</v>
      </c>
      <c r="H142">
        <v>1387.2335204999999</v>
      </c>
      <c r="I142">
        <v>1250.4862060999999</v>
      </c>
      <c r="J142">
        <v>1211.0427245999999</v>
      </c>
      <c r="K142">
        <v>2400</v>
      </c>
      <c r="L142">
        <v>0</v>
      </c>
      <c r="M142">
        <v>0</v>
      </c>
      <c r="N142">
        <v>2400</v>
      </c>
    </row>
    <row r="143" spans="1:14" x14ac:dyDescent="0.25">
      <c r="A143">
        <v>9.1921239999999997</v>
      </c>
      <c r="B143" s="1">
        <f>DATE(2010,5,10) + TIME(4,36,39)</f>
        <v>40308.192118055558</v>
      </c>
      <c r="C143">
        <v>80</v>
      </c>
      <c r="D143">
        <v>79.895805358999993</v>
      </c>
      <c r="E143">
        <v>50</v>
      </c>
      <c r="F143">
        <v>14.995800972</v>
      </c>
      <c r="G143">
        <v>1401.5174560999999</v>
      </c>
      <c r="H143">
        <v>1387.1943358999999</v>
      </c>
      <c r="I143">
        <v>1250.4875488</v>
      </c>
      <c r="J143">
        <v>1211.0440673999999</v>
      </c>
      <c r="K143">
        <v>2400</v>
      </c>
      <c r="L143">
        <v>0</v>
      </c>
      <c r="M143">
        <v>0</v>
      </c>
      <c r="N143">
        <v>2400</v>
      </c>
    </row>
    <row r="144" spans="1:14" x14ac:dyDescent="0.25">
      <c r="A144">
        <v>9.3866259999999997</v>
      </c>
      <c r="B144" s="1">
        <f>DATE(2010,5,10) + TIME(9,16,44)</f>
        <v>40308.386620370373</v>
      </c>
      <c r="C144">
        <v>80</v>
      </c>
      <c r="D144">
        <v>79.896308899000005</v>
      </c>
      <c r="E144">
        <v>50</v>
      </c>
      <c r="F144">
        <v>14.99582386</v>
      </c>
      <c r="G144">
        <v>1401.3874512</v>
      </c>
      <c r="H144">
        <v>1387.0661620999999</v>
      </c>
      <c r="I144">
        <v>1250.4899902</v>
      </c>
      <c r="J144">
        <v>1211.0465088000001</v>
      </c>
      <c r="K144">
        <v>2400</v>
      </c>
      <c r="L144">
        <v>0</v>
      </c>
      <c r="M144">
        <v>0</v>
      </c>
      <c r="N144">
        <v>2400</v>
      </c>
    </row>
    <row r="145" spans="1:14" x14ac:dyDescent="0.25">
      <c r="A145">
        <v>9.583278</v>
      </c>
      <c r="B145" s="1">
        <f>DATE(2010,5,10) + TIME(13,59,55)</f>
        <v>40308.583275462966</v>
      </c>
      <c r="C145">
        <v>80</v>
      </c>
      <c r="D145">
        <v>79.896759032999995</v>
      </c>
      <c r="E145">
        <v>50</v>
      </c>
      <c r="F145">
        <v>14.995845794999999</v>
      </c>
      <c r="G145">
        <v>1401.2578125</v>
      </c>
      <c r="H145">
        <v>1386.9383545000001</v>
      </c>
      <c r="I145">
        <v>1250.4926757999999</v>
      </c>
      <c r="J145">
        <v>1211.0489502</v>
      </c>
      <c r="K145">
        <v>2400</v>
      </c>
      <c r="L145">
        <v>0</v>
      </c>
      <c r="M145">
        <v>0</v>
      </c>
      <c r="N145">
        <v>2400</v>
      </c>
    </row>
    <row r="146" spans="1:14" x14ac:dyDescent="0.25">
      <c r="A146">
        <v>9.7823899999999995</v>
      </c>
      <c r="B146" s="1">
        <f>DATE(2010,5,10) + TIME(18,46,38)</f>
        <v>40308.782384259262</v>
      </c>
      <c r="C146">
        <v>80</v>
      </c>
      <c r="D146">
        <v>79.897163391000007</v>
      </c>
      <c r="E146">
        <v>50</v>
      </c>
      <c r="F146">
        <v>14.995867729</v>
      </c>
      <c r="G146">
        <v>1401.1293945</v>
      </c>
      <c r="H146">
        <v>1386.8116454999999</v>
      </c>
      <c r="I146">
        <v>1250.4952393000001</v>
      </c>
      <c r="J146">
        <v>1211.0515137</v>
      </c>
      <c r="K146">
        <v>2400</v>
      </c>
      <c r="L146">
        <v>0</v>
      </c>
      <c r="M146">
        <v>0</v>
      </c>
      <c r="N146">
        <v>2400</v>
      </c>
    </row>
    <row r="147" spans="1:14" x14ac:dyDescent="0.25">
      <c r="A147">
        <v>9.9842739999999992</v>
      </c>
      <c r="B147" s="1">
        <f>DATE(2010,5,10) + TIME(23,37,21)</f>
        <v>40308.984270833331</v>
      </c>
      <c r="C147">
        <v>80</v>
      </c>
      <c r="D147">
        <v>79.897537231000001</v>
      </c>
      <c r="E147">
        <v>50</v>
      </c>
      <c r="F147">
        <v>14.995889664</v>
      </c>
      <c r="G147">
        <v>1401.0017089999999</v>
      </c>
      <c r="H147">
        <v>1386.6860352000001</v>
      </c>
      <c r="I147">
        <v>1250.4978027</v>
      </c>
      <c r="J147">
        <v>1211.0540771000001</v>
      </c>
      <c r="K147">
        <v>2400</v>
      </c>
      <c r="L147">
        <v>0</v>
      </c>
      <c r="M147">
        <v>0</v>
      </c>
      <c r="N147">
        <v>2400</v>
      </c>
    </row>
    <row r="148" spans="1:14" x14ac:dyDescent="0.25">
      <c r="A148">
        <v>10</v>
      </c>
      <c r="B148" s="1">
        <f>DATE(2010,5,11) + TIME(0,0,0)</f>
        <v>40309</v>
      </c>
      <c r="C148">
        <v>80</v>
      </c>
      <c r="D148">
        <v>79.897544861</v>
      </c>
      <c r="E148">
        <v>50</v>
      </c>
      <c r="F148">
        <v>14.995891571</v>
      </c>
      <c r="G148">
        <v>1400.8815918</v>
      </c>
      <c r="H148">
        <v>1386.5675048999999</v>
      </c>
      <c r="I148">
        <v>1250.4990233999999</v>
      </c>
      <c r="J148">
        <v>1211.0551757999999</v>
      </c>
      <c r="K148">
        <v>2400</v>
      </c>
      <c r="L148">
        <v>0</v>
      </c>
      <c r="M148">
        <v>0</v>
      </c>
      <c r="N148">
        <v>2400</v>
      </c>
    </row>
    <row r="149" spans="1:14" x14ac:dyDescent="0.25">
      <c r="A149">
        <v>10.204985000000001</v>
      </c>
      <c r="B149" s="1">
        <f>DATE(2010,5,11) + TIME(4,55,10)</f>
        <v>40309.204976851855</v>
      </c>
      <c r="C149">
        <v>80</v>
      </c>
      <c r="D149">
        <v>79.897895813000005</v>
      </c>
      <c r="E149">
        <v>50</v>
      </c>
      <c r="F149">
        <v>14.995913506000001</v>
      </c>
      <c r="G149">
        <v>1400.8643798999999</v>
      </c>
      <c r="H149">
        <v>1386.5507812000001</v>
      </c>
      <c r="I149">
        <v>1250.5007324000001</v>
      </c>
      <c r="J149">
        <v>1211.0568848</v>
      </c>
      <c r="K149">
        <v>2400</v>
      </c>
      <c r="L149">
        <v>0</v>
      </c>
      <c r="M149">
        <v>0</v>
      </c>
      <c r="N149">
        <v>2400</v>
      </c>
    </row>
    <row r="150" spans="1:14" x14ac:dyDescent="0.25">
      <c r="A150">
        <v>10.413149000000001</v>
      </c>
      <c r="B150" s="1">
        <f>DATE(2010,5,11) + TIME(9,54,56)</f>
        <v>40309.413148148145</v>
      </c>
      <c r="C150">
        <v>80</v>
      </c>
      <c r="D150">
        <v>79.898193359000004</v>
      </c>
      <c r="E150">
        <v>50</v>
      </c>
      <c r="F150">
        <v>14.995934485999999</v>
      </c>
      <c r="G150">
        <v>1400.7388916</v>
      </c>
      <c r="H150">
        <v>1386.4273682</v>
      </c>
      <c r="I150">
        <v>1250.503418</v>
      </c>
      <c r="J150">
        <v>1211.0594481999999</v>
      </c>
      <c r="K150">
        <v>2400</v>
      </c>
      <c r="L150">
        <v>0</v>
      </c>
      <c r="M150">
        <v>0</v>
      </c>
      <c r="N150">
        <v>2400</v>
      </c>
    </row>
    <row r="151" spans="1:14" x14ac:dyDescent="0.25">
      <c r="A151">
        <v>10.624465000000001</v>
      </c>
      <c r="B151" s="1">
        <f>DATE(2010,5,11) + TIME(14,59,13)</f>
        <v>40309.624456018515</v>
      </c>
      <c r="C151">
        <v>80</v>
      </c>
      <c r="D151">
        <v>79.898475646999998</v>
      </c>
      <c r="E151">
        <v>50</v>
      </c>
      <c r="F151">
        <v>14.995956421000001</v>
      </c>
      <c r="G151">
        <v>1400.6132812000001</v>
      </c>
      <c r="H151">
        <v>1386.3039550999999</v>
      </c>
      <c r="I151">
        <v>1250.5061035000001</v>
      </c>
      <c r="J151">
        <v>1211.0621338000001</v>
      </c>
      <c r="K151">
        <v>2400</v>
      </c>
      <c r="L151">
        <v>0</v>
      </c>
      <c r="M151">
        <v>0</v>
      </c>
      <c r="N151">
        <v>2400</v>
      </c>
    </row>
    <row r="152" spans="1:14" x14ac:dyDescent="0.25">
      <c r="A152">
        <v>10.839304</v>
      </c>
      <c r="B152" s="1">
        <f>DATE(2010,5,11) + TIME(20,8,35)</f>
        <v>40309.83929398148</v>
      </c>
      <c r="C152">
        <v>80</v>
      </c>
      <c r="D152">
        <v>79.898727417000003</v>
      </c>
      <c r="E152">
        <v>50</v>
      </c>
      <c r="F152">
        <v>14.995978355</v>
      </c>
      <c r="G152">
        <v>1400.4881591999999</v>
      </c>
      <c r="H152">
        <v>1386.1810303</v>
      </c>
      <c r="I152">
        <v>1250.5089111</v>
      </c>
      <c r="J152">
        <v>1211.0648193</v>
      </c>
      <c r="K152">
        <v>2400</v>
      </c>
      <c r="L152">
        <v>0</v>
      </c>
      <c r="M152">
        <v>0</v>
      </c>
      <c r="N152">
        <v>2400</v>
      </c>
    </row>
    <row r="153" spans="1:14" x14ac:dyDescent="0.25">
      <c r="A153">
        <v>11</v>
      </c>
      <c r="B153" s="1">
        <f>DATE(2010,5,12) + TIME(0,0,0)</f>
        <v>40310</v>
      </c>
      <c r="C153">
        <v>80</v>
      </c>
      <c r="D153">
        <v>79.898895264000004</v>
      </c>
      <c r="E153">
        <v>50</v>
      </c>
      <c r="F153">
        <v>14.995994568</v>
      </c>
      <c r="G153">
        <v>1400.362793</v>
      </c>
      <c r="H153">
        <v>1386.0579834</v>
      </c>
      <c r="I153">
        <v>1250.5114745999999</v>
      </c>
      <c r="J153">
        <v>1211.0673827999999</v>
      </c>
      <c r="K153">
        <v>2400</v>
      </c>
      <c r="L153">
        <v>0</v>
      </c>
      <c r="M153">
        <v>0</v>
      </c>
      <c r="N153">
        <v>2400</v>
      </c>
    </row>
    <row r="154" spans="1:14" x14ac:dyDescent="0.25">
      <c r="A154">
        <v>11.218774</v>
      </c>
      <c r="B154" s="1">
        <f>DATE(2010,5,12) + TIME(5,15,2)</f>
        <v>40310.218773148146</v>
      </c>
      <c r="C154">
        <v>80</v>
      </c>
      <c r="D154">
        <v>79.899116516000007</v>
      </c>
      <c r="E154">
        <v>50</v>
      </c>
      <c r="F154">
        <v>14.996015548999999</v>
      </c>
      <c r="G154">
        <v>1400.2711182</v>
      </c>
      <c r="H154">
        <v>1385.9680175999999</v>
      </c>
      <c r="I154">
        <v>1250.5137939000001</v>
      </c>
      <c r="J154">
        <v>1211.0695800999999</v>
      </c>
      <c r="K154">
        <v>2400</v>
      </c>
      <c r="L154">
        <v>0</v>
      </c>
      <c r="M154">
        <v>0</v>
      </c>
      <c r="N154">
        <v>2400</v>
      </c>
    </row>
    <row r="155" spans="1:14" x14ac:dyDescent="0.25">
      <c r="A155">
        <v>11.445213000000001</v>
      </c>
      <c r="B155" s="1">
        <f>DATE(2010,5,12) + TIME(10,41,6)</f>
        <v>40310.445208333331</v>
      </c>
      <c r="C155">
        <v>80</v>
      </c>
      <c r="D155">
        <v>79.899314880000006</v>
      </c>
      <c r="E155">
        <v>50</v>
      </c>
      <c r="F155">
        <v>14.996037483</v>
      </c>
      <c r="G155">
        <v>1400.1484375</v>
      </c>
      <c r="H155">
        <v>1385.8477783000001</v>
      </c>
      <c r="I155">
        <v>1250.5167236</v>
      </c>
      <c r="J155">
        <v>1211.0723877</v>
      </c>
      <c r="K155">
        <v>2400</v>
      </c>
      <c r="L155">
        <v>0</v>
      </c>
      <c r="M155">
        <v>0</v>
      </c>
      <c r="N155">
        <v>2400</v>
      </c>
    </row>
    <row r="156" spans="1:14" x14ac:dyDescent="0.25">
      <c r="A156">
        <v>11.676572999999999</v>
      </c>
      <c r="B156" s="1">
        <f>DATE(2010,5,12) + TIME(16,14,15)</f>
        <v>40310.676562499997</v>
      </c>
      <c r="C156">
        <v>80</v>
      </c>
      <c r="D156">
        <v>79.899505614999995</v>
      </c>
      <c r="E156">
        <v>50</v>
      </c>
      <c r="F156">
        <v>14.996058464000001</v>
      </c>
      <c r="G156">
        <v>1400.0235596</v>
      </c>
      <c r="H156">
        <v>1385.7253418</v>
      </c>
      <c r="I156">
        <v>1250.5196533000001</v>
      </c>
      <c r="J156">
        <v>1211.0753173999999</v>
      </c>
      <c r="K156">
        <v>2400</v>
      </c>
      <c r="L156">
        <v>0</v>
      </c>
      <c r="M156">
        <v>0</v>
      </c>
      <c r="N156">
        <v>2400</v>
      </c>
    </row>
    <row r="157" spans="1:14" x14ac:dyDescent="0.25">
      <c r="A157">
        <v>11.913415000000001</v>
      </c>
      <c r="B157" s="1">
        <f>DATE(2010,5,12) + TIME(21,55,19)</f>
        <v>40310.913414351853</v>
      </c>
      <c r="C157">
        <v>80</v>
      </c>
      <c r="D157">
        <v>79.899673461999996</v>
      </c>
      <c r="E157">
        <v>50</v>
      </c>
      <c r="F157">
        <v>14.996080399</v>
      </c>
      <c r="G157">
        <v>1399.8984375</v>
      </c>
      <c r="H157">
        <v>1385.6027832</v>
      </c>
      <c r="I157">
        <v>1250.5227050999999</v>
      </c>
      <c r="J157">
        <v>1211.0782471</v>
      </c>
      <c r="K157">
        <v>2400</v>
      </c>
      <c r="L157">
        <v>0</v>
      </c>
      <c r="M157">
        <v>0</v>
      </c>
      <c r="N157">
        <v>2400</v>
      </c>
    </row>
    <row r="158" spans="1:14" x14ac:dyDescent="0.25">
      <c r="A158">
        <v>12</v>
      </c>
      <c r="B158" s="1">
        <f>DATE(2010,5,13) + TIME(0,0,0)</f>
        <v>40311</v>
      </c>
      <c r="C158">
        <v>80</v>
      </c>
      <c r="D158">
        <v>79.899726868000002</v>
      </c>
      <c r="E158">
        <v>50</v>
      </c>
      <c r="F158">
        <v>14.996089935000001</v>
      </c>
      <c r="G158">
        <v>1399.7724608999999</v>
      </c>
      <c r="H158">
        <v>1385.4794922000001</v>
      </c>
      <c r="I158">
        <v>1250.5251464999999</v>
      </c>
      <c r="J158">
        <v>1211.0806885</v>
      </c>
      <c r="K158">
        <v>2400</v>
      </c>
      <c r="L158">
        <v>0</v>
      </c>
      <c r="M158">
        <v>0</v>
      </c>
      <c r="N158">
        <v>2400</v>
      </c>
    </row>
    <row r="159" spans="1:14" x14ac:dyDescent="0.25">
      <c r="A159">
        <v>12.242618</v>
      </c>
      <c r="B159" s="1">
        <f>DATE(2010,5,13) + TIME(5,49,22)</f>
        <v>40311.242615740739</v>
      </c>
      <c r="C159">
        <v>80</v>
      </c>
      <c r="D159">
        <v>79.899887085000003</v>
      </c>
      <c r="E159">
        <v>50</v>
      </c>
      <c r="F159">
        <v>14.996110915999999</v>
      </c>
      <c r="G159">
        <v>1399.7266846</v>
      </c>
      <c r="H159">
        <v>1385.4346923999999</v>
      </c>
      <c r="I159">
        <v>1250.5269774999999</v>
      </c>
      <c r="J159">
        <v>1211.0823975000001</v>
      </c>
      <c r="K159">
        <v>2400</v>
      </c>
      <c r="L159">
        <v>0</v>
      </c>
      <c r="M159">
        <v>0</v>
      </c>
      <c r="N159">
        <v>2400</v>
      </c>
    </row>
    <row r="160" spans="1:14" x14ac:dyDescent="0.25">
      <c r="A160">
        <v>12.493257</v>
      </c>
      <c r="B160" s="1">
        <f>DATE(2010,5,13) + TIME(11,50,17)</f>
        <v>40311.493252314816</v>
      </c>
      <c r="C160">
        <v>80</v>
      </c>
      <c r="D160">
        <v>79.900032042999996</v>
      </c>
      <c r="E160">
        <v>50</v>
      </c>
      <c r="F160">
        <v>14.996132851</v>
      </c>
      <c r="G160">
        <v>1399.6018065999999</v>
      </c>
      <c r="H160">
        <v>1385.3126221</v>
      </c>
      <c r="I160">
        <v>1250.5300293</v>
      </c>
      <c r="J160">
        <v>1211.0854492000001</v>
      </c>
      <c r="K160">
        <v>2400</v>
      </c>
      <c r="L160">
        <v>0</v>
      </c>
      <c r="M160">
        <v>0</v>
      </c>
      <c r="N160">
        <v>2400</v>
      </c>
    </row>
    <row r="161" spans="1:14" x14ac:dyDescent="0.25">
      <c r="A161">
        <v>12.749931</v>
      </c>
      <c r="B161" s="1">
        <f>DATE(2010,5,13) + TIME(17,59,54)</f>
        <v>40311.749930555554</v>
      </c>
      <c r="C161">
        <v>80</v>
      </c>
      <c r="D161">
        <v>79.900169372999997</v>
      </c>
      <c r="E161">
        <v>50</v>
      </c>
      <c r="F161">
        <v>14.996154785</v>
      </c>
      <c r="G161">
        <v>1399.4747314000001</v>
      </c>
      <c r="H161">
        <v>1385.1884766000001</v>
      </c>
      <c r="I161">
        <v>1250.5333252</v>
      </c>
      <c r="J161">
        <v>1211.0886230000001</v>
      </c>
      <c r="K161">
        <v>2400</v>
      </c>
      <c r="L161">
        <v>0</v>
      </c>
      <c r="M161">
        <v>0</v>
      </c>
      <c r="N161">
        <v>2400</v>
      </c>
    </row>
    <row r="162" spans="1:14" x14ac:dyDescent="0.25">
      <c r="A162">
        <v>13</v>
      </c>
      <c r="B162" s="1">
        <f>DATE(2010,5,14) + TIME(0,0,0)</f>
        <v>40312</v>
      </c>
      <c r="C162">
        <v>80</v>
      </c>
      <c r="D162">
        <v>79.900283813000001</v>
      </c>
      <c r="E162">
        <v>50</v>
      </c>
      <c r="F162">
        <v>14.996175766</v>
      </c>
      <c r="G162">
        <v>1399.3469238</v>
      </c>
      <c r="H162">
        <v>1385.0635986</v>
      </c>
      <c r="I162">
        <v>1250.5367432</v>
      </c>
      <c r="J162">
        <v>1211.0919189000001</v>
      </c>
      <c r="K162">
        <v>2400</v>
      </c>
      <c r="L162">
        <v>0</v>
      </c>
      <c r="M162">
        <v>0</v>
      </c>
      <c r="N162">
        <v>2400</v>
      </c>
    </row>
    <row r="163" spans="1:14" x14ac:dyDescent="0.25">
      <c r="A163">
        <v>13.259525999999999</v>
      </c>
      <c r="B163" s="1">
        <f>DATE(2010,5,14) + TIME(6,13,43)</f>
        <v>40312.259525462963</v>
      </c>
      <c r="C163">
        <v>80</v>
      </c>
      <c r="D163">
        <v>79.900398253999995</v>
      </c>
      <c r="E163">
        <v>50</v>
      </c>
      <c r="F163">
        <v>14.996197701</v>
      </c>
      <c r="G163">
        <v>1399.2248535000001</v>
      </c>
      <c r="H163">
        <v>1384.9444579999999</v>
      </c>
      <c r="I163">
        <v>1250.5399170000001</v>
      </c>
      <c r="J163">
        <v>1211.0950928</v>
      </c>
      <c r="K163">
        <v>2400</v>
      </c>
      <c r="L163">
        <v>0</v>
      </c>
      <c r="M163">
        <v>0</v>
      </c>
      <c r="N163">
        <v>2400</v>
      </c>
    </row>
    <row r="164" spans="1:14" x14ac:dyDescent="0.25">
      <c r="A164">
        <v>13.520053000000001</v>
      </c>
      <c r="B164" s="1">
        <f>DATE(2010,5,14) + TIME(12,28,52)</f>
        <v>40312.520046296297</v>
      </c>
      <c r="C164">
        <v>80</v>
      </c>
      <c r="D164">
        <v>79.900497436999999</v>
      </c>
      <c r="E164">
        <v>50</v>
      </c>
      <c r="F164">
        <v>14.996218681</v>
      </c>
      <c r="G164">
        <v>1399.1004639</v>
      </c>
      <c r="H164">
        <v>1384.8231201000001</v>
      </c>
      <c r="I164">
        <v>1250.5433350000001</v>
      </c>
      <c r="J164">
        <v>1211.0983887</v>
      </c>
      <c r="K164">
        <v>2400</v>
      </c>
      <c r="L164">
        <v>0</v>
      </c>
      <c r="M164">
        <v>0</v>
      </c>
      <c r="N164">
        <v>2400</v>
      </c>
    </row>
    <row r="165" spans="1:14" x14ac:dyDescent="0.25">
      <c r="A165">
        <v>13.781732</v>
      </c>
      <c r="B165" s="1">
        <f>DATE(2010,5,14) + TIME(18,45,41)</f>
        <v>40312.781724537039</v>
      </c>
      <c r="C165">
        <v>80</v>
      </c>
      <c r="D165">
        <v>79.900596618999998</v>
      </c>
      <c r="E165">
        <v>50</v>
      </c>
      <c r="F165">
        <v>14.996240616</v>
      </c>
      <c r="G165">
        <v>1398.9779053</v>
      </c>
      <c r="H165">
        <v>1384.7037353999999</v>
      </c>
      <c r="I165">
        <v>1250.5467529</v>
      </c>
      <c r="J165">
        <v>1211.1016846</v>
      </c>
      <c r="K165">
        <v>2400</v>
      </c>
      <c r="L165">
        <v>0</v>
      </c>
      <c r="M165">
        <v>0</v>
      </c>
      <c r="N165">
        <v>2400</v>
      </c>
    </row>
    <row r="166" spans="1:14" x14ac:dyDescent="0.25">
      <c r="A166">
        <v>14</v>
      </c>
      <c r="B166" s="1">
        <f>DATE(2010,5,15) + TIME(0,0,0)</f>
        <v>40313</v>
      </c>
      <c r="C166">
        <v>80</v>
      </c>
      <c r="D166">
        <v>79.900665282999995</v>
      </c>
      <c r="E166">
        <v>50</v>
      </c>
      <c r="F166">
        <v>14.996258736</v>
      </c>
      <c r="G166">
        <v>1398.8566894999999</v>
      </c>
      <c r="H166">
        <v>1384.5856934000001</v>
      </c>
      <c r="I166">
        <v>1250.5500488</v>
      </c>
      <c r="J166">
        <v>1211.1048584</v>
      </c>
      <c r="K166">
        <v>2400</v>
      </c>
      <c r="L166">
        <v>0</v>
      </c>
      <c r="M166">
        <v>0</v>
      </c>
      <c r="N166">
        <v>2400</v>
      </c>
    </row>
    <row r="167" spans="1:14" x14ac:dyDescent="0.25">
      <c r="A167">
        <v>14.263245</v>
      </c>
      <c r="B167" s="1">
        <f>DATE(2010,5,15) + TIME(6,19,4)</f>
        <v>40313.263240740744</v>
      </c>
      <c r="C167">
        <v>80</v>
      </c>
      <c r="D167">
        <v>79.900749207000004</v>
      </c>
      <c r="E167">
        <v>50</v>
      </c>
      <c r="F167">
        <v>14.996278762999999</v>
      </c>
      <c r="G167">
        <v>1398.7578125</v>
      </c>
      <c r="H167">
        <v>1384.4892577999999</v>
      </c>
      <c r="I167">
        <v>1250.5529785000001</v>
      </c>
      <c r="J167">
        <v>1211.1076660000001</v>
      </c>
      <c r="K167">
        <v>2400</v>
      </c>
      <c r="L167">
        <v>0</v>
      </c>
      <c r="M167">
        <v>0</v>
      </c>
      <c r="N167">
        <v>2400</v>
      </c>
    </row>
    <row r="168" spans="1:14" x14ac:dyDescent="0.25">
      <c r="A168">
        <v>14.53045</v>
      </c>
      <c r="B168" s="1">
        <f>DATE(2010,5,15) + TIME(12,43,50)</f>
        <v>40313.530439814815</v>
      </c>
      <c r="C168">
        <v>80</v>
      </c>
      <c r="D168">
        <v>79.900825499999996</v>
      </c>
      <c r="E168">
        <v>50</v>
      </c>
      <c r="F168">
        <v>14.996299744</v>
      </c>
      <c r="G168">
        <v>1398.6403809000001</v>
      </c>
      <c r="H168">
        <v>1384.3751221</v>
      </c>
      <c r="I168">
        <v>1250.5563964999999</v>
      </c>
      <c r="J168">
        <v>1211.1110839999999</v>
      </c>
      <c r="K168">
        <v>2400</v>
      </c>
      <c r="L168">
        <v>0</v>
      </c>
      <c r="M168">
        <v>0</v>
      </c>
      <c r="N168">
        <v>2400</v>
      </c>
    </row>
    <row r="169" spans="1:14" x14ac:dyDescent="0.25">
      <c r="A169">
        <v>14.800382000000001</v>
      </c>
      <c r="B169" s="1">
        <f>DATE(2010,5,15) + TIME(19,12,32)</f>
        <v>40313.800370370373</v>
      </c>
      <c r="C169">
        <v>80</v>
      </c>
      <c r="D169">
        <v>79.900894164999997</v>
      </c>
      <c r="E169">
        <v>50</v>
      </c>
      <c r="F169">
        <v>14.996319771</v>
      </c>
      <c r="G169">
        <v>1398.5231934000001</v>
      </c>
      <c r="H169">
        <v>1384.2611084</v>
      </c>
      <c r="I169">
        <v>1250.5599365</v>
      </c>
      <c r="J169">
        <v>1211.1145019999999</v>
      </c>
      <c r="K169">
        <v>2400</v>
      </c>
      <c r="L169">
        <v>0</v>
      </c>
      <c r="M169">
        <v>0</v>
      </c>
      <c r="N169">
        <v>2400</v>
      </c>
    </row>
    <row r="170" spans="1:14" x14ac:dyDescent="0.25">
      <c r="A170">
        <v>15</v>
      </c>
      <c r="B170" s="1">
        <f>DATE(2010,5,16) + TIME(0,0,0)</f>
        <v>40314</v>
      </c>
      <c r="C170">
        <v>80</v>
      </c>
      <c r="D170">
        <v>79.900939941000004</v>
      </c>
      <c r="E170">
        <v>50</v>
      </c>
      <c r="F170">
        <v>14.996335983</v>
      </c>
      <c r="G170">
        <v>1398.4063721</v>
      </c>
      <c r="H170">
        <v>1384.1475829999999</v>
      </c>
      <c r="I170">
        <v>1250.5632324000001</v>
      </c>
      <c r="J170">
        <v>1211.1176757999999</v>
      </c>
      <c r="K170">
        <v>2400</v>
      </c>
      <c r="L170">
        <v>0</v>
      </c>
      <c r="M170">
        <v>0</v>
      </c>
      <c r="N170">
        <v>2400</v>
      </c>
    </row>
    <row r="171" spans="1:14" x14ac:dyDescent="0.25">
      <c r="A171">
        <v>15.273108000000001</v>
      </c>
      <c r="B171" s="1">
        <f>DATE(2010,5,16) + TIME(6,33,16)</f>
        <v>40314.273101851853</v>
      </c>
      <c r="C171">
        <v>80</v>
      </c>
      <c r="D171">
        <v>79.901008606000005</v>
      </c>
      <c r="E171">
        <v>50</v>
      </c>
      <c r="F171">
        <v>14.99635601</v>
      </c>
      <c r="G171">
        <v>1398.3218993999999</v>
      </c>
      <c r="H171">
        <v>1384.0655518000001</v>
      </c>
      <c r="I171">
        <v>1250.5661620999999</v>
      </c>
      <c r="J171">
        <v>1211.1203613</v>
      </c>
      <c r="K171">
        <v>2400</v>
      </c>
      <c r="L171">
        <v>0</v>
      </c>
      <c r="M171">
        <v>0</v>
      </c>
      <c r="N171">
        <v>2400</v>
      </c>
    </row>
    <row r="172" spans="1:14" x14ac:dyDescent="0.25">
      <c r="A172">
        <v>15.550928000000001</v>
      </c>
      <c r="B172" s="1">
        <f>DATE(2010,5,16) + TIME(13,13,20)</f>
        <v>40314.550925925927</v>
      </c>
      <c r="C172">
        <v>80</v>
      </c>
      <c r="D172">
        <v>79.901069641000007</v>
      </c>
      <c r="E172">
        <v>50</v>
      </c>
      <c r="F172">
        <v>14.996375084</v>
      </c>
      <c r="G172">
        <v>1398.2080077999999</v>
      </c>
      <c r="H172">
        <v>1383.9549560999999</v>
      </c>
      <c r="I172">
        <v>1250.5697021000001</v>
      </c>
      <c r="J172">
        <v>1211.1239014</v>
      </c>
      <c r="K172">
        <v>2400</v>
      </c>
      <c r="L172">
        <v>0</v>
      </c>
      <c r="M172">
        <v>0</v>
      </c>
      <c r="N172">
        <v>2400</v>
      </c>
    </row>
    <row r="173" spans="1:14" x14ac:dyDescent="0.25">
      <c r="A173">
        <v>15.831965</v>
      </c>
      <c r="B173" s="1">
        <f>DATE(2010,5,16) + TIME(19,58,1)</f>
        <v>40314.831956018519</v>
      </c>
      <c r="C173">
        <v>80</v>
      </c>
      <c r="D173">
        <v>79.901123046999999</v>
      </c>
      <c r="E173">
        <v>50</v>
      </c>
      <c r="F173">
        <v>14.996395111</v>
      </c>
      <c r="G173">
        <v>1398.0938721</v>
      </c>
      <c r="H173">
        <v>1383.8442382999999</v>
      </c>
      <c r="I173">
        <v>1250.5733643000001</v>
      </c>
      <c r="J173">
        <v>1211.1274414</v>
      </c>
      <c r="K173">
        <v>2400</v>
      </c>
      <c r="L173">
        <v>0</v>
      </c>
      <c r="M173">
        <v>0</v>
      </c>
      <c r="N173">
        <v>2400</v>
      </c>
    </row>
    <row r="174" spans="1:14" x14ac:dyDescent="0.25">
      <c r="A174">
        <v>16</v>
      </c>
      <c r="B174" s="1">
        <f>DATE(2010,5,17) + TIME(0,0,0)</f>
        <v>40315</v>
      </c>
      <c r="C174">
        <v>80</v>
      </c>
      <c r="D174">
        <v>79.901153563999998</v>
      </c>
      <c r="E174">
        <v>50</v>
      </c>
      <c r="F174">
        <v>14.996408463</v>
      </c>
      <c r="G174">
        <v>1397.9798584</v>
      </c>
      <c r="H174">
        <v>1383.7336425999999</v>
      </c>
      <c r="I174">
        <v>1250.5766602000001</v>
      </c>
      <c r="J174">
        <v>1211.1306152</v>
      </c>
      <c r="K174">
        <v>2400</v>
      </c>
      <c r="L174">
        <v>0</v>
      </c>
      <c r="M174">
        <v>0</v>
      </c>
      <c r="N174">
        <v>2400</v>
      </c>
    </row>
    <row r="175" spans="1:14" x14ac:dyDescent="0.25">
      <c r="A175">
        <v>16.284707999999998</v>
      </c>
      <c r="B175" s="1">
        <f>DATE(2010,5,17) + TIME(6,49,58)</f>
        <v>40315.284699074073</v>
      </c>
      <c r="C175">
        <v>80</v>
      </c>
      <c r="D175">
        <v>79.901206970000004</v>
      </c>
      <c r="E175">
        <v>50</v>
      </c>
      <c r="F175">
        <v>14.996427536000001</v>
      </c>
      <c r="G175">
        <v>1397.9129639</v>
      </c>
      <c r="H175">
        <v>1383.6688231999999</v>
      </c>
      <c r="I175">
        <v>1250.5792236</v>
      </c>
      <c r="J175">
        <v>1211.1331786999999</v>
      </c>
      <c r="K175">
        <v>2400</v>
      </c>
      <c r="L175">
        <v>0</v>
      </c>
      <c r="M175">
        <v>0</v>
      </c>
      <c r="N175">
        <v>2400</v>
      </c>
    </row>
    <row r="176" spans="1:14" x14ac:dyDescent="0.25">
      <c r="A176">
        <v>16.576322999999999</v>
      </c>
      <c r="B176" s="1">
        <f>DATE(2010,5,17) + TIME(13,49,54)</f>
        <v>40315.576319444444</v>
      </c>
      <c r="C176">
        <v>80</v>
      </c>
      <c r="D176">
        <v>79.901260375999996</v>
      </c>
      <c r="E176">
        <v>50</v>
      </c>
      <c r="F176">
        <v>14.996447563</v>
      </c>
      <c r="G176">
        <v>1397.8015137</v>
      </c>
      <c r="H176">
        <v>1383.5609131000001</v>
      </c>
      <c r="I176">
        <v>1250.5830077999999</v>
      </c>
      <c r="J176">
        <v>1211.1367187999999</v>
      </c>
      <c r="K176">
        <v>2400</v>
      </c>
      <c r="L176">
        <v>0</v>
      </c>
      <c r="M176">
        <v>0</v>
      </c>
      <c r="N176">
        <v>2400</v>
      </c>
    </row>
    <row r="177" spans="1:14" x14ac:dyDescent="0.25">
      <c r="A177">
        <v>16.872838999999999</v>
      </c>
      <c r="B177" s="1">
        <f>DATE(2010,5,17) + TIME(20,56,53)</f>
        <v>40315.872835648152</v>
      </c>
      <c r="C177">
        <v>80</v>
      </c>
      <c r="D177">
        <v>79.901306152000004</v>
      </c>
      <c r="E177">
        <v>50</v>
      </c>
      <c r="F177">
        <v>14.99646759</v>
      </c>
      <c r="G177">
        <v>1397.6888428</v>
      </c>
      <c r="H177">
        <v>1383.4519043</v>
      </c>
      <c r="I177">
        <v>1250.5867920000001</v>
      </c>
      <c r="J177">
        <v>1211.1405029</v>
      </c>
      <c r="K177">
        <v>2400</v>
      </c>
      <c r="L177">
        <v>0</v>
      </c>
      <c r="M177">
        <v>0</v>
      </c>
      <c r="N177">
        <v>2400</v>
      </c>
    </row>
    <row r="178" spans="1:14" x14ac:dyDescent="0.25">
      <c r="A178">
        <v>17</v>
      </c>
      <c r="B178" s="1">
        <f>DATE(2010,5,18) + TIME(0,0,0)</f>
        <v>40316</v>
      </c>
      <c r="C178">
        <v>80</v>
      </c>
      <c r="D178">
        <v>79.901321410999998</v>
      </c>
      <c r="E178">
        <v>50</v>
      </c>
      <c r="F178">
        <v>14.996477127</v>
      </c>
      <c r="G178">
        <v>1397.5759277</v>
      </c>
      <c r="H178">
        <v>1383.3425293</v>
      </c>
      <c r="I178">
        <v>1250.5902100000001</v>
      </c>
      <c r="J178">
        <v>1211.1437988</v>
      </c>
      <c r="K178">
        <v>2400</v>
      </c>
      <c r="L178">
        <v>0</v>
      </c>
      <c r="M178">
        <v>0</v>
      </c>
      <c r="N178">
        <v>2400</v>
      </c>
    </row>
    <row r="179" spans="1:14" x14ac:dyDescent="0.25">
      <c r="A179">
        <v>17.301940999999999</v>
      </c>
      <c r="B179" s="1">
        <f>DATE(2010,5,18) + TIME(7,14,47)</f>
        <v>40316.301932870374</v>
      </c>
      <c r="C179">
        <v>80</v>
      </c>
      <c r="D179">
        <v>79.901374817000004</v>
      </c>
      <c r="E179">
        <v>50</v>
      </c>
      <c r="F179">
        <v>14.996496200999999</v>
      </c>
      <c r="G179">
        <v>1397.5279541</v>
      </c>
      <c r="H179">
        <v>1383.2961425999999</v>
      </c>
      <c r="I179">
        <v>1250.5924072</v>
      </c>
      <c r="J179">
        <v>1211.145874</v>
      </c>
      <c r="K179">
        <v>2400</v>
      </c>
      <c r="L179">
        <v>0</v>
      </c>
      <c r="M179">
        <v>0</v>
      </c>
      <c r="N179">
        <v>2400</v>
      </c>
    </row>
    <row r="180" spans="1:14" x14ac:dyDescent="0.25">
      <c r="A180">
        <v>17.612618000000001</v>
      </c>
      <c r="B180" s="1">
        <f>DATE(2010,5,18) + TIME(14,42,10)</f>
        <v>40316.612615740742</v>
      </c>
      <c r="C180">
        <v>80</v>
      </c>
      <c r="D180">
        <v>79.901420592999997</v>
      </c>
      <c r="E180">
        <v>50</v>
      </c>
      <c r="F180">
        <v>14.996516228000001</v>
      </c>
      <c r="G180">
        <v>1397.416626</v>
      </c>
      <c r="H180">
        <v>1383.1885986</v>
      </c>
      <c r="I180">
        <v>1250.5964355000001</v>
      </c>
      <c r="J180">
        <v>1211.1497803</v>
      </c>
      <c r="K180">
        <v>2400</v>
      </c>
      <c r="L180">
        <v>0</v>
      </c>
      <c r="M180">
        <v>0</v>
      </c>
      <c r="N180">
        <v>2400</v>
      </c>
    </row>
    <row r="181" spans="1:14" x14ac:dyDescent="0.25">
      <c r="A181">
        <v>17.930128</v>
      </c>
      <c r="B181" s="1">
        <f>DATE(2010,5,18) + TIME(22,19,23)</f>
        <v>40316.930127314816</v>
      </c>
      <c r="C181">
        <v>80</v>
      </c>
      <c r="D181">
        <v>79.901466369999994</v>
      </c>
      <c r="E181">
        <v>50</v>
      </c>
      <c r="F181">
        <v>14.996535301</v>
      </c>
      <c r="G181">
        <v>1397.3034668</v>
      </c>
      <c r="H181">
        <v>1383.0792236</v>
      </c>
      <c r="I181">
        <v>1250.6004639</v>
      </c>
      <c r="J181">
        <v>1211.1536865</v>
      </c>
      <c r="K181">
        <v>2400</v>
      </c>
      <c r="L181">
        <v>0</v>
      </c>
      <c r="M181">
        <v>0</v>
      </c>
      <c r="N181">
        <v>2400</v>
      </c>
    </row>
    <row r="182" spans="1:14" x14ac:dyDescent="0.25">
      <c r="A182">
        <v>18</v>
      </c>
      <c r="B182" s="1">
        <f>DATE(2010,5,19) + TIME(0,0,0)</f>
        <v>40317</v>
      </c>
      <c r="C182">
        <v>80</v>
      </c>
      <c r="D182">
        <v>79.901466369999994</v>
      </c>
      <c r="E182">
        <v>50</v>
      </c>
      <c r="F182">
        <v>14.996541023000001</v>
      </c>
      <c r="G182">
        <v>1397.1906738</v>
      </c>
      <c r="H182">
        <v>1382.9702147999999</v>
      </c>
      <c r="I182">
        <v>1250.6038818</v>
      </c>
      <c r="J182">
        <v>1211.1569824000001</v>
      </c>
      <c r="K182">
        <v>2400</v>
      </c>
      <c r="L182">
        <v>0</v>
      </c>
      <c r="M182">
        <v>0</v>
      </c>
      <c r="N182">
        <v>2400</v>
      </c>
    </row>
    <row r="183" spans="1:14" x14ac:dyDescent="0.25">
      <c r="A183">
        <v>18.324228000000002</v>
      </c>
      <c r="B183" s="1">
        <f>DATE(2010,5,19) + TIME(7,46,53)</f>
        <v>40317.324224537035</v>
      </c>
      <c r="C183">
        <v>80</v>
      </c>
      <c r="D183">
        <v>79.901519774999997</v>
      </c>
      <c r="E183">
        <v>50</v>
      </c>
      <c r="F183">
        <v>14.99656105</v>
      </c>
      <c r="G183">
        <v>1397.1641846</v>
      </c>
      <c r="H183">
        <v>1382.9448242000001</v>
      </c>
      <c r="I183">
        <v>1250.6057129000001</v>
      </c>
      <c r="J183">
        <v>1211.1588135</v>
      </c>
      <c r="K183">
        <v>2400</v>
      </c>
      <c r="L183">
        <v>0</v>
      </c>
      <c r="M183">
        <v>0</v>
      </c>
      <c r="N183">
        <v>2400</v>
      </c>
    </row>
    <row r="184" spans="1:14" x14ac:dyDescent="0.25">
      <c r="A184">
        <v>18.656773999999999</v>
      </c>
      <c r="B184" s="1">
        <f>DATE(2010,5,19) + TIME(15,45,45)</f>
        <v>40317.656770833331</v>
      </c>
      <c r="C184">
        <v>80</v>
      </c>
      <c r="D184">
        <v>79.901565551999994</v>
      </c>
      <c r="E184">
        <v>50</v>
      </c>
      <c r="F184">
        <v>14.996581078</v>
      </c>
      <c r="G184">
        <v>1397.0511475000001</v>
      </c>
      <c r="H184">
        <v>1382.8356934000001</v>
      </c>
      <c r="I184">
        <v>1250.6098632999999</v>
      </c>
      <c r="J184">
        <v>1211.1628418</v>
      </c>
      <c r="K184">
        <v>2400</v>
      </c>
      <c r="L184">
        <v>0</v>
      </c>
      <c r="M184">
        <v>0</v>
      </c>
      <c r="N184">
        <v>2400</v>
      </c>
    </row>
    <row r="185" spans="1:14" x14ac:dyDescent="0.25">
      <c r="A185">
        <v>18.828386999999999</v>
      </c>
      <c r="B185" s="1">
        <f>DATE(2010,5,19) + TIME(19,52,52)</f>
        <v>40317.828379629631</v>
      </c>
      <c r="C185">
        <v>80</v>
      </c>
      <c r="D185">
        <v>79.901573181000003</v>
      </c>
      <c r="E185">
        <v>50</v>
      </c>
      <c r="F185">
        <v>14.996592522</v>
      </c>
      <c r="G185">
        <v>1396.9356689000001</v>
      </c>
      <c r="H185">
        <v>1382.723999</v>
      </c>
      <c r="I185">
        <v>1250.6138916</v>
      </c>
      <c r="J185">
        <v>1211.1667480000001</v>
      </c>
      <c r="K185">
        <v>2400</v>
      </c>
      <c r="L185">
        <v>0</v>
      </c>
      <c r="M185">
        <v>0</v>
      </c>
      <c r="N185">
        <v>2400</v>
      </c>
    </row>
    <row r="186" spans="1:14" x14ac:dyDescent="0.25">
      <c r="A186">
        <v>19</v>
      </c>
      <c r="B186" s="1">
        <f>DATE(2010,5,20) + TIME(0,0,0)</f>
        <v>40318</v>
      </c>
      <c r="C186">
        <v>80</v>
      </c>
      <c r="D186">
        <v>79.901596068999993</v>
      </c>
      <c r="E186">
        <v>50</v>
      </c>
      <c r="F186">
        <v>14.996603966</v>
      </c>
      <c r="G186">
        <v>1396.8765868999999</v>
      </c>
      <c r="H186">
        <v>1382.6672363</v>
      </c>
      <c r="I186">
        <v>1250.6162108999999</v>
      </c>
      <c r="J186">
        <v>1211.1689452999999</v>
      </c>
      <c r="K186">
        <v>2400</v>
      </c>
      <c r="L186">
        <v>0</v>
      </c>
      <c r="M186">
        <v>0</v>
      </c>
      <c r="N186">
        <v>2400</v>
      </c>
    </row>
    <row r="187" spans="1:14" x14ac:dyDescent="0.25">
      <c r="A187">
        <v>19.171613000000001</v>
      </c>
      <c r="B187" s="1">
        <f>DATE(2010,5,20) + TIME(4,7,7)</f>
        <v>40318.1716087963</v>
      </c>
      <c r="C187">
        <v>80</v>
      </c>
      <c r="D187">
        <v>79.901618958</v>
      </c>
      <c r="E187">
        <v>50</v>
      </c>
      <c r="F187">
        <v>14.99661541</v>
      </c>
      <c r="G187">
        <v>1396.8182373</v>
      </c>
      <c r="H187">
        <v>1382.6108397999999</v>
      </c>
      <c r="I187">
        <v>1250.6185303</v>
      </c>
      <c r="J187">
        <v>1211.1711425999999</v>
      </c>
      <c r="K187">
        <v>2400</v>
      </c>
      <c r="L187">
        <v>0</v>
      </c>
      <c r="M187">
        <v>0</v>
      </c>
      <c r="N187">
        <v>2400</v>
      </c>
    </row>
    <row r="188" spans="1:14" x14ac:dyDescent="0.25">
      <c r="A188">
        <v>19.343191000000001</v>
      </c>
      <c r="B188" s="1">
        <f>DATE(2010,5,20) + TIME(8,14,11)</f>
        <v>40318.343182870369</v>
      </c>
      <c r="C188">
        <v>80</v>
      </c>
      <c r="D188">
        <v>79.901634216000005</v>
      </c>
      <c r="E188">
        <v>50</v>
      </c>
      <c r="F188">
        <v>14.9966259</v>
      </c>
      <c r="G188">
        <v>1396.7608643000001</v>
      </c>
      <c r="H188">
        <v>1382.5555420000001</v>
      </c>
      <c r="I188">
        <v>1250.6208495999999</v>
      </c>
      <c r="J188">
        <v>1211.1733397999999</v>
      </c>
      <c r="K188">
        <v>2400</v>
      </c>
      <c r="L188">
        <v>0</v>
      </c>
      <c r="M188">
        <v>0</v>
      </c>
      <c r="N188">
        <v>2400</v>
      </c>
    </row>
    <row r="189" spans="1:14" x14ac:dyDescent="0.25">
      <c r="A189">
        <v>19.514769999999999</v>
      </c>
      <c r="B189" s="1">
        <f>DATE(2010,5,20) + TIME(12,21,16)</f>
        <v>40318.514768518522</v>
      </c>
      <c r="C189">
        <v>80</v>
      </c>
      <c r="D189">
        <v>79.901657103999995</v>
      </c>
      <c r="E189">
        <v>50</v>
      </c>
      <c r="F189">
        <v>14.996637344</v>
      </c>
      <c r="G189">
        <v>1396.7039795000001</v>
      </c>
      <c r="H189">
        <v>1382.5006103999999</v>
      </c>
      <c r="I189">
        <v>1250.6230469</v>
      </c>
      <c r="J189">
        <v>1211.1755370999999</v>
      </c>
      <c r="K189">
        <v>2400</v>
      </c>
      <c r="L189">
        <v>0</v>
      </c>
      <c r="M189">
        <v>0</v>
      </c>
      <c r="N189">
        <v>2400</v>
      </c>
    </row>
    <row r="190" spans="1:14" x14ac:dyDescent="0.25">
      <c r="A190">
        <v>19.686347999999999</v>
      </c>
      <c r="B190" s="1">
        <f>DATE(2010,5,20) + TIME(16,28,20)</f>
        <v>40318.686342592591</v>
      </c>
      <c r="C190">
        <v>80</v>
      </c>
      <c r="D190">
        <v>79.901679993000002</v>
      </c>
      <c r="E190">
        <v>50</v>
      </c>
      <c r="F190">
        <v>14.996647834999999</v>
      </c>
      <c r="G190">
        <v>1396.6474608999999</v>
      </c>
      <c r="H190">
        <v>1382.4462891000001</v>
      </c>
      <c r="I190">
        <v>1250.6253661999999</v>
      </c>
      <c r="J190">
        <v>1211.1777344</v>
      </c>
      <c r="K190">
        <v>2400</v>
      </c>
      <c r="L190">
        <v>0</v>
      </c>
      <c r="M190">
        <v>0</v>
      </c>
      <c r="N190">
        <v>2400</v>
      </c>
    </row>
    <row r="191" spans="1:14" x14ac:dyDescent="0.25">
      <c r="A191">
        <v>19.857927</v>
      </c>
      <c r="B191" s="1">
        <f>DATE(2010,5,20) + TIME(20,35,24)</f>
        <v>40318.857916666668</v>
      </c>
      <c r="C191">
        <v>80</v>
      </c>
      <c r="D191">
        <v>79.901695251000007</v>
      </c>
      <c r="E191">
        <v>50</v>
      </c>
      <c r="F191">
        <v>14.996658325</v>
      </c>
      <c r="G191">
        <v>1396.5915527</v>
      </c>
      <c r="H191">
        <v>1382.3924560999999</v>
      </c>
      <c r="I191">
        <v>1250.6276855000001</v>
      </c>
      <c r="J191">
        <v>1211.1800536999999</v>
      </c>
      <c r="K191">
        <v>2400</v>
      </c>
      <c r="L191">
        <v>0</v>
      </c>
      <c r="M191">
        <v>0</v>
      </c>
      <c r="N191">
        <v>2400</v>
      </c>
    </row>
    <row r="192" spans="1:14" x14ac:dyDescent="0.25">
      <c r="A192">
        <v>20.029505</v>
      </c>
      <c r="B192" s="1">
        <f>DATE(2010,5,21) + TIME(0,42,29)</f>
        <v>40319.029502314814</v>
      </c>
      <c r="C192">
        <v>80</v>
      </c>
      <c r="D192">
        <v>79.90171814</v>
      </c>
      <c r="E192">
        <v>50</v>
      </c>
      <c r="F192">
        <v>14.996667862000001</v>
      </c>
      <c r="G192">
        <v>1396.5360106999999</v>
      </c>
      <c r="H192">
        <v>1382.3389893000001</v>
      </c>
      <c r="I192">
        <v>1250.6298827999999</v>
      </c>
      <c r="J192">
        <v>1211.182251</v>
      </c>
      <c r="K192">
        <v>2400</v>
      </c>
      <c r="L192">
        <v>0</v>
      </c>
      <c r="M192">
        <v>0</v>
      </c>
      <c r="N192">
        <v>2400</v>
      </c>
    </row>
    <row r="193" spans="1:14" x14ac:dyDescent="0.25">
      <c r="A193">
        <v>20.372661999999998</v>
      </c>
      <c r="B193" s="1">
        <f>DATE(2010,5,21) + TIME(8,56,37)</f>
        <v>40319.372650462959</v>
      </c>
      <c r="C193">
        <v>80</v>
      </c>
      <c r="D193">
        <v>79.901763915999993</v>
      </c>
      <c r="E193">
        <v>50</v>
      </c>
      <c r="F193">
        <v>14.996685028</v>
      </c>
      <c r="G193">
        <v>1396.4822998</v>
      </c>
      <c r="H193">
        <v>1382.2874756000001</v>
      </c>
      <c r="I193">
        <v>1250.6325684000001</v>
      </c>
      <c r="J193">
        <v>1211.1848144999999</v>
      </c>
      <c r="K193">
        <v>2400</v>
      </c>
      <c r="L193">
        <v>0</v>
      </c>
      <c r="M193">
        <v>0</v>
      </c>
      <c r="N193">
        <v>2400</v>
      </c>
    </row>
    <row r="194" spans="1:14" x14ac:dyDescent="0.25">
      <c r="A194">
        <v>20.716422000000001</v>
      </c>
      <c r="B194" s="1">
        <f>DATE(2010,5,21) + TIME(17,11,38)</f>
        <v>40319.716412037036</v>
      </c>
      <c r="C194">
        <v>80</v>
      </c>
      <c r="D194">
        <v>79.901802063000005</v>
      </c>
      <c r="E194">
        <v>50</v>
      </c>
      <c r="F194">
        <v>14.996703148</v>
      </c>
      <c r="G194">
        <v>1396.3740233999999</v>
      </c>
      <c r="H194">
        <v>1382.1834716999999</v>
      </c>
      <c r="I194">
        <v>1250.637207</v>
      </c>
      <c r="J194">
        <v>1211.1892089999999</v>
      </c>
      <c r="K194">
        <v>2400</v>
      </c>
      <c r="L194">
        <v>0</v>
      </c>
      <c r="M194">
        <v>0</v>
      </c>
      <c r="N194">
        <v>2400</v>
      </c>
    </row>
    <row r="195" spans="1:14" x14ac:dyDescent="0.25">
      <c r="A195">
        <v>21.063666999999999</v>
      </c>
      <c r="B195" s="1">
        <f>DATE(2010,5,22) + TIME(1,31,40)</f>
        <v>40320.063657407409</v>
      </c>
      <c r="C195">
        <v>80</v>
      </c>
      <c r="D195">
        <v>79.901840210000003</v>
      </c>
      <c r="E195">
        <v>50</v>
      </c>
      <c r="F195">
        <v>14.996721268</v>
      </c>
      <c r="G195">
        <v>1396.2668457</v>
      </c>
      <c r="H195">
        <v>1382.0805664</v>
      </c>
      <c r="I195">
        <v>1250.6417236</v>
      </c>
      <c r="J195">
        <v>1211.1936035000001</v>
      </c>
      <c r="K195">
        <v>2400</v>
      </c>
      <c r="L195">
        <v>0</v>
      </c>
      <c r="M195">
        <v>0</v>
      </c>
      <c r="N195">
        <v>2400</v>
      </c>
    </row>
    <row r="196" spans="1:14" x14ac:dyDescent="0.25">
      <c r="A196">
        <v>21.413345</v>
      </c>
      <c r="B196" s="1">
        <f>DATE(2010,5,22) + TIME(9,55,12)</f>
        <v>40320.41333333333</v>
      </c>
      <c r="C196">
        <v>80</v>
      </c>
      <c r="D196">
        <v>79.901885985999996</v>
      </c>
      <c r="E196">
        <v>50</v>
      </c>
      <c r="F196">
        <v>14.996739388</v>
      </c>
      <c r="G196">
        <v>1396.1604004000001</v>
      </c>
      <c r="H196">
        <v>1381.9782714999999</v>
      </c>
      <c r="I196">
        <v>1250.6463623</v>
      </c>
      <c r="J196">
        <v>1211.1981201000001</v>
      </c>
      <c r="K196">
        <v>2400</v>
      </c>
      <c r="L196">
        <v>0</v>
      </c>
      <c r="M196">
        <v>0</v>
      </c>
      <c r="N196">
        <v>2400</v>
      </c>
    </row>
    <row r="197" spans="1:14" x14ac:dyDescent="0.25">
      <c r="A197">
        <v>21.765799999999999</v>
      </c>
      <c r="B197" s="1">
        <f>DATE(2010,5,22) + TIME(18,22,45)</f>
        <v>40320.765798611108</v>
      </c>
      <c r="C197">
        <v>80</v>
      </c>
      <c r="D197">
        <v>79.901924132999994</v>
      </c>
      <c r="E197">
        <v>50</v>
      </c>
      <c r="F197">
        <v>14.996757507</v>
      </c>
      <c r="G197">
        <v>1396.0548096</v>
      </c>
      <c r="H197">
        <v>1381.8768310999999</v>
      </c>
      <c r="I197">
        <v>1250.651001</v>
      </c>
      <c r="J197">
        <v>1211.2026367000001</v>
      </c>
      <c r="K197">
        <v>2400</v>
      </c>
      <c r="L197">
        <v>0</v>
      </c>
      <c r="M197">
        <v>0</v>
      </c>
      <c r="N197">
        <v>2400</v>
      </c>
    </row>
    <row r="198" spans="1:14" x14ac:dyDescent="0.25">
      <c r="A198">
        <v>22.121561</v>
      </c>
      <c r="B198" s="1">
        <f>DATE(2010,5,23) + TIME(2,55,2)</f>
        <v>40321.121550925927</v>
      </c>
      <c r="C198">
        <v>80</v>
      </c>
      <c r="D198">
        <v>79.901962280000006</v>
      </c>
      <c r="E198">
        <v>50</v>
      </c>
      <c r="F198">
        <v>14.996775627</v>
      </c>
      <c r="G198">
        <v>1395.9500731999999</v>
      </c>
      <c r="H198">
        <v>1381.7763672000001</v>
      </c>
      <c r="I198">
        <v>1250.6557617000001</v>
      </c>
      <c r="J198">
        <v>1211.2071533000001</v>
      </c>
      <c r="K198">
        <v>2400</v>
      </c>
      <c r="L198">
        <v>0</v>
      </c>
      <c r="M198">
        <v>0</v>
      </c>
      <c r="N198">
        <v>2400</v>
      </c>
    </row>
    <row r="199" spans="1:14" x14ac:dyDescent="0.25">
      <c r="A199">
        <v>22.481171</v>
      </c>
      <c r="B199" s="1">
        <f>DATE(2010,5,23) + TIME(11,32,53)</f>
        <v>40321.481168981481</v>
      </c>
      <c r="C199">
        <v>80</v>
      </c>
      <c r="D199">
        <v>79.902000427000004</v>
      </c>
      <c r="E199">
        <v>50</v>
      </c>
      <c r="F199">
        <v>14.996794701000001</v>
      </c>
      <c r="G199">
        <v>1395.8459473</v>
      </c>
      <c r="H199">
        <v>1381.6765137</v>
      </c>
      <c r="I199">
        <v>1250.6605225000001</v>
      </c>
      <c r="J199">
        <v>1211.2117920000001</v>
      </c>
      <c r="K199">
        <v>2400</v>
      </c>
      <c r="L199">
        <v>0</v>
      </c>
      <c r="M199">
        <v>0</v>
      </c>
      <c r="N199">
        <v>2400</v>
      </c>
    </row>
    <row r="200" spans="1:14" x14ac:dyDescent="0.25">
      <c r="A200">
        <v>22.845191</v>
      </c>
      <c r="B200" s="1">
        <f>DATE(2010,5,23) + TIME(20,17,4)</f>
        <v>40321.845185185186</v>
      </c>
      <c r="C200">
        <v>80</v>
      </c>
      <c r="D200">
        <v>79.902038574000002</v>
      </c>
      <c r="E200">
        <v>50</v>
      </c>
      <c r="F200">
        <v>14.996812820000001</v>
      </c>
      <c r="G200">
        <v>1395.7423096</v>
      </c>
      <c r="H200">
        <v>1381.5772704999999</v>
      </c>
      <c r="I200">
        <v>1250.6654053</v>
      </c>
      <c r="J200">
        <v>1211.2164307</v>
      </c>
      <c r="K200">
        <v>2400</v>
      </c>
      <c r="L200">
        <v>0</v>
      </c>
      <c r="M200">
        <v>0</v>
      </c>
      <c r="N200">
        <v>2400</v>
      </c>
    </row>
    <row r="201" spans="1:14" x14ac:dyDescent="0.25">
      <c r="A201">
        <v>23.214278</v>
      </c>
      <c r="B201" s="1">
        <f>DATE(2010,5,24) + TIME(5,8,33)</f>
        <v>40322.214270833334</v>
      </c>
      <c r="C201">
        <v>80</v>
      </c>
      <c r="D201">
        <v>79.902076721</v>
      </c>
      <c r="E201">
        <v>50</v>
      </c>
      <c r="F201">
        <v>14.996830940000001</v>
      </c>
      <c r="G201">
        <v>1395.6391602000001</v>
      </c>
      <c r="H201">
        <v>1381.4783935999999</v>
      </c>
      <c r="I201">
        <v>1250.6702881000001</v>
      </c>
      <c r="J201">
        <v>1211.2211914</v>
      </c>
      <c r="K201">
        <v>2400</v>
      </c>
      <c r="L201">
        <v>0</v>
      </c>
      <c r="M201">
        <v>0</v>
      </c>
      <c r="N201">
        <v>2400</v>
      </c>
    </row>
    <row r="202" spans="1:14" x14ac:dyDescent="0.25">
      <c r="A202">
        <v>23.589081</v>
      </c>
      <c r="B202" s="1">
        <f>DATE(2010,5,24) + TIME(14,8,16)</f>
        <v>40322.589074074072</v>
      </c>
      <c r="C202">
        <v>80</v>
      </c>
      <c r="D202">
        <v>79.902114867999998</v>
      </c>
      <c r="E202">
        <v>50</v>
      </c>
      <c r="F202">
        <v>14.996850014</v>
      </c>
      <c r="G202">
        <v>1395.5360106999999</v>
      </c>
      <c r="H202">
        <v>1381.3796387</v>
      </c>
      <c r="I202">
        <v>1250.6751709</v>
      </c>
      <c r="J202">
        <v>1211.2259521000001</v>
      </c>
      <c r="K202">
        <v>2400</v>
      </c>
      <c r="L202">
        <v>0</v>
      </c>
      <c r="M202">
        <v>0</v>
      </c>
      <c r="N202">
        <v>2400</v>
      </c>
    </row>
    <row r="203" spans="1:14" x14ac:dyDescent="0.25">
      <c r="A203">
        <v>23.970161999999998</v>
      </c>
      <c r="B203" s="1">
        <f>DATE(2010,5,24) + TIME(23,17,1)</f>
        <v>40322.970150462963</v>
      </c>
      <c r="C203">
        <v>80</v>
      </c>
      <c r="D203">
        <v>79.902153014999996</v>
      </c>
      <c r="E203">
        <v>50</v>
      </c>
      <c r="F203">
        <v>14.996868134</v>
      </c>
      <c r="G203">
        <v>1395.4329834</v>
      </c>
      <c r="H203">
        <v>1381.2810059000001</v>
      </c>
      <c r="I203">
        <v>1250.6802978999999</v>
      </c>
      <c r="J203">
        <v>1211.2308350000001</v>
      </c>
      <c r="K203">
        <v>2400</v>
      </c>
      <c r="L203">
        <v>0</v>
      </c>
      <c r="M203">
        <v>0</v>
      </c>
      <c r="N203">
        <v>2400</v>
      </c>
    </row>
    <row r="204" spans="1:14" x14ac:dyDescent="0.25">
      <c r="A204">
        <v>24.358215999999999</v>
      </c>
      <c r="B204" s="1">
        <f>DATE(2010,5,25) + TIME(8,35,49)</f>
        <v>40323.358206018522</v>
      </c>
      <c r="C204">
        <v>80</v>
      </c>
      <c r="D204">
        <v>79.902191161999994</v>
      </c>
      <c r="E204">
        <v>50</v>
      </c>
      <c r="F204">
        <v>14.996887207</v>
      </c>
      <c r="G204">
        <v>1395.3297118999999</v>
      </c>
      <c r="H204">
        <v>1381.1823730000001</v>
      </c>
      <c r="I204">
        <v>1250.6854248</v>
      </c>
      <c r="J204">
        <v>1211.2358397999999</v>
      </c>
      <c r="K204">
        <v>2400</v>
      </c>
      <c r="L204">
        <v>0</v>
      </c>
      <c r="M204">
        <v>0</v>
      </c>
      <c r="N204">
        <v>2400</v>
      </c>
    </row>
    <row r="205" spans="1:14" x14ac:dyDescent="0.25">
      <c r="A205">
        <v>24.754034000000001</v>
      </c>
      <c r="B205" s="1">
        <f>DATE(2010,5,25) + TIME(18,5,48)</f>
        <v>40323.754027777781</v>
      </c>
      <c r="C205">
        <v>80</v>
      </c>
      <c r="D205">
        <v>79.902236938000001</v>
      </c>
      <c r="E205">
        <v>50</v>
      </c>
      <c r="F205">
        <v>14.996905327</v>
      </c>
      <c r="G205">
        <v>1395.2263184000001</v>
      </c>
      <c r="H205">
        <v>1381.083374</v>
      </c>
      <c r="I205">
        <v>1250.6906738</v>
      </c>
      <c r="J205">
        <v>1211.2408447</v>
      </c>
      <c r="K205">
        <v>2400</v>
      </c>
      <c r="L205">
        <v>0</v>
      </c>
      <c r="M205">
        <v>0</v>
      </c>
      <c r="N205">
        <v>2400</v>
      </c>
    </row>
    <row r="206" spans="1:14" x14ac:dyDescent="0.25">
      <c r="A206">
        <v>25.157644999999999</v>
      </c>
      <c r="B206" s="1">
        <f>DATE(2010,5,26) + TIME(3,47,0)</f>
        <v>40324.157638888886</v>
      </c>
      <c r="C206">
        <v>80</v>
      </c>
      <c r="D206">
        <v>79.902275084999999</v>
      </c>
      <c r="E206">
        <v>50</v>
      </c>
      <c r="F206">
        <v>14.996924399999999</v>
      </c>
      <c r="G206">
        <v>1395.1223144999999</v>
      </c>
      <c r="H206">
        <v>1380.9841309000001</v>
      </c>
      <c r="I206">
        <v>1250.6960449000001</v>
      </c>
      <c r="J206">
        <v>1211.2460937999999</v>
      </c>
      <c r="K206">
        <v>2400</v>
      </c>
      <c r="L206">
        <v>0</v>
      </c>
      <c r="M206">
        <v>0</v>
      </c>
      <c r="N206">
        <v>2400</v>
      </c>
    </row>
    <row r="207" spans="1:14" x14ac:dyDescent="0.25">
      <c r="A207">
        <v>25.569035</v>
      </c>
      <c r="B207" s="1">
        <f>DATE(2010,5,26) + TIME(13,39,24)</f>
        <v>40324.569027777776</v>
      </c>
      <c r="C207">
        <v>80</v>
      </c>
      <c r="D207">
        <v>79.902320861999996</v>
      </c>
      <c r="E207">
        <v>50</v>
      </c>
      <c r="F207">
        <v>14.996943474</v>
      </c>
      <c r="G207">
        <v>1395.0180664</v>
      </c>
      <c r="H207">
        <v>1380.8845214999999</v>
      </c>
      <c r="I207">
        <v>1250.7015381000001</v>
      </c>
      <c r="J207">
        <v>1211.2513428</v>
      </c>
      <c r="K207">
        <v>2400</v>
      </c>
      <c r="L207">
        <v>0</v>
      </c>
      <c r="M207">
        <v>0</v>
      </c>
      <c r="N207">
        <v>2400</v>
      </c>
    </row>
    <row r="208" spans="1:14" x14ac:dyDescent="0.25">
      <c r="A208">
        <v>25.988202999999999</v>
      </c>
      <c r="B208" s="1">
        <f>DATE(2010,5,26) + TIME(23,43,0)</f>
        <v>40324.988194444442</v>
      </c>
      <c r="C208">
        <v>80</v>
      </c>
      <c r="D208">
        <v>79.902366638000004</v>
      </c>
      <c r="E208">
        <v>50</v>
      </c>
      <c r="F208">
        <v>14.996961594</v>
      </c>
      <c r="G208">
        <v>1394.9133300999999</v>
      </c>
      <c r="H208">
        <v>1380.7845459</v>
      </c>
      <c r="I208">
        <v>1250.7071533000001</v>
      </c>
      <c r="J208">
        <v>1211.2567139</v>
      </c>
      <c r="K208">
        <v>2400</v>
      </c>
      <c r="L208">
        <v>0</v>
      </c>
      <c r="M208">
        <v>0</v>
      </c>
      <c r="N208">
        <v>2400</v>
      </c>
    </row>
    <row r="209" spans="1:14" x14ac:dyDescent="0.25">
      <c r="A209">
        <v>26.410246999999998</v>
      </c>
      <c r="B209" s="1">
        <f>DATE(2010,5,27) + TIME(9,50,45)</f>
        <v>40325.410243055558</v>
      </c>
      <c r="C209">
        <v>80</v>
      </c>
      <c r="D209">
        <v>79.902404785000002</v>
      </c>
      <c r="E209">
        <v>50</v>
      </c>
      <c r="F209">
        <v>14.996980667000001</v>
      </c>
      <c r="G209">
        <v>1394.8083495999999</v>
      </c>
      <c r="H209">
        <v>1380.6843262</v>
      </c>
      <c r="I209">
        <v>1250.7128906</v>
      </c>
      <c r="J209">
        <v>1211.262207</v>
      </c>
      <c r="K209">
        <v>2400</v>
      </c>
      <c r="L209">
        <v>0</v>
      </c>
      <c r="M209">
        <v>0</v>
      </c>
      <c r="N209">
        <v>2400</v>
      </c>
    </row>
    <row r="210" spans="1:14" x14ac:dyDescent="0.25">
      <c r="A210">
        <v>26.833943000000001</v>
      </c>
      <c r="B210" s="1">
        <f>DATE(2010,5,27) + TIME(20,0,52)</f>
        <v>40325.833935185183</v>
      </c>
      <c r="C210">
        <v>80</v>
      </c>
      <c r="D210">
        <v>79.902450561999999</v>
      </c>
      <c r="E210">
        <v>50</v>
      </c>
      <c r="F210">
        <v>14.996999741</v>
      </c>
      <c r="G210">
        <v>1394.7042236</v>
      </c>
      <c r="H210">
        <v>1380.5850829999999</v>
      </c>
      <c r="I210">
        <v>1250.7186279</v>
      </c>
      <c r="J210">
        <v>1211.2678223</v>
      </c>
      <c r="K210">
        <v>2400</v>
      </c>
      <c r="L210">
        <v>0</v>
      </c>
      <c r="M210">
        <v>0</v>
      </c>
      <c r="N210">
        <v>2400</v>
      </c>
    </row>
    <row r="211" spans="1:14" x14ac:dyDescent="0.25">
      <c r="A211">
        <v>27.259710999999999</v>
      </c>
      <c r="B211" s="1">
        <f>DATE(2010,5,28) + TIME(6,13,59)</f>
        <v>40326.259710648148</v>
      </c>
      <c r="C211">
        <v>80</v>
      </c>
      <c r="D211">
        <v>79.902496338000006</v>
      </c>
      <c r="E211">
        <v>50</v>
      </c>
      <c r="F211">
        <v>14.99701786</v>
      </c>
      <c r="G211">
        <v>1394.6013184000001</v>
      </c>
      <c r="H211">
        <v>1380.4869385</v>
      </c>
      <c r="I211">
        <v>1250.7243652</v>
      </c>
      <c r="J211">
        <v>1211.2734375</v>
      </c>
      <c r="K211">
        <v>2400</v>
      </c>
      <c r="L211">
        <v>0</v>
      </c>
      <c r="M211">
        <v>0</v>
      </c>
      <c r="N211">
        <v>2400</v>
      </c>
    </row>
    <row r="212" spans="1:14" x14ac:dyDescent="0.25">
      <c r="A212">
        <v>27.686222000000001</v>
      </c>
      <c r="B212" s="1">
        <f>DATE(2010,5,28) + TIME(16,28,9)</f>
        <v>40326.686215277776</v>
      </c>
      <c r="C212">
        <v>80</v>
      </c>
      <c r="D212">
        <v>79.902542113999999</v>
      </c>
      <c r="E212">
        <v>50</v>
      </c>
      <c r="F212">
        <v>14.99703598</v>
      </c>
      <c r="G212">
        <v>1394.4993896000001</v>
      </c>
      <c r="H212">
        <v>1380.3898925999999</v>
      </c>
      <c r="I212">
        <v>1250.7302245999999</v>
      </c>
      <c r="J212">
        <v>1211.2790527</v>
      </c>
      <c r="K212">
        <v>2400</v>
      </c>
      <c r="L212">
        <v>0</v>
      </c>
      <c r="M212">
        <v>0</v>
      </c>
      <c r="N212">
        <v>2400</v>
      </c>
    </row>
    <row r="213" spans="1:14" x14ac:dyDescent="0.25">
      <c r="A213">
        <v>28.114127</v>
      </c>
      <c r="B213" s="1">
        <f>DATE(2010,5,29) + TIME(2,44,20)</f>
        <v>40327.114120370374</v>
      </c>
      <c r="C213">
        <v>80</v>
      </c>
      <c r="D213">
        <v>79.902580260999997</v>
      </c>
      <c r="E213">
        <v>50</v>
      </c>
      <c r="F213">
        <v>14.997055054</v>
      </c>
      <c r="G213">
        <v>1394.3989257999999</v>
      </c>
      <c r="H213">
        <v>1380.2941894999999</v>
      </c>
      <c r="I213">
        <v>1250.7360839999999</v>
      </c>
      <c r="J213">
        <v>1211.284668</v>
      </c>
      <c r="K213">
        <v>2400</v>
      </c>
      <c r="L213">
        <v>0</v>
      </c>
      <c r="M213">
        <v>0</v>
      </c>
      <c r="N213">
        <v>2400</v>
      </c>
    </row>
    <row r="214" spans="1:14" x14ac:dyDescent="0.25">
      <c r="A214">
        <v>28.544074999999999</v>
      </c>
      <c r="B214" s="1">
        <f>DATE(2010,5,29) + TIME(13,3,28)</f>
        <v>40327.544074074074</v>
      </c>
      <c r="C214">
        <v>80</v>
      </c>
      <c r="D214">
        <v>79.902626037999994</v>
      </c>
      <c r="E214">
        <v>50</v>
      </c>
      <c r="F214">
        <v>14.997073174000001</v>
      </c>
      <c r="G214">
        <v>1394.2995605000001</v>
      </c>
      <c r="H214">
        <v>1380.1995850000001</v>
      </c>
      <c r="I214">
        <v>1250.7420654</v>
      </c>
      <c r="J214">
        <v>1211.2904053</v>
      </c>
      <c r="K214">
        <v>2400</v>
      </c>
      <c r="L214">
        <v>0</v>
      </c>
      <c r="M214">
        <v>0</v>
      </c>
      <c r="N214">
        <v>2400</v>
      </c>
    </row>
    <row r="215" spans="1:14" x14ac:dyDescent="0.25">
      <c r="A215">
        <v>28.976711999999999</v>
      </c>
      <c r="B215" s="1">
        <f>DATE(2010,5,29) + TIME(23,26,27)</f>
        <v>40327.976701388892</v>
      </c>
      <c r="C215">
        <v>80</v>
      </c>
      <c r="D215">
        <v>79.902671814000001</v>
      </c>
      <c r="E215">
        <v>50</v>
      </c>
      <c r="F215">
        <v>14.99709034</v>
      </c>
      <c r="G215">
        <v>1394.2011719</v>
      </c>
      <c r="H215">
        <v>1380.1060791</v>
      </c>
      <c r="I215">
        <v>1250.7480469</v>
      </c>
      <c r="J215">
        <v>1211.2960204999999</v>
      </c>
      <c r="K215">
        <v>2400</v>
      </c>
      <c r="L215">
        <v>0</v>
      </c>
      <c r="M215">
        <v>0</v>
      </c>
      <c r="N215">
        <v>2400</v>
      </c>
    </row>
    <row r="216" spans="1:14" x14ac:dyDescent="0.25">
      <c r="A216">
        <v>29.412685</v>
      </c>
      <c r="B216" s="1">
        <f>DATE(2010,5,30) + TIME(9,54,16)</f>
        <v>40328.412685185183</v>
      </c>
      <c r="C216">
        <v>80</v>
      </c>
      <c r="D216">
        <v>79.902717589999995</v>
      </c>
      <c r="E216">
        <v>50</v>
      </c>
      <c r="F216">
        <v>14.997108459</v>
      </c>
      <c r="G216">
        <v>1394.1035156</v>
      </c>
      <c r="H216">
        <v>1380.0131836</v>
      </c>
      <c r="I216">
        <v>1250.7540283000001</v>
      </c>
      <c r="J216">
        <v>1211.3018798999999</v>
      </c>
      <c r="K216">
        <v>2400</v>
      </c>
      <c r="L216">
        <v>0</v>
      </c>
      <c r="M216">
        <v>0</v>
      </c>
      <c r="N216">
        <v>2400</v>
      </c>
    </row>
    <row r="217" spans="1:14" x14ac:dyDescent="0.25">
      <c r="A217">
        <v>29.852658000000002</v>
      </c>
      <c r="B217" s="1">
        <f>DATE(2010,5,30) + TIME(20,27,49)</f>
        <v>40328.852650462963</v>
      </c>
      <c r="C217">
        <v>80</v>
      </c>
      <c r="D217">
        <v>79.902763367000006</v>
      </c>
      <c r="E217">
        <v>50</v>
      </c>
      <c r="F217">
        <v>14.997125626000001</v>
      </c>
      <c r="G217">
        <v>1394.0067139</v>
      </c>
      <c r="H217">
        <v>1379.9211425999999</v>
      </c>
      <c r="I217">
        <v>1250.7600098</v>
      </c>
      <c r="J217">
        <v>1211.3077393000001</v>
      </c>
      <c r="K217">
        <v>2400</v>
      </c>
      <c r="L217">
        <v>0</v>
      </c>
      <c r="M217">
        <v>0</v>
      </c>
      <c r="N217">
        <v>2400</v>
      </c>
    </row>
    <row r="218" spans="1:14" x14ac:dyDescent="0.25">
      <c r="A218">
        <v>30.297308000000001</v>
      </c>
      <c r="B218" s="1">
        <f>DATE(2010,5,31) + TIME(7,8,7)</f>
        <v>40329.297303240739</v>
      </c>
      <c r="C218">
        <v>80</v>
      </c>
      <c r="D218">
        <v>79.902809142999999</v>
      </c>
      <c r="E218">
        <v>50</v>
      </c>
      <c r="F218">
        <v>14.997143745000001</v>
      </c>
      <c r="G218">
        <v>1393.9102783000001</v>
      </c>
      <c r="H218">
        <v>1379.8294678</v>
      </c>
      <c r="I218">
        <v>1250.7662353999999</v>
      </c>
      <c r="J218">
        <v>1211.3135986</v>
      </c>
      <c r="K218">
        <v>2400</v>
      </c>
      <c r="L218">
        <v>0</v>
      </c>
      <c r="M218">
        <v>0</v>
      </c>
      <c r="N218">
        <v>2400</v>
      </c>
    </row>
    <row r="219" spans="1:14" x14ac:dyDescent="0.25">
      <c r="A219">
        <v>30.747343999999998</v>
      </c>
      <c r="B219" s="1">
        <f>DATE(2010,5,31) + TIME(17,56,10)</f>
        <v>40329.747337962966</v>
      </c>
      <c r="C219">
        <v>80</v>
      </c>
      <c r="D219">
        <v>79.902854919000006</v>
      </c>
      <c r="E219">
        <v>50</v>
      </c>
      <c r="F219">
        <v>14.997160912</v>
      </c>
      <c r="G219">
        <v>1393.8142089999999</v>
      </c>
      <c r="H219">
        <v>1379.7382812000001</v>
      </c>
      <c r="I219">
        <v>1250.7723389</v>
      </c>
      <c r="J219">
        <v>1211.3195800999999</v>
      </c>
      <c r="K219">
        <v>2400</v>
      </c>
      <c r="L219">
        <v>0</v>
      </c>
      <c r="M219">
        <v>0</v>
      </c>
      <c r="N219">
        <v>2400</v>
      </c>
    </row>
    <row r="220" spans="1:14" x14ac:dyDescent="0.25">
      <c r="A220">
        <v>31</v>
      </c>
      <c r="B220" s="1">
        <f>DATE(2010,6,1) + TIME(0,0,0)</f>
        <v>40330</v>
      </c>
      <c r="C220">
        <v>80</v>
      </c>
      <c r="D220">
        <v>79.902877808</v>
      </c>
      <c r="E220">
        <v>50</v>
      </c>
      <c r="F220">
        <v>14.997173309000001</v>
      </c>
      <c r="G220">
        <v>1393.7178954999999</v>
      </c>
      <c r="H220">
        <v>1379.6468506000001</v>
      </c>
      <c r="I220">
        <v>1250.7783202999999</v>
      </c>
      <c r="J220">
        <v>1211.3251952999999</v>
      </c>
      <c r="K220">
        <v>2400</v>
      </c>
      <c r="L220">
        <v>0</v>
      </c>
      <c r="M220">
        <v>0</v>
      </c>
      <c r="N220">
        <v>2400</v>
      </c>
    </row>
    <row r="221" spans="1:14" x14ac:dyDescent="0.25">
      <c r="A221">
        <v>31.456305</v>
      </c>
      <c r="B221" s="1">
        <f>DATE(2010,6,1) + TIME(10,57,4)</f>
        <v>40330.456296296295</v>
      </c>
      <c r="C221">
        <v>80</v>
      </c>
      <c r="D221">
        <v>79.902931213000002</v>
      </c>
      <c r="E221">
        <v>50</v>
      </c>
      <c r="F221">
        <v>14.997189521999999</v>
      </c>
      <c r="G221">
        <v>1393.6647949000001</v>
      </c>
      <c r="H221">
        <v>1379.5963135</v>
      </c>
      <c r="I221">
        <v>1250.7823486</v>
      </c>
      <c r="J221">
        <v>1211.3291016000001</v>
      </c>
      <c r="K221">
        <v>2400</v>
      </c>
      <c r="L221">
        <v>0</v>
      </c>
      <c r="M221">
        <v>0</v>
      </c>
      <c r="N221">
        <v>2400</v>
      </c>
    </row>
    <row r="222" spans="1:14" x14ac:dyDescent="0.25">
      <c r="A222">
        <v>31.923807</v>
      </c>
      <c r="B222" s="1">
        <f>DATE(2010,6,1) + TIME(22,10,16)</f>
        <v>40330.923796296294</v>
      </c>
      <c r="C222">
        <v>80</v>
      </c>
      <c r="D222">
        <v>79.902976989999999</v>
      </c>
      <c r="E222">
        <v>50</v>
      </c>
      <c r="F222">
        <v>14.997206688</v>
      </c>
      <c r="G222">
        <v>1393.5700684000001</v>
      </c>
      <c r="H222">
        <v>1379.5065918</v>
      </c>
      <c r="I222">
        <v>1250.7886963000001</v>
      </c>
      <c r="J222">
        <v>1211.3352050999999</v>
      </c>
      <c r="K222">
        <v>2400</v>
      </c>
      <c r="L222">
        <v>0</v>
      </c>
      <c r="M222">
        <v>0</v>
      </c>
      <c r="N222">
        <v>2400</v>
      </c>
    </row>
    <row r="223" spans="1:14" x14ac:dyDescent="0.25">
      <c r="A223">
        <v>32.399436000000001</v>
      </c>
      <c r="B223" s="1">
        <f>DATE(2010,6,2) + TIME(9,35,11)</f>
        <v>40331.39943287037</v>
      </c>
      <c r="C223">
        <v>80</v>
      </c>
      <c r="D223">
        <v>79.903030396000005</v>
      </c>
      <c r="E223">
        <v>50</v>
      </c>
      <c r="F223">
        <v>14.997223854</v>
      </c>
      <c r="G223">
        <v>1393.4741211</v>
      </c>
      <c r="H223">
        <v>1379.4155272999999</v>
      </c>
      <c r="I223">
        <v>1250.7952881000001</v>
      </c>
      <c r="J223">
        <v>1211.3415527</v>
      </c>
      <c r="K223">
        <v>2400</v>
      </c>
      <c r="L223">
        <v>0</v>
      </c>
      <c r="M223">
        <v>0</v>
      </c>
      <c r="N223">
        <v>2400</v>
      </c>
    </row>
    <row r="224" spans="1:14" x14ac:dyDescent="0.25">
      <c r="A224">
        <v>32.884242999999998</v>
      </c>
      <c r="B224" s="1">
        <f>DATE(2010,6,2) + TIME(21,13,18)</f>
        <v>40331.884236111109</v>
      </c>
      <c r="C224">
        <v>80</v>
      </c>
      <c r="D224">
        <v>79.903083800999994</v>
      </c>
      <c r="E224">
        <v>50</v>
      </c>
      <c r="F224">
        <v>14.997241974</v>
      </c>
      <c r="G224">
        <v>1393.3778076000001</v>
      </c>
      <c r="H224">
        <v>1379.3242187999999</v>
      </c>
      <c r="I224">
        <v>1250.8020019999999</v>
      </c>
      <c r="J224">
        <v>1211.3480225000001</v>
      </c>
      <c r="K224">
        <v>2400</v>
      </c>
      <c r="L224">
        <v>0</v>
      </c>
      <c r="M224">
        <v>0</v>
      </c>
      <c r="N224">
        <v>2400</v>
      </c>
    </row>
    <row r="225" spans="1:14" x14ac:dyDescent="0.25">
      <c r="A225">
        <v>33.377887000000001</v>
      </c>
      <c r="B225" s="1">
        <f>DATE(2010,6,3) + TIME(9,4,9)</f>
        <v>40332.377881944441</v>
      </c>
      <c r="C225">
        <v>80</v>
      </c>
      <c r="D225">
        <v>79.903137207</v>
      </c>
      <c r="E225">
        <v>50</v>
      </c>
      <c r="F225">
        <v>14.997259140000001</v>
      </c>
      <c r="G225">
        <v>1393.2811279</v>
      </c>
      <c r="H225">
        <v>1379.2325439000001</v>
      </c>
      <c r="I225">
        <v>1250.8089600000001</v>
      </c>
      <c r="J225">
        <v>1211.3546143000001</v>
      </c>
      <c r="K225">
        <v>2400</v>
      </c>
      <c r="L225">
        <v>0</v>
      </c>
      <c r="M225">
        <v>0</v>
      </c>
      <c r="N225">
        <v>2400</v>
      </c>
    </row>
    <row r="226" spans="1:14" x14ac:dyDescent="0.25">
      <c r="A226">
        <v>33.880659000000001</v>
      </c>
      <c r="B226" s="1">
        <f>DATE(2010,6,3) + TIME(21,8,8)</f>
        <v>40332.880648148152</v>
      </c>
      <c r="C226">
        <v>80</v>
      </c>
      <c r="D226">
        <v>79.903190613000007</v>
      </c>
      <c r="E226">
        <v>50</v>
      </c>
      <c r="F226">
        <v>14.997277260000001</v>
      </c>
      <c r="G226">
        <v>1393.184082</v>
      </c>
      <c r="H226">
        <v>1379.140625</v>
      </c>
      <c r="I226">
        <v>1250.8160399999999</v>
      </c>
      <c r="J226">
        <v>1211.3614502</v>
      </c>
      <c r="K226">
        <v>2400</v>
      </c>
      <c r="L226">
        <v>0</v>
      </c>
      <c r="M226">
        <v>0</v>
      </c>
      <c r="N226">
        <v>2400</v>
      </c>
    </row>
    <row r="227" spans="1:14" x14ac:dyDescent="0.25">
      <c r="A227">
        <v>34.133274</v>
      </c>
      <c r="B227" s="1">
        <f>DATE(2010,6,4) + TIME(3,11,54)</f>
        <v>40333.133263888885</v>
      </c>
      <c r="C227">
        <v>80</v>
      </c>
      <c r="D227">
        <v>79.903205872000001</v>
      </c>
      <c r="E227">
        <v>50</v>
      </c>
      <c r="F227">
        <v>14.997288704000001</v>
      </c>
      <c r="G227">
        <v>1393.0859375</v>
      </c>
      <c r="H227">
        <v>1379.0476074000001</v>
      </c>
      <c r="I227">
        <v>1250.8227539</v>
      </c>
      <c r="J227">
        <v>1211.3679199000001</v>
      </c>
      <c r="K227">
        <v>2400</v>
      </c>
      <c r="L227">
        <v>0</v>
      </c>
      <c r="M227">
        <v>0</v>
      </c>
      <c r="N227">
        <v>2400</v>
      </c>
    </row>
    <row r="228" spans="1:14" x14ac:dyDescent="0.25">
      <c r="A228">
        <v>34.385888999999999</v>
      </c>
      <c r="B228" s="1">
        <f>DATE(2010,6,4) + TIME(9,15,40)</f>
        <v>40333.385879629626</v>
      </c>
      <c r="C228">
        <v>80</v>
      </c>
      <c r="D228">
        <v>79.903236389</v>
      </c>
      <c r="E228">
        <v>50</v>
      </c>
      <c r="F228">
        <v>14.997298240999999</v>
      </c>
      <c r="G228">
        <v>1393.0366211</v>
      </c>
      <c r="H228">
        <v>1379.0008545000001</v>
      </c>
      <c r="I228">
        <v>1250.8264160000001</v>
      </c>
      <c r="J228">
        <v>1211.3714600000001</v>
      </c>
      <c r="K228">
        <v>2400</v>
      </c>
      <c r="L228">
        <v>0</v>
      </c>
      <c r="M228">
        <v>0</v>
      </c>
      <c r="N228">
        <v>2400</v>
      </c>
    </row>
    <row r="229" spans="1:14" x14ac:dyDescent="0.25">
      <c r="A229">
        <v>34.638503999999998</v>
      </c>
      <c r="B229" s="1">
        <f>DATE(2010,6,4) + TIME(15,19,26)</f>
        <v>40333.638495370367</v>
      </c>
      <c r="C229">
        <v>80</v>
      </c>
      <c r="D229">
        <v>79.903259277000004</v>
      </c>
      <c r="E229">
        <v>50</v>
      </c>
      <c r="F229">
        <v>14.997308731</v>
      </c>
      <c r="G229">
        <v>1392.9884033000001</v>
      </c>
      <c r="H229">
        <v>1378.9552002</v>
      </c>
      <c r="I229">
        <v>1250.8300781</v>
      </c>
      <c r="J229">
        <v>1211.3748779</v>
      </c>
      <c r="K229">
        <v>2400</v>
      </c>
      <c r="L229">
        <v>0</v>
      </c>
      <c r="M229">
        <v>0</v>
      </c>
      <c r="N229">
        <v>2400</v>
      </c>
    </row>
    <row r="230" spans="1:14" x14ac:dyDescent="0.25">
      <c r="A230">
        <v>34.891119000000003</v>
      </c>
      <c r="B230" s="1">
        <f>DATE(2010,6,4) + TIME(21,23,12)</f>
        <v>40333.891111111108</v>
      </c>
      <c r="C230">
        <v>80</v>
      </c>
      <c r="D230">
        <v>79.903282165999997</v>
      </c>
      <c r="E230">
        <v>50</v>
      </c>
      <c r="F230">
        <v>14.997318268000001</v>
      </c>
      <c r="G230">
        <v>1392.9405518000001</v>
      </c>
      <c r="H230">
        <v>1378.9099120999999</v>
      </c>
      <c r="I230">
        <v>1250.8337402</v>
      </c>
      <c r="J230">
        <v>1211.378418</v>
      </c>
      <c r="K230">
        <v>2400</v>
      </c>
      <c r="L230">
        <v>0</v>
      </c>
      <c r="M230">
        <v>0</v>
      </c>
      <c r="N230">
        <v>2400</v>
      </c>
    </row>
    <row r="231" spans="1:14" x14ac:dyDescent="0.25">
      <c r="A231">
        <v>35.143734000000002</v>
      </c>
      <c r="B231" s="1">
        <f>DATE(2010,6,5) + TIME(3,26,58)</f>
        <v>40334.143726851849</v>
      </c>
      <c r="C231">
        <v>80</v>
      </c>
      <c r="D231">
        <v>79.903312682999996</v>
      </c>
      <c r="E231">
        <v>50</v>
      </c>
      <c r="F231">
        <v>14.997327804999999</v>
      </c>
      <c r="G231">
        <v>1392.8930664</v>
      </c>
      <c r="H231">
        <v>1378.8649902</v>
      </c>
      <c r="I231">
        <v>1250.8374022999999</v>
      </c>
      <c r="J231">
        <v>1211.3819579999999</v>
      </c>
      <c r="K231">
        <v>2400</v>
      </c>
      <c r="L231">
        <v>0</v>
      </c>
      <c r="M231">
        <v>0</v>
      </c>
      <c r="N231">
        <v>2400</v>
      </c>
    </row>
    <row r="232" spans="1:14" x14ac:dyDescent="0.25">
      <c r="A232">
        <v>35.648963999999999</v>
      </c>
      <c r="B232" s="1">
        <f>DATE(2010,6,5) + TIME(15,34,30)</f>
        <v>40334.648958333331</v>
      </c>
      <c r="C232">
        <v>80</v>
      </c>
      <c r="D232">
        <v>79.903373717999997</v>
      </c>
      <c r="E232">
        <v>50</v>
      </c>
      <c r="F232">
        <v>14.997343063000001</v>
      </c>
      <c r="G232">
        <v>1392.8469238</v>
      </c>
      <c r="H232">
        <v>1378.8214111</v>
      </c>
      <c r="I232">
        <v>1250.8414307</v>
      </c>
      <c r="J232">
        <v>1211.3858643000001</v>
      </c>
      <c r="K232">
        <v>2400</v>
      </c>
      <c r="L232">
        <v>0</v>
      </c>
      <c r="M232">
        <v>0</v>
      </c>
      <c r="N232">
        <v>2400</v>
      </c>
    </row>
    <row r="233" spans="1:14" x14ac:dyDescent="0.25">
      <c r="A233">
        <v>36.154468000000001</v>
      </c>
      <c r="B233" s="1">
        <f>DATE(2010,6,6) + TIME(3,42,25)</f>
        <v>40335.154456018521</v>
      </c>
      <c r="C233">
        <v>80</v>
      </c>
      <c r="D233">
        <v>79.903434752999999</v>
      </c>
      <c r="E233">
        <v>50</v>
      </c>
      <c r="F233">
        <v>14.997358322</v>
      </c>
      <c r="G233">
        <v>1392.7540283000001</v>
      </c>
      <c r="H233">
        <v>1378.7335204999999</v>
      </c>
      <c r="I233">
        <v>1250.8487548999999</v>
      </c>
      <c r="J233">
        <v>1211.3928223</v>
      </c>
      <c r="K233">
        <v>2400</v>
      </c>
      <c r="L233">
        <v>0</v>
      </c>
      <c r="M233">
        <v>0</v>
      </c>
      <c r="N233">
        <v>2400</v>
      </c>
    </row>
    <row r="234" spans="1:14" x14ac:dyDescent="0.25">
      <c r="A234">
        <v>36.662219</v>
      </c>
      <c r="B234" s="1">
        <f>DATE(2010,6,6) + TIME(15,53,35)</f>
        <v>40335.662210648145</v>
      </c>
      <c r="C234">
        <v>80</v>
      </c>
      <c r="D234">
        <v>79.903488159000005</v>
      </c>
      <c r="E234">
        <v>50</v>
      </c>
      <c r="F234">
        <v>14.997374535000001</v>
      </c>
      <c r="G234">
        <v>1392.6619873</v>
      </c>
      <c r="H234">
        <v>1378.6464844</v>
      </c>
      <c r="I234">
        <v>1250.8560791</v>
      </c>
      <c r="J234">
        <v>1211.3999022999999</v>
      </c>
      <c r="K234">
        <v>2400</v>
      </c>
      <c r="L234">
        <v>0</v>
      </c>
      <c r="M234">
        <v>0</v>
      </c>
      <c r="N234">
        <v>2400</v>
      </c>
    </row>
    <row r="235" spans="1:14" x14ac:dyDescent="0.25">
      <c r="A235">
        <v>37.172961000000001</v>
      </c>
      <c r="B235" s="1">
        <f>DATE(2010,6,7) + TIME(4,9,3)</f>
        <v>40336.172951388886</v>
      </c>
      <c r="C235">
        <v>80</v>
      </c>
      <c r="D235">
        <v>79.903541564999998</v>
      </c>
      <c r="E235">
        <v>50</v>
      </c>
      <c r="F235">
        <v>14.997390747000001</v>
      </c>
      <c r="G235">
        <v>1392.5708007999999</v>
      </c>
      <c r="H235">
        <v>1378.5603027</v>
      </c>
      <c r="I235">
        <v>1250.8635254000001</v>
      </c>
      <c r="J235">
        <v>1211.4069824000001</v>
      </c>
      <c r="K235">
        <v>2400</v>
      </c>
      <c r="L235">
        <v>0</v>
      </c>
      <c r="M235">
        <v>0</v>
      </c>
      <c r="N235">
        <v>2400</v>
      </c>
    </row>
    <row r="236" spans="1:14" x14ac:dyDescent="0.25">
      <c r="A236">
        <v>37.687460000000002</v>
      </c>
      <c r="B236" s="1">
        <f>DATE(2010,6,7) + TIME(16,29,56)</f>
        <v>40336.6874537037</v>
      </c>
      <c r="C236">
        <v>80</v>
      </c>
      <c r="D236">
        <v>79.903602599999999</v>
      </c>
      <c r="E236">
        <v>50</v>
      </c>
      <c r="F236">
        <v>14.997406959999999</v>
      </c>
      <c r="G236">
        <v>1392.4802245999999</v>
      </c>
      <c r="H236">
        <v>1378.4747314000001</v>
      </c>
      <c r="I236">
        <v>1250.8709716999999</v>
      </c>
      <c r="J236">
        <v>1211.4140625</v>
      </c>
      <c r="K236">
        <v>2400</v>
      </c>
      <c r="L236">
        <v>0</v>
      </c>
      <c r="M236">
        <v>0</v>
      </c>
      <c r="N236">
        <v>2400</v>
      </c>
    </row>
    <row r="237" spans="1:14" x14ac:dyDescent="0.25">
      <c r="A237">
        <v>38.206493999999999</v>
      </c>
      <c r="B237" s="1">
        <f>DATE(2010,6,8) + TIME(4,57,21)</f>
        <v>40337.206493055557</v>
      </c>
      <c r="C237">
        <v>80</v>
      </c>
      <c r="D237">
        <v>79.903656006000006</v>
      </c>
      <c r="E237">
        <v>50</v>
      </c>
      <c r="F237">
        <v>14.997423172</v>
      </c>
      <c r="G237">
        <v>1392.3901367000001</v>
      </c>
      <c r="H237">
        <v>1378.3897704999999</v>
      </c>
      <c r="I237">
        <v>1250.878418</v>
      </c>
      <c r="J237">
        <v>1211.4213867000001</v>
      </c>
      <c r="K237">
        <v>2400</v>
      </c>
      <c r="L237">
        <v>0</v>
      </c>
      <c r="M237">
        <v>0</v>
      </c>
      <c r="N237">
        <v>2400</v>
      </c>
    </row>
    <row r="238" spans="1:14" x14ac:dyDescent="0.25">
      <c r="A238">
        <v>38.730863999999997</v>
      </c>
      <c r="B238" s="1">
        <f>DATE(2010,6,8) + TIME(17,32,26)</f>
        <v>40337.730856481481</v>
      </c>
      <c r="C238">
        <v>80</v>
      </c>
      <c r="D238">
        <v>79.903717040999993</v>
      </c>
      <c r="E238">
        <v>50</v>
      </c>
      <c r="F238">
        <v>14.997440338000001</v>
      </c>
      <c r="G238">
        <v>1392.3005370999999</v>
      </c>
      <c r="H238">
        <v>1378.3051757999999</v>
      </c>
      <c r="I238">
        <v>1250.8861084</v>
      </c>
      <c r="J238">
        <v>1211.4287108999999</v>
      </c>
      <c r="K238">
        <v>2400</v>
      </c>
      <c r="L238">
        <v>0</v>
      </c>
      <c r="M238">
        <v>0</v>
      </c>
      <c r="N238">
        <v>2400</v>
      </c>
    </row>
    <row r="239" spans="1:14" x14ac:dyDescent="0.25">
      <c r="A239">
        <v>39.261409</v>
      </c>
      <c r="B239" s="1">
        <f>DATE(2010,6,9) + TIME(6,16,25)</f>
        <v>40338.261400462965</v>
      </c>
      <c r="C239">
        <v>80</v>
      </c>
      <c r="D239">
        <v>79.903778075999995</v>
      </c>
      <c r="E239">
        <v>50</v>
      </c>
      <c r="F239">
        <v>14.997456551000001</v>
      </c>
      <c r="G239">
        <v>1392.2111815999999</v>
      </c>
      <c r="H239">
        <v>1378.2208252</v>
      </c>
      <c r="I239">
        <v>1250.8939209</v>
      </c>
      <c r="J239">
        <v>1211.4360352000001</v>
      </c>
      <c r="K239">
        <v>2400</v>
      </c>
      <c r="L239">
        <v>0</v>
      </c>
      <c r="M239">
        <v>0</v>
      </c>
      <c r="N239">
        <v>2400</v>
      </c>
    </row>
    <row r="240" spans="1:14" x14ac:dyDescent="0.25">
      <c r="A240">
        <v>39.799227999999999</v>
      </c>
      <c r="B240" s="1">
        <f>DATE(2010,6,9) + TIME(19,10,53)</f>
        <v>40338.799224537041</v>
      </c>
      <c r="C240">
        <v>80</v>
      </c>
      <c r="D240">
        <v>79.903831482000001</v>
      </c>
      <c r="E240">
        <v>50</v>
      </c>
      <c r="F240">
        <v>14.997472762999999</v>
      </c>
      <c r="G240">
        <v>1392.1219481999999</v>
      </c>
      <c r="H240">
        <v>1378.1365966999999</v>
      </c>
      <c r="I240">
        <v>1250.9017334</v>
      </c>
      <c r="J240">
        <v>1211.4436035000001</v>
      </c>
      <c r="K240">
        <v>2400</v>
      </c>
      <c r="L240">
        <v>0</v>
      </c>
      <c r="M240">
        <v>0</v>
      </c>
      <c r="N240">
        <v>2400</v>
      </c>
    </row>
    <row r="241" spans="1:14" x14ac:dyDescent="0.25">
      <c r="A241">
        <v>40.345027000000002</v>
      </c>
      <c r="B241" s="1">
        <f>DATE(2010,6,10) + TIME(8,16,50)</f>
        <v>40339.345023148147</v>
      </c>
      <c r="C241">
        <v>80</v>
      </c>
      <c r="D241">
        <v>79.903892517000003</v>
      </c>
      <c r="E241">
        <v>50</v>
      </c>
      <c r="F241">
        <v>14.997489929</v>
      </c>
      <c r="G241">
        <v>1392.0325928</v>
      </c>
      <c r="H241">
        <v>1378.0523682</v>
      </c>
      <c r="I241">
        <v>1250.9097899999999</v>
      </c>
      <c r="J241">
        <v>1211.4512939000001</v>
      </c>
      <c r="K241">
        <v>2400</v>
      </c>
      <c r="L241">
        <v>0</v>
      </c>
      <c r="M241">
        <v>0</v>
      </c>
      <c r="N241">
        <v>2400</v>
      </c>
    </row>
    <row r="242" spans="1:14" x14ac:dyDescent="0.25">
      <c r="A242">
        <v>40.899728000000003</v>
      </c>
      <c r="B242" s="1">
        <f>DATE(2010,6,10) + TIME(21,35,36)</f>
        <v>40339.899722222224</v>
      </c>
      <c r="C242">
        <v>80</v>
      </c>
      <c r="D242">
        <v>79.903953552000004</v>
      </c>
      <c r="E242">
        <v>50</v>
      </c>
      <c r="F242">
        <v>14.997506142000001</v>
      </c>
      <c r="G242">
        <v>1391.9432373</v>
      </c>
      <c r="H242">
        <v>1377.9681396000001</v>
      </c>
      <c r="I242">
        <v>1250.9178466999999</v>
      </c>
      <c r="J242">
        <v>1211.4591064000001</v>
      </c>
      <c r="K242">
        <v>2400</v>
      </c>
      <c r="L242">
        <v>0</v>
      </c>
      <c r="M242">
        <v>0</v>
      </c>
      <c r="N242">
        <v>2400</v>
      </c>
    </row>
    <row r="243" spans="1:14" x14ac:dyDescent="0.25">
      <c r="A243">
        <v>41.464432000000002</v>
      </c>
      <c r="B243" s="1">
        <f>DATE(2010,6,11) + TIME(11,8,46)</f>
        <v>40340.464421296296</v>
      </c>
      <c r="C243">
        <v>80</v>
      </c>
      <c r="D243">
        <v>79.904022217000005</v>
      </c>
      <c r="E243">
        <v>50</v>
      </c>
      <c r="F243">
        <v>14.997523308</v>
      </c>
      <c r="G243">
        <v>1391.8535156</v>
      </c>
      <c r="H243">
        <v>1377.8835449000001</v>
      </c>
      <c r="I243">
        <v>1250.9262695</v>
      </c>
      <c r="J243">
        <v>1211.4670410000001</v>
      </c>
      <c r="K243">
        <v>2400</v>
      </c>
      <c r="L243">
        <v>0</v>
      </c>
      <c r="M243">
        <v>0</v>
      </c>
      <c r="N243">
        <v>2400</v>
      </c>
    </row>
    <row r="244" spans="1:14" x14ac:dyDescent="0.25">
      <c r="A244">
        <v>42.040354999999998</v>
      </c>
      <c r="B244" s="1">
        <f>DATE(2010,6,12) + TIME(0,58,6)</f>
        <v>40341.040347222224</v>
      </c>
      <c r="C244">
        <v>80</v>
      </c>
      <c r="D244">
        <v>79.904083252000007</v>
      </c>
      <c r="E244">
        <v>50</v>
      </c>
      <c r="F244">
        <v>14.997540473999999</v>
      </c>
      <c r="G244">
        <v>1391.7634277</v>
      </c>
      <c r="H244">
        <v>1377.7987060999999</v>
      </c>
      <c r="I244">
        <v>1250.9346923999999</v>
      </c>
      <c r="J244">
        <v>1211.4752197</v>
      </c>
      <c r="K244">
        <v>2400</v>
      </c>
      <c r="L244">
        <v>0</v>
      </c>
      <c r="M244">
        <v>0</v>
      </c>
      <c r="N244">
        <v>2400</v>
      </c>
    </row>
    <row r="245" spans="1:14" x14ac:dyDescent="0.25">
      <c r="A245">
        <v>42.626047</v>
      </c>
      <c r="B245" s="1">
        <f>DATE(2010,6,12) + TIME(15,1,30)</f>
        <v>40341.62604166667</v>
      </c>
      <c r="C245">
        <v>80</v>
      </c>
      <c r="D245">
        <v>79.904151916999993</v>
      </c>
      <c r="E245">
        <v>50</v>
      </c>
      <c r="F245">
        <v>14.997556685999999</v>
      </c>
      <c r="G245">
        <v>1391.6727295000001</v>
      </c>
      <c r="H245">
        <v>1377.7132568</v>
      </c>
      <c r="I245">
        <v>1250.9434814000001</v>
      </c>
      <c r="J245">
        <v>1211.4835204999999</v>
      </c>
      <c r="K245">
        <v>2400</v>
      </c>
      <c r="L245">
        <v>0</v>
      </c>
      <c r="M245">
        <v>0</v>
      </c>
      <c r="N245">
        <v>2400</v>
      </c>
    </row>
    <row r="246" spans="1:14" x14ac:dyDescent="0.25">
      <c r="A246">
        <v>42.920101000000003</v>
      </c>
      <c r="B246" s="1">
        <f>DATE(2010,6,12) + TIME(22,4,56)</f>
        <v>40341.920092592591</v>
      </c>
      <c r="C246">
        <v>80</v>
      </c>
      <c r="D246">
        <v>79.904174804999997</v>
      </c>
      <c r="E246">
        <v>50</v>
      </c>
      <c r="F246">
        <v>14.997568129999999</v>
      </c>
      <c r="G246">
        <v>1391.5810547000001</v>
      </c>
      <c r="H246">
        <v>1377.6269531</v>
      </c>
      <c r="I246">
        <v>1250.9519043</v>
      </c>
      <c r="J246">
        <v>1211.4915771000001</v>
      </c>
      <c r="K246">
        <v>2400</v>
      </c>
      <c r="L246">
        <v>0</v>
      </c>
      <c r="M246">
        <v>0</v>
      </c>
      <c r="N246">
        <v>2400</v>
      </c>
    </row>
    <row r="247" spans="1:14" x14ac:dyDescent="0.25">
      <c r="A247">
        <v>43.214154000000001</v>
      </c>
      <c r="B247" s="1">
        <f>DATE(2010,6,13) + TIME(5,8,22)</f>
        <v>40342.214143518519</v>
      </c>
      <c r="C247">
        <v>80</v>
      </c>
      <c r="D247">
        <v>79.904205321999996</v>
      </c>
      <c r="E247">
        <v>50</v>
      </c>
      <c r="F247">
        <v>14.997577667</v>
      </c>
      <c r="G247">
        <v>1391.5350341999999</v>
      </c>
      <c r="H247">
        <v>1377.5834961</v>
      </c>
      <c r="I247">
        <v>1250.956543</v>
      </c>
      <c r="J247">
        <v>1211.4959716999999</v>
      </c>
      <c r="K247">
        <v>2400</v>
      </c>
      <c r="L247">
        <v>0</v>
      </c>
      <c r="M247">
        <v>0</v>
      </c>
      <c r="N247">
        <v>2400</v>
      </c>
    </row>
    <row r="248" spans="1:14" x14ac:dyDescent="0.25">
      <c r="A248">
        <v>43.508206999999999</v>
      </c>
      <c r="B248" s="1">
        <f>DATE(2010,6,13) + TIME(12,11,49)</f>
        <v>40342.508206018516</v>
      </c>
      <c r="C248">
        <v>80</v>
      </c>
      <c r="D248">
        <v>79.904235839999998</v>
      </c>
      <c r="E248">
        <v>50</v>
      </c>
      <c r="F248">
        <v>14.997587204</v>
      </c>
      <c r="G248">
        <v>1391.4899902</v>
      </c>
      <c r="H248">
        <v>1377.5410156</v>
      </c>
      <c r="I248">
        <v>1250.9609375</v>
      </c>
      <c r="J248">
        <v>1211.5002440999999</v>
      </c>
      <c r="K248">
        <v>2400</v>
      </c>
      <c r="L248">
        <v>0</v>
      </c>
      <c r="M248">
        <v>0</v>
      </c>
      <c r="N248">
        <v>2400</v>
      </c>
    </row>
    <row r="249" spans="1:14" x14ac:dyDescent="0.25">
      <c r="A249">
        <v>43.802261000000001</v>
      </c>
      <c r="B249" s="1">
        <f>DATE(2010,6,13) + TIME(19,15,15)</f>
        <v>40342.802256944444</v>
      </c>
      <c r="C249">
        <v>80</v>
      </c>
      <c r="D249">
        <v>79.904266356999997</v>
      </c>
      <c r="E249">
        <v>50</v>
      </c>
      <c r="F249">
        <v>14.997596741000001</v>
      </c>
      <c r="G249">
        <v>1391.4453125</v>
      </c>
      <c r="H249">
        <v>1377.4989014</v>
      </c>
      <c r="I249">
        <v>1250.9654541</v>
      </c>
      <c r="J249">
        <v>1211.5045166</v>
      </c>
      <c r="K249">
        <v>2400</v>
      </c>
      <c r="L249">
        <v>0</v>
      </c>
      <c r="M249">
        <v>0</v>
      </c>
      <c r="N249">
        <v>2400</v>
      </c>
    </row>
    <row r="250" spans="1:14" x14ac:dyDescent="0.25">
      <c r="A250">
        <v>44.096314</v>
      </c>
      <c r="B250" s="1">
        <f>DATE(2010,6,14) + TIME(2,18,41)</f>
        <v>40343.096307870372</v>
      </c>
      <c r="C250">
        <v>80</v>
      </c>
      <c r="D250">
        <v>79.904296875</v>
      </c>
      <c r="E250">
        <v>50</v>
      </c>
      <c r="F250">
        <v>14.997605324</v>
      </c>
      <c r="G250">
        <v>1391.4008789</v>
      </c>
      <c r="H250">
        <v>1377.4570312000001</v>
      </c>
      <c r="I250">
        <v>1250.9699707</v>
      </c>
      <c r="J250">
        <v>1211.5089111</v>
      </c>
      <c r="K250">
        <v>2400</v>
      </c>
      <c r="L250">
        <v>0</v>
      </c>
      <c r="M250">
        <v>0</v>
      </c>
      <c r="N250">
        <v>2400</v>
      </c>
    </row>
    <row r="251" spans="1:14" x14ac:dyDescent="0.25">
      <c r="A251">
        <v>44.390366999999998</v>
      </c>
      <c r="B251" s="1">
        <f>DATE(2010,6,14) + TIME(9,22,7)</f>
        <v>40343.3903587963</v>
      </c>
      <c r="C251">
        <v>80</v>
      </c>
      <c r="D251">
        <v>79.904327393000003</v>
      </c>
      <c r="E251">
        <v>50</v>
      </c>
      <c r="F251">
        <v>14.997614861000001</v>
      </c>
      <c r="G251">
        <v>1391.3566894999999</v>
      </c>
      <c r="H251">
        <v>1377.4155272999999</v>
      </c>
      <c r="I251">
        <v>1250.9746094</v>
      </c>
      <c r="J251">
        <v>1211.5131836</v>
      </c>
      <c r="K251">
        <v>2400</v>
      </c>
      <c r="L251">
        <v>0</v>
      </c>
      <c r="M251">
        <v>0</v>
      </c>
      <c r="N251">
        <v>2400</v>
      </c>
    </row>
    <row r="252" spans="1:14" x14ac:dyDescent="0.25">
      <c r="A252">
        <v>44.978473999999999</v>
      </c>
      <c r="B252" s="1">
        <f>DATE(2010,6,14) + TIME(23,29,0)</f>
        <v>40343.978472222225</v>
      </c>
      <c r="C252">
        <v>80</v>
      </c>
      <c r="D252">
        <v>79.904411315999994</v>
      </c>
      <c r="E252">
        <v>50</v>
      </c>
      <c r="F252">
        <v>14.997628212</v>
      </c>
      <c r="G252">
        <v>1391.3137207</v>
      </c>
      <c r="H252">
        <v>1377.3751221</v>
      </c>
      <c r="I252">
        <v>1250.9794922000001</v>
      </c>
      <c r="J252">
        <v>1211.5179443</v>
      </c>
      <c r="K252">
        <v>2400</v>
      </c>
      <c r="L252">
        <v>0</v>
      </c>
      <c r="M252">
        <v>0</v>
      </c>
      <c r="N252">
        <v>2400</v>
      </c>
    </row>
    <row r="253" spans="1:14" x14ac:dyDescent="0.25">
      <c r="A253">
        <v>45.566898000000002</v>
      </c>
      <c r="B253" s="1">
        <f>DATE(2010,6,15) + TIME(13,36,20)</f>
        <v>40344.56689814815</v>
      </c>
      <c r="C253">
        <v>80</v>
      </c>
      <c r="D253">
        <v>79.904479980000005</v>
      </c>
      <c r="E253">
        <v>50</v>
      </c>
      <c r="F253">
        <v>14.997642516999999</v>
      </c>
      <c r="G253">
        <v>1391.2272949000001</v>
      </c>
      <c r="H253">
        <v>1377.2938231999999</v>
      </c>
      <c r="I253">
        <v>1250.9885254000001</v>
      </c>
      <c r="J253">
        <v>1211.5266113</v>
      </c>
      <c r="K253">
        <v>2400</v>
      </c>
      <c r="L253">
        <v>0</v>
      </c>
      <c r="M253">
        <v>0</v>
      </c>
      <c r="N253">
        <v>2400</v>
      </c>
    </row>
    <row r="254" spans="1:14" x14ac:dyDescent="0.25">
      <c r="A254">
        <v>46.158476</v>
      </c>
      <c r="B254" s="1">
        <f>DATE(2010,6,16) + TIME(3,48,12)</f>
        <v>40345.158472222225</v>
      </c>
      <c r="C254">
        <v>80</v>
      </c>
      <c r="D254">
        <v>79.904548645000006</v>
      </c>
      <c r="E254">
        <v>50</v>
      </c>
      <c r="F254">
        <v>14.997657776</v>
      </c>
      <c r="G254">
        <v>1391.1414795000001</v>
      </c>
      <c r="H254">
        <v>1377.2132568</v>
      </c>
      <c r="I254">
        <v>1250.9976807</v>
      </c>
      <c r="J254">
        <v>1211.5352783000001</v>
      </c>
      <c r="K254">
        <v>2400</v>
      </c>
      <c r="L254">
        <v>0</v>
      </c>
      <c r="M254">
        <v>0</v>
      </c>
      <c r="N254">
        <v>2400</v>
      </c>
    </row>
    <row r="255" spans="1:14" x14ac:dyDescent="0.25">
      <c r="A255">
        <v>46.754086000000001</v>
      </c>
      <c r="B255" s="1">
        <f>DATE(2010,6,16) + TIME(18,5,53)</f>
        <v>40345.75408564815</v>
      </c>
      <c r="C255">
        <v>80</v>
      </c>
      <c r="D255">
        <v>79.904617310000006</v>
      </c>
      <c r="E255">
        <v>50</v>
      </c>
      <c r="F255">
        <v>14.997673035</v>
      </c>
      <c r="G255">
        <v>1391.0563964999999</v>
      </c>
      <c r="H255">
        <v>1377.1330565999999</v>
      </c>
      <c r="I255">
        <v>1251.0068358999999</v>
      </c>
      <c r="J255">
        <v>1211.5440673999999</v>
      </c>
      <c r="K255">
        <v>2400</v>
      </c>
      <c r="L255">
        <v>0</v>
      </c>
      <c r="M255">
        <v>0</v>
      </c>
      <c r="N255">
        <v>2400</v>
      </c>
    </row>
    <row r="256" spans="1:14" x14ac:dyDescent="0.25">
      <c r="A256">
        <v>47.354638999999999</v>
      </c>
      <c r="B256" s="1">
        <f>DATE(2010,6,17) + TIME(8,30,40)</f>
        <v>40346.354629629626</v>
      </c>
      <c r="C256">
        <v>80</v>
      </c>
      <c r="D256">
        <v>79.904685974000003</v>
      </c>
      <c r="E256">
        <v>50</v>
      </c>
      <c r="F256">
        <v>14.997689247</v>
      </c>
      <c r="G256">
        <v>1390.9716797000001</v>
      </c>
      <c r="H256">
        <v>1377.0534668</v>
      </c>
      <c r="I256">
        <v>1251.0162353999999</v>
      </c>
      <c r="J256">
        <v>1211.5529785000001</v>
      </c>
      <c r="K256">
        <v>2400</v>
      </c>
      <c r="L256">
        <v>0</v>
      </c>
      <c r="M256">
        <v>0</v>
      </c>
      <c r="N256">
        <v>2400</v>
      </c>
    </row>
    <row r="257" spans="1:14" x14ac:dyDescent="0.25">
      <c r="A257">
        <v>47.961066000000002</v>
      </c>
      <c r="B257" s="1">
        <f>DATE(2010,6,17) + TIME(23,3,56)</f>
        <v>40346.961064814815</v>
      </c>
      <c r="C257">
        <v>80</v>
      </c>
      <c r="D257">
        <v>79.904754639000004</v>
      </c>
      <c r="E257">
        <v>50</v>
      </c>
      <c r="F257">
        <v>14.997704506</v>
      </c>
      <c r="G257">
        <v>1390.887207</v>
      </c>
      <c r="H257">
        <v>1376.9742432</v>
      </c>
      <c r="I257">
        <v>1251.0256348</v>
      </c>
      <c r="J257">
        <v>1211.5620117000001</v>
      </c>
      <c r="K257">
        <v>2400</v>
      </c>
      <c r="L257">
        <v>0</v>
      </c>
      <c r="M257">
        <v>0</v>
      </c>
      <c r="N257">
        <v>2400</v>
      </c>
    </row>
    <row r="258" spans="1:14" x14ac:dyDescent="0.25">
      <c r="A258">
        <v>48.574334999999998</v>
      </c>
      <c r="B258" s="1">
        <f>DATE(2010,6,18) + TIME(13,47,2)</f>
        <v>40347.574328703704</v>
      </c>
      <c r="C258">
        <v>80</v>
      </c>
      <c r="D258">
        <v>79.904823303000001</v>
      </c>
      <c r="E258">
        <v>50</v>
      </c>
      <c r="F258">
        <v>14.997720718</v>
      </c>
      <c r="G258">
        <v>1390.8031006000001</v>
      </c>
      <c r="H258">
        <v>1376.8951416</v>
      </c>
      <c r="I258">
        <v>1251.0351562000001</v>
      </c>
      <c r="J258">
        <v>1211.5710449000001</v>
      </c>
      <c r="K258">
        <v>2400</v>
      </c>
      <c r="L258">
        <v>0</v>
      </c>
      <c r="M258">
        <v>0</v>
      </c>
      <c r="N258">
        <v>2400</v>
      </c>
    </row>
    <row r="259" spans="1:14" x14ac:dyDescent="0.25">
      <c r="A259">
        <v>49.195720999999999</v>
      </c>
      <c r="B259" s="1">
        <f>DATE(2010,6,19) + TIME(4,41,50)</f>
        <v>40348.195717592593</v>
      </c>
      <c r="C259">
        <v>80</v>
      </c>
      <c r="D259">
        <v>79.904891968000001</v>
      </c>
      <c r="E259">
        <v>50</v>
      </c>
      <c r="F259">
        <v>14.997735977</v>
      </c>
      <c r="G259">
        <v>1390.7189940999999</v>
      </c>
      <c r="H259">
        <v>1376.8161620999999</v>
      </c>
      <c r="I259">
        <v>1251.0449219</v>
      </c>
      <c r="J259">
        <v>1211.5803223</v>
      </c>
      <c r="K259">
        <v>2400</v>
      </c>
      <c r="L259">
        <v>0</v>
      </c>
      <c r="M259">
        <v>0</v>
      </c>
      <c r="N259">
        <v>2400</v>
      </c>
    </row>
    <row r="260" spans="1:14" x14ac:dyDescent="0.25">
      <c r="A260">
        <v>49.826056000000001</v>
      </c>
      <c r="B260" s="1">
        <f>DATE(2010,6,19) + TIME(19,49,31)</f>
        <v>40348.826053240744</v>
      </c>
      <c r="C260">
        <v>80</v>
      </c>
      <c r="D260">
        <v>79.904968261999997</v>
      </c>
      <c r="E260">
        <v>50</v>
      </c>
      <c r="F260">
        <v>14.99775219</v>
      </c>
      <c r="G260">
        <v>1390.6347656</v>
      </c>
      <c r="H260">
        <v>1376.7371826000001</v>
      </c>
      <c r="I260">
        <v>1251.0548096</v>
      </c>
      <c r="J260">
        <v>1211.5897216999999</v>
      </c>
      <c r="K260">
        <v>2400</v>
      </c>
      <c r="L260">
        <v>0</v>
      </c>
      <c r="M260">
        <v>0</v>
      </c>
      <c r="N260">
        <v>2400</v>
      </c>
    </row>
    <row r="261" spans="1:14" x14ac:dyDescent="0.25">
      <c r="A261">
        <v>50.466397000000001</v>
      </c>
      <c r="B261" s="1">
        <f>DATE(2010,6,20) + TIME(11,11,36)</f>
        <v>40349.46638888889</v>
      </c>
      <c r="C261">
        <v>80</v>
      </c>
      <c r="D261">
        <v>79.905036925999994</v>
      </c>
      <c r="E261">
        <v>50</v>
      </c>
      <c r="F261">
        <v>14.997768402</v>
      </c>
      <c r="G261">
        <v>1390.5505370999999</v>
      </c>
      <c r="H261">
        <v>1376.6579589999999</v>
      </c>
      <c r="I261">
        <v>1251.0649414</v>
      </c>
      <c r="J261">
        <v>1211.5993652</v>
      </c>
      <c r="K261">
        <v>2400</v>
      </c>
      <c r="L261">
        <v>0</v>
      </c>
      <c r="M261">
        <v>0</v>
      </c>
      <c r="N261">
        <v>2400</v>
      </c>
    </row>
    <row r="262" spans="1:14" x14ac:dyDescent="0.25">
      <c r="A262">
        <v>51.117956999999997</v>
      </c>
      <c r="B262" s="1">
        <f>DATE(2010,6,21) + TIME(2,49,51)</f>
        <v>40350.117951388886</v>
      </c>
      <c r="C262">
        <v>80</v>
      </c>
      <c r="D262">
        <v>79.905113220000004</v>
      </c>
      <c r="E262">
        <v>50</v>
      </c>
      <c r="F262">
        <v>14.997784615</v>
      </c>
      <c r="G262">
        <v>1390.4658202999999</v>
      </c>
      <c r="H262">
        <v>1376.5784911999999</v>
      </c>
      <c r="I262">
        <v>1251.0751952999999</v>
      </c>
      <c r="J262">
        <v>1211.6092529</v>
      </c>
      <c r="K262">
        <v>2400</v>
      </c>
      <c r="L262">
        <v>0</v>
      </c>
      <c r="M262">
        <v>0</v>
      </c>
      <c r="N262">
        <v>2400</v>
      </c>
    </row>
    <row r="263" spans="1:14" x14ac:dyDescent="0.25">
      <c r="A263">
        <v>51.782251000000002</v>
      </c>
      <c r="B263" s="1">
        <f>DATE(2010,6,21) + TIME(18,46,26)</f>
        <v>40350.78224537037</v>
      </c>
      <c r="C263">
        <v>80</v>
      </c>
      <c r="D263">
        <v>79.905189514</v>
      </c>
      <c r="E263">
        <v>50</v>
      </c>
      <c r="F263">
        <v>14.997800827000001</v>
      </c>
      <c r="G263">
        <v>1390.3807373</v>
      </c>
      <c r="H263">
        <v>1376.4987793</v>
      </c>
      <c r="I263">
        <v>1251.0856934000001</v>
      </c>
      <c r="J263">
        <v>1211.6192627</v>
      </c>
      <c r="K263">
        <v>2400</v>
      </c>
      <c r="L263">
        <v>0</v>
      </c>
      <c r="M263">
        <v>0</v>
      </c>
      <c r="N263">
        <v>2400</v>
      </c>
    </row>
    <row r="264" spans="1:14" x14ac:dyDescent="0.25">
      <c r="A264">
        <v>52.119152999999997</v>
      </c>
      <c r="B264" s="1">
        <f>DATE(2010,6,22) + TIME(2,51,34)</f>
        <v>40351.119143518517</v>
      </c>
      <c r="C264">
        <v>80</v>
      </c>
      <c r="D264">
        <v>79.905220032000003</v>
      </c>
      <c r="E264">
        <v>50</v>
      </c>
      <c r="F264">
        <v>14.997811317</v>
      </c>
      <c r="G264">
        <v>1390.2945557</v>
      </c>
      <c r="H264">
        <v>1376.4178466999999</v>
      </c>
      <c r="I264">
        <v>1251.0960693</v>
      </c>
      <c r="J264">
        <v>1211.6290283000001</v>
      </c>
      <c r="K264">
        <v>2400</v>
      </c>
      <c r="L264">
        <v>0</v>
      </c>
      <c r="M264">
        <v>0</v>
      </c>
      <c r="N264">
        <v>2400</v>
      </c>
    </row>
    <row r="265" spans="1:14" x14ac:dyDescent="0.25">
      <c r="A265">
        <v>52.456054000000002</v>
      </c>
      <c r="B265" s="1">
        <f>DATE(2010,6,22) + TIME(10,56,43)</f>
        <v>40351.456053240741</v>
      </c>
      <c r="C265">
        <v>80</v>
      </c>
      <c r="D265">
        <v>79.905258179</v>
      </c>
      <c r="E265">
        <v>50</v>
      </c>
      <c r="F265">
        <v>14.997820854</v>
      </c>
      <c r="G265">
        <v>1390.2507324000001</v>
      </c>
      <c r="H265">
        <v>1376.3767089999999</v>
      </c>
      <c r="I265">
        <v>1251.1016846</v>
      </c>
      <c r="J265">
        <v>1211.6343993999999</v>
      </c>
      <c r="K265">
        <v>2400</v>
      </c>
      <c r="L265">
        <v>0</v>
      </c>
      <c r="M265">
        <v>0</v>
      </c>
      <c r="N265">
        <v>2400</v>
      </c>
    </row>
    <row r="266" spans="1:14" x14ac:dyDescent="0.25">
      <c r="A266">
        <v>52.792954999999999</v>
      </c>
      <c r="B266" s="1">
        <f>DATE(2010,6,22) + TIME(19,1,51)</f>
        <v>40351.792951388888</v>
      </c>
      <c r="C266">
        <v>80</v>
      </c>
      <c r="D266">
        <v>79.905296325999998</v>
      </c>
      <c r="E266">
        <v>50</v>
      </c>
      <c r="F266">
        <v>14.997830391000001</v>
      </c>
      <c r="G266">
        <v>1390.2078856999999</v>
      </c>
      <c r="H266">
        <v>1376.3364257999999</v>
      </c>
      <c r="I266">
        <v>1251.1071777</v>
      </c>
      <c r="J266">
        <v>1211.6396483999999</v>
      </c>
      <c r="K266">
        <v>2400</v>
      </c>
      <c r="L266">
        <v>0</v>
      </c>
      <c r="M266">
        <v>0</v>
      </c>
      <c r="N266">
        <v>2400</v>
      </c>
    </row>
    <row r="267" spans="1:14" x14ac:dyDescent="0.25">
      <c r="A267">
        <v>53.129855999999997</v>
      </c>
      <c r="B267" s="1">
        <f>DATE(2010,6,23) + TIME(3,6,59)</f>
        <v>40352.129849537036</v>
      </c>
      <c r="C267">
        <v>80</v>
      </c>
      <c r="D267">
        <v>79.905334472999996</v>
      </c>
      <c r="E267">
        <v>50</v>
      </c>
      <c r="F267">
        <v>14.997838974</v>
      </c>
      <c r="G267">
        <v>1390.1652832</v>
      </c>
      <c r="H267">
        <v>1376.2963867000001</v>
      </c>
      <c r="I267">
        <v>1251.112793</v>
      </c>
      <c r="J267">
        <v>1211.6448975000001</v>
      </c>
      <c r="K267">
        <v>2400</v>
      </c>
      <c r="L267">
        <v>0</v>
      </c>
      <c r="M267">
        <v>0</v>
      </c>
      <c r="N267">
        <v>2400</v>
      </c>
    </row>
    <row r="268" spans="1:14" x14ac:dyDescent="0.25">
      <c r="A268">
        <v>53.466757000000001</v>
      </c>
      <c r="B268" s="1">
        <f>DATE(2010,6,23) + TIME(11,12,7)</f>
        <v>40352.466747685183</v>
      </c>
      <c r="C268">
        <v>80</v>
      </c>
      <c r="D268">
        <v>79.905372619999994</v>
      </c>
      <c r="E268">
        <v>50</v>
      </c>
      <c r="F268">
        <v>14.997847557</v>
      </c>
      <c r="G268">
        <v>1390.1230469</v>
      </c>
      <c r="H268">
        <v>1376.2567139</v>
      </c>
      <c r="I268">
        <v>1251.1182861</v>
      </c>
      <c r="J268">
        <v>1211.6501464999999</v>
      </c>
      <c r="K268">
        <v>2400</v>
      </c>
      <c r="L268">
        <v>0</v>
      </c>
      <c r="M268">
        <v>0</v>
      </c>
      <c r="N268">
        <v>2400</v>
      </c>
    </row>
    <row r="269" spans="1:14" x14ac:dyDescent="0.25">
      <c r="A269">
        <v>53.803657999999999</v>
      </c>
      <c r="B269" s="1">
        <f>DATE(2010,6,23) + TIME(19,17,16)</f>
        <v>40352.803657407407</v>
      </c>
      <c r="C269">
        <v>80</v>
      </c>
      <c r="D269">
        <v>79.905410767000006</v>
      </c>
      <c r="E269">
        <v>50</v>
      </c>
      <c r="F269">
        <v>14.99785614</v>
      </c>
      <c r="G269">
        <v>1390.0809326000001</v>
      </c>
      <c r="H269">
        <v>1376.2172852000001</v>
      </c>
      <c r="I269">
        <v>1251.1239014</v>
      </c>
      <c r="J269">
        <v>1211.6555175999999</v>
      </c>
      <c r="K269">
        <v>2400</v>
      </c>
      <c r="L269">
        <v>0</v>
      </c>
      <c r="M269">
        <v>0</v>
      </c>
      <c r="N269">
        <v>2400</v>
      </c>
    </row>
    <row r="270" spans="1:14" x14ac:dyDescent="0.25">
      <c r="A270">
        <v>54.140559000000003</v>
      </c>
      <c r="B270" s="1">
        <f>DATE(2010,6,24) + TIME(3,22,24)</f>
        <v>40353.140555555554</v>
      </c>
      <c r="C270">
        <v>80</v>
      </c>
      <c r="D270">
        <v>79.905448914000004</v>
      </c>
      <c r="E270">
        <v>50</v>
      </c>
      <c r="F270">
        <v>14.997864722999999</v>
      </c>
      <c r="G270">
        <v>1390.0390625</v>
      </c>
      <c r="H270">
        <v>1376.1779785000001</v>
      </c>
      <c r="I270">
        <v>1251.1293945</v>
      </c>
      <c r="J270">
        <v>1211.6607666</v>
      </c>
      <c r="K270">
        <v>2400</v>
      </c>
      <c r="L270">
        <v>0</v>
      </c>
      <c r="M270">
        <v>0</v>
      </c>
      <c r="N270">
        <v>2400</v>
      </c>
    </row>
    <row r="271" spans="1:14" x14ac:dyDescent="0.25">
      <c r="A271">
        <v>54.477460000000001</v>
      </c>
      <c r="B271" s="1">
        <f>DATE(2010,6,24) + TIME(11,27,32)</f>
        <v>40353.477453703701</v>
      </c>
      <c r="C271">
        <v>80</v>
      </c>
      <c r="D271">
        <v>79.905487061000002</v>
      </c>
      <c r="E271">
        <v>50</v>
      </c>
      <c r="F271">
        <v>14.997873306000001</v>
      </c>
      <c r="G271">
        <v>1389.9975586</v>
      </c>
      <c r="H271">
        <v>1376.1390381000001</v>
      </c>
      <c r="I271">
        <v>1251.1350098</v>
      </c>
      <c r="J271">
        <v>1211.6661377</v>
      </c>
      <c r="K271">
        <v>2400</v>
      </c>
      <c r="L271">
        <v>0</v>
      </c>
      <c r="M271">
        <v>0</v>
      </c>
      <c r="N271">
        <v>2400</v>
      </c>
    </row>
    <row r="272" spans="1:14" x14ac:dyDescent="0.25">
      <c r="A272">
        <v>54.814360999999998</v>
      </c>
      <c r="B272" s="1">
        <f>DATE(2010,6,24) + TIME(19,32,40)</f>
        <v>40353.814351851855</v>
      </c>
      <c r="C272">
        <v>80</v>
      </c>
      <c r="D272">
        <v>79.905525208</v>
      </c>
      <c r="E272">
        <v>50</v>
      </c>
      <c r="F272">
        <v>14.997880936</v>
      </c>
      <c r="G272">
        <v>1389.9562988</v>
      </c>
      <c r="H272">
        <v>1376.1002197</v>
      </c>
      <c r="I272">
        <v>1251.140625</v>
      </c>
      <c r="J272">
        <v>1211.6715088000001</v>
      </c>
      <c r="K272">
        <v>2400</v>
      </c>
      <c r="L272">
        <v>0</v>
      </c>
      <c r="M272">
        <v>0</v>
      </c>
      <c r="N272">
        <v>2400</v>
      </c>
    </row>
    <row r="273" spans="1:14" x14ac:dyDescent="0.25">
      <c r="A273">
        <v>55.488163999999998</v>
      </c>
      <c r="B273" s="1">
        <f>DATE(2010,6,25) + TIME(11,42,57)</f>
        <v>40354.488159722219</v>
      </c>
      <c r="C273">
        <v>80</v>
      </c>
      <c r="D273">
        <v>79.905616760000001</v>
      </c>
      <c r="E273">
        <v>50</v>
      </c>
      <c r="F273">
        <v>14.997893333</v>
      </c>
      <c r="G273">
        <v>1389.9158935999999</v>
      </c>
      <c r="H273">
        <v>1376.0625</v>
      </c>
      <c r="I273">
        <v>1251.1467285000001</v>
      </c>
      <c r="J273">
        <v>1211.6772461</v>
      </c>
      <c r="K273">
        <v>2400</v>
      </c>
      <c r="L273">
        <v>0</v>
      </c>
      <c r="M273">
        <v>0</v>
      </c>
      <c r="N273">
        <v>2400</v>
      </c>
    </row>
    <row r="274" spans="1:14" x14ac:dyDescent="0.25">
      <c r="A274">
        <v>56.162291000000003</v>
      </c>
      <c r="B274" s="1">
        <f>DATE(2010,6,26) + TIME(3,53,41)</f>
        <v>40355.162280092591</v>
      </c>
      <c r="C274">
        <v>80</v>
      </c>
      <c r="D274">
        <v>79.905700683999996</v>
      </c>
      <c r="E274">
        <v>50</v>
      </c>
      <c r="F274">
        <v>14.997906685</v>
      </c>
      <c r="G274">
        <v>1389.8349608999999</v>
      </c>
      <c r="H274">
        <v>1375.9866943</v>
      </c>
      <c r="I274">
        <v>1251.1578368999999</v>
      </c>
      <c r="J274">
        <v>1211.6878661999999</v>
      </c>
      <c r="K274">
        <v>2400</v>
      </c>
      <c r="L274">
        <v>0</v>
      </c>
      <c r="M274">
        <v>0</v>
      </c>
      <c r="N274">
        <v>2400</v>
      </c>
    </row>
    <row r="275" spans="1:14" x14ac:dyDescent="0.25">
      <c r="A275">
        <v>56.841112000000003</v>
      </c>
      <c r="B275" s="1">
        <f>DATE(2010,6,26) + TIME(20,11,12)</f>
        <v>40355.841111111113</v>
      </c>
      <c r="C275">
        <v>80</v>
      </c>
      <c r="D275">
        <v>79.905776978000006</v>
      </c>
      <c r="E275">
        <v>50</v>
      </c>
      <c r="F275">
        <v>14.997920990000001</v>
      </c>
      <c r="G275">
        <v>1389.7545166</v>
      </c>
      <c r="H275">
        <v>1375.9112548999999</v>
      </c>
      <c r="I275">
        <v>1251.1691894999999</v>
      </c>
      <c r="J275">
        <v>1211.6986084</v>
      </c>
      <c r="K275">
        <v>2400</v>
      </c>
      <c r="L275">
        <v>0</v>
      </c>
      <c r="M275">
        <v>0</v>
      </c>
      <c r="N275">
        <v>2400</v>
      </c>
    </row>
    <row r="276" spans="1:14" x14ac:dyDescent="0.25">
      <c r="A276">
        <v>57.525647999999997</v>
      </c>
      <c r="B276" s="1">
        <f>DATE(2010,6,27) + TIME(12,36,55)</f>
        <v>40356.525636574072</v>
      </c>
      <c r="C276">
        <v>80</v>
      </c>
      <c r="D276">
        <v>79.905860900999997</v>
      </c>
      <c r="E276">
        <v>50</v>
      </c>
      <c r="F276">
        <v>14.997936249</v>
      </c>
      <c r="G276">
        <v>1389.6743164</v>
      </c>
      <c r="H276">
        <v>1375.8361815999999</v>
      </c>
      <c r="I276">
        <v>1251.1806641000001</v>
      </c>
      <c r="J276">
        <v>1211.7094727000001</v>
      </c>
      <c r="K276">
        <v>2400</v>
      </c>
      <c r="L276">
        <v>0</v>
      </c>
      <c r="M276">
        <v>0</v>
      </c>
      <c r="N276">
        <v>2400</v>
      </c>
    </row>
    <row r="277" spans="1:14" x14ac:dyDescent="0.25">
      <c r="A277">
        <v>58.216962000000002</v>
      </c>
      <c r="B277" s="1">
        <f>DATE(2010,6,28) + TIME(5,12,25)</f>
        <v>40357.216956018521</v>
      </c>
      <c r="C277">
        <v>80</v>
      </c>
      <c r="D277">
        <v>79.905944824000002</v>
      </c>
      <c r="E277">
        <v>50</v>
      </c>
      <c r="F277">
        <v>14.997951508</v>
      </c>
      <c r="G277">
        <v>1389.5944824000001</v>
      </c>
      <c r="H277">
        <v>1375.7613524999999</v>
      </c>
      <c r="I277">
        <v>1251.1922606999999</v>
      </c>
      <c r="J277">
        <v>1211.7204589999999</v>
      </c>
      <c r="K277">
        <v>2400</v>
      </c>
      <c r="L277">
        <v>0</v>
      </c>
      <c r="M277">
        <v>0</v>
      </c>
      <c r="N277">
        <v>2400</v>
      </c>
    </row>
    <row r="278" spans="1:14" x14ac:dyDescent="0.25">
      <c r="A278">
        <v>58.916179999999997</v>
      </c>
      <c r="B278" s="1">
        <f>DATE(2010,6,28) + TIME(21,59,17)</f>
        <v>40357.916168981479</v>
      </c>
      <c r="C278">
        <v>80</v>
      </c>
      <c r="D278">
        <v>79.906021117999998</v>
      </c>
      <c r="E278">
        <v>50</v>
      </c>
      <c r="F278">
        <v>14.997965813</v>
      </c>
      <c r="G278">
        <v>1389.5146483999999</v>
      </c>
      <c r="H278">
        <v>1375.6866454999999</v>
      </c>
      <c r="I278">
        <v>1251.2041016000001</v>
      </c>
      <c r="J278">
        <v>1211.7316894999999</v>
      </c>
      <c r="K278">
        <v>2400</v>
      </c>
      <c r="L278">
        <v>0</v>
      </c>
      <c r="M278">
        <v>0</v>
      </c>
      <c r="N278">
        <v>2400</v>
      </c>
    </row>
    <row r="279" spans="1:14" x14ac:dyDescent="0.25">
      <c r="A279">
        <v>59.624738999999998</v>
      </c>
      <c r="B279" s="1">
        <f>DATE(2010,6,29) + TIME(14,59,37)</f>
        <v>40358.6247337963</v>
      </c>
      <c r="C279">
        <v>80</v>
      </c>
      <c r="D279">
        <v>79.906105041999993</v>
      </c>
      <c r="E279">
        <v>50</v>
      </c>
      <c r="F279">
        <v>14.997982025000001</v>
      </c>
      <c r="G279">
        <v>1389.4349365</v>
      </c>
      <c r="H279">
        <v>1375.6119385</v>
      </c>
      <c r="I279">
        <v>1251.2160644999999</v>
      </c>
      <c r="J279">
        <v>1211.7430420000001</v>
      </c>
      <c r="K279">
        <v>2400</v>
      </c>
      <c r="L279">
        <v>0</v>
      </c>
      <c r="M279">
        <v>0</v>
      </c>
      <c r="N279">
        <v>2400</v>
      </c>
    </row>
    <row r="280" spans="1:14" x14ac:dyDescent="0.25">
      <c r="A280">
        <v>60.343583000000002</v>
      </c>
      <c r="B280" s="1">
        <f>DATE(2010,6,30) + TIME(8,14,45)</f>
        <v>40359.343576388892</v>
      </c>
      <c r="C280">
        <v>80</v>
      </c>
      <c r="D280">
        <v>79.906196593999994</v>
      </c>
      <c r="E280">
        <v>50</v>
      </c>
      <c r="F280">
        <v>14.997997284</v>
      </c>
      <c r="G280">
        <v>1389.3549805</v>
      </c>
      <c r="H280">
        <v>1375.5372314000001</v>
      </c>
      <c r="I280">
        <v>1251.2283935999999</v>
      </c>
      <c r="J280">
        <v>1211.7546387</v>
      </c>
      <c r="K280">
        <v>2400</v>
      </c>
      <c r="L280">
        <v>0</v>
      </c>
      <c r="M280">
        <v>0</v>
      </c>
      <c r="N280">
        <v>2400</v>
      </c>
    </row>
    <row r="281" spans="1:14" x14ac:dyDescent="0.25">
      <c r="A281">
        <v>61</v>
      </c>
      <c r="B281" s="1">
        <f>DATE(2010,7,1) + TIME(0,0,0)</f>
        <v>40360</v>
      </c>
      <c r="C281">
        <v>80</v>
      </c>
      <c r="D281">
        <v>79.906265258999994</v>
      </c>
      <c r="E281">
        <v>50</v>
      </c>
      <c r="F281">
        <v>14.998011589000001</v>
      </c>
      <c r="G281">
        <v>1389.2747803</v>
      </c>
      <c r="H281">
        <v>1375.4620361</v>
      </c>
      <c r="I281">
        <v>1251.2407227000001</v>
      </c>
      <c r="J281">
        <v>1211.7664795000001</v>
      </c>
      <c r="K281">
        <v>2400</v>
      </c>
      <c r="L281">
        <v>0</v>
      </c>
      <c r="M281">
        <v>0</v>
      </c>
      <c r="N281">
        <v>2400</v>
      </c>
    </row>
    <row r="282" spans="1:14" x14ac:dyDescent="0.25">
      <c r="A282">
        <v>61.730350000000001</v>
      </c>
      <c r="B282" s="1">
        <f>DATE(2010,7,1) + TIME(17,31,42)</f>
        <v>40360.730347222219</v>
      </c>
      <c r="C282">
        <v>80</v>
      </c>
      <c r="D282">
        <v>79.906356811999999</v>
      </c>
      <c r="E282">
        <v>50</v>
      </c>
      <c r="F282">
        <v>14.998026848</v>
      </c>
      <c r="G282">
        <v>1389.2023925999999</v>
      </c>
      <c r="H282">
        <v>1375.3942870999999</v>
      </c>
      <c r="I282">
        <v>1251.2523193</v>
      </c>
      <c r="J282">
        <v>1211.7773437999999</v>
      </c>
      <c r="K282">
        <v>2400</v>
      </c>
      <c r="L282">
        <v>0</v>
      </c>
      <c r="M282">
        <v>0</v>
      </c>
      <c r="N282">
        <v>2400</v>
      </c>
    </row>
    <row r="283" spans="1:14" x14ac:dyDescent="0.25">
      <c r="A283">
        <v>62.485424000000002</v>
      </c>
      <c r="B283" s="1">
        <f>DATE(2010,7,2) + TIME(11,39,0)</f>
        <v>40361.48541666667</v>
      </c>
      <c r="C283">
        <v>80</v>
      </c>
      <c r="D283">
        <v>79.906448363999999</v>
      </c>
      <c r="E283">
        <v>50</v>
      </c>
      <c r="F283">
        <v>14.998042107</v>
      </c>
      <c r="G283">
        <v>1389.1228027</v>
      </c>
      <c r="H283">
        <v>1375.3197021000001</v>
      </c>
      <c r="I283">
        <v>1251.2651367000001</v>
      </c>
      <c r="J283">
        <v>1211.7895507999999</v>
      </c>
      <c r="K283">
        <v>2400</v>
      </c>
      <c r="L283">
        <v>0</v>
      </c>
      <c r="M283">
        <v>0</v>
      </c>
      <c r="N283">
        <v>2400</v>
      </c>
    </row>
    <row r="284" spans="1:14" x14ac:dyDescent="0.25">
      <c r="A284">
        <v>62.864373999999998</v>
      </c>
      <c r="B284" s="1">
        <f>DATE(2010,7,2) + TIME(20,44,41)</f>
        <v>40361.864363425928</v>
      </c>
      <c r="C284">
        <v>80</v>
      </c>
      <c r="D284">
        <v>79.906478882000002</v>
      </c>
      <c r="E284">
        <v>50</v>
      </c>
      <c r="F284">
        <v>14.998052596999999</v>
      </c>
      <c r="G284">
        <v>1389.0408935999999</v>
      </c>
      <c r="H284">
        <v>1375.2430420000001</v>
      </c>
      <c r="I284">
        <v>1251.2779541</v>
      </c>
      <c r="J284">
        <v>1211.8016356999999</v>
      </c>
      <c r="K284">
        <v>2400</v>
      </c>
      <c r="L284">
        <v>0</v>
      </c>
      <c r="M284">
        <v>0</v>
      </c>
      <c r="N284">
        <v>2400</v>
      </c>
    </row>
    <row r="285" spans="1:14" x14ac:dyDescent="0.25">
      <c r="A285">
        <v>63.243324000000001</v>
      </c>
      <c r="B285" s="1">
        <f>DATE(2010,7,3) + TIME(5,50,23)</f>
        <v>40362.243321759262</v>
      </c>
      <c r="C285">
        <v>80</v>
      </c>
      <c r="D285">
        <v>79.906524657999995</v>
      </c>
      <c r="E285">
        <v>50</v>
      </c>
      <c r="F285">
        <v>14.998062134</v>
      </c>
      <c r="G285">
        <v>1388.9996338000001</v>
      </c>
      <c r="H285">
        <v>1375.2043457</v>
      </c>
      <c r="I285">
        <v>1251.2849120999999</v>
      </c>
      <c r="J285">
        <v>1211.8082274999999</v>
      </c>
      <c r="K285">
        <v>2400</v>
      </c>
      <c r="L285">
        <v>0</v>
      </c>
      <c r="M285">
        <v>0</v>
      </c>
      <c r="N285">
        <v>2400</v>
      </c>
    </row>
    <row r="286" spans="1:14" x14ac:dyDescent="0.25">
      <c r="A286">
        <v>63.622273999999997</v>
      </c>
      <c r="B286" s="1">
        <f>DATE(2010,7,3) + TIME(14,56,4)</f>
        <v>40362.62226851852</v>
      </c>
      <c r="C286">
        <v>80</v>
      </c>
      <c r="D286">
        <v>79.906562804999993</v>
      </c>
      <c r="E286">
        <v>50</v>
      </c>
      <c r="F286">
        <v>14.998071671</v>
      </c>
      <c r="G286">
        <v>1388.9592285000001</v>
      </c>
      <c r="H286">
        <v>1375.166626</v>
      </c>
      <c r="I286">
        <v>1251.291626</v>
      </c>
      <c r="J286">
        <v>1211.8145752</v>
      </c>
      <c r="K286">
        <v>2400</v>
      </c>
      <c r="L286">
        <v>0</v>
      </c>
      <c r="M286">
        <v>0</v>
      </c>
      <c r="N286">
        <v>2400</v>
      </c>
    </row>
    <row r="287" spans="1:14" x14ac:dyDescent="0.25">
      <c r="A287">
        <v>64.001222999999996</v>
      </c>
      <c r="B287" s="1">
        <f>DATE(2010,7,4) + TIME(0,1,45)</f>
        <v>40363.001215277778</v>
      </c>
      <c r="C287">
        <v>80</v>
      </c>
      <c r="D287">
        <v>79.906608582000004</v>
      </c>
      <c r="E287">
        <v>50</v>
      </c>
      <c r="F287">
        <v>14.998080254</v>
      </c>
      <c r="G287">
        <v>1388.9190673999999</v>
      </c>
      <c r="H287">
        <v>1375.1290283000001</v>
      </c>
      <c r="I287">
        <v>1251.2984618999999</v>
      </c>
      <c r="J287">
        <v>1211.8210449000001</v>
      </c>
      <c r="K287">
        <v>2400</v>
      </c>
      <c r="L287">
        <v>0</v>
      </c>
      <c r="M287">
        <v>0</v>
      </c>
      <c r="N287">
        <v>2400</v>
      </c>
    </row>
    <row r="288" spans="1:14" x14ac:dyDescent="0.25">
      <c r="A288">
        <v>64.380172999999999</v>
      </c>
      <c r="B288" s="1">
        <f>DATE(2010,7,4) + TIME(9,7,26)</f>
        <v>40363.380162037036</v>
      </c>
      <c r="C288">
        <v>80</v>
      </c>
      <c r="D288">
        <v>79.906654357999997</v>
      </c>
      <c r="E288">
        <v>50</v>
      </c>
      <c r="F288">
        <v>14.998087883</v>
      </c>
      <c r="G288">
        <v>1388.8791504000001</v>
      </c>
      <c r="H288">
        <v>1375.0916748</v>
      </c>
      <c r="I288">
        <v>1251.3051757999999</v>
      </c>
      <c r="J288">
        <v>1211.8275146000001</v>
      </c>
      <c r="K288">
        <v>2400</v>
      </c>
      <c r="L288">
        <v>0</v>
      </c>
      <c r="M288">
        <v>0</v>
      </c>
      <c r="N288">
        <v>2400</v>
      </c>
    </row>
    <row r="289" spans="1:14" x14ac:dyDescent="0.25">
      <c r="A289">
        <v>64.759123000000002</v>
      </c>
      <c r="B289" s="1">
        <f>DATE(2010,7,4) + TIME(18,13,8)</f>
        <v>40363.759120370371</v>
      </c>
      <c r="C289">
        <v>80</v>
      </c>
      <c r="D289">
        <v>79.906700134000005</v>
      </c>
      <c r="E289">
        <v>50</v>
      </c>
      <c r="F289">
        <v>14.998096466</v>
      </c>
      <c r="G289">
        <v>1388.8394774999999</v>
      </c>
      <c r="H289">
        <v>1375.0544434000001</v>
      </c>
      <c r="I289">
        <v>1251.3120117000001</v>
      </c>
      <c r="J289">
        <v>1211.8339844</v>
      </c>
      <c r="K289">
        <v>2400</v>
      </c>
      <c r="L289">
        <v>0</v>
      </c>
      <c r="M289">
        <v>0</v>
      </c>
      <c r="N289">
        <v>2400</v>
      </c>
    </row>
    <row r="290" spans="1:14" x14ac:dyDescent="0.25">
      <c r="A290">
        <v>65.138071999999994</v>
      </c>
      <c r="B290" s="1">
        <f>DATE(2010,7,5) + TIME(3,18,49)</f>
        <v>40364.138067129628</v>
      </c>
      <c r="C290">
        <v>80</v>
      </c>
      <c r="D290">
        <v>79.906745911000002</v>
      </c>
      <c r="E290">
        <v>50</v>
      </c>
      <c r="F290">
        <v>14.998104095</v>
      </c>
      <c r="G290">
        <v>1388.8000488</v>
      </c>
      <c r="H290">
        <v>1375.0175781</v>
      </c>
      <c r="I290">
        <v>1251.3189697</v>
      </c>
      <c r="J290">
        <v>1211.8404541</v>
      </c>
      <c r="K290">
        <v>2400</v>
      </c>
      <c r="L290">
        <v>0</v>
      </c>
      <c r="M290">
        <v>0</v>
      </c>
      <c r="N290">
        <v>2400</v>
      </c>
    </row>
    <row r="291" spans="1:14" x14ac:dyDescent="0.25">
      <c r="A291">
        <v>65.895972</v>
      </c>
      <c r="B291" s="1">
        <f>DATE(2010,7,5) + TIME(21,30,11)</f>
        <v>40364.895960648151</v>
      </c>
      <c r="C291">
        <v>80</v>
      </c>
      <c r="D291">
        <v>79.906845093000001</v>
      </c>
      <c r="E291">
        <v>50</v>
      </c>
      <c r="F291">
        <v>14.998116492999999</v>
      </c>
      <c r="G291">
        <v>1388.7614745999999</v>
      </c>
      <c r="H291">
        <v>1374.9815673999999</v>
      </c>
      <c r="I291">
        <v>1251.3261719</v>
      </c>
      <c r="J291">
        <v>1211.8472899999999</v>
      </c>
      <c r="K291">
        <v>2400</v>
      </c>
      <c r="L291">
        <v>0</v>
      </c>
      <c r="M291">
        <v>0</v>
      </c>
      <c r="N291">
        <v>2400</v>
      </c>
    </row>
    <row r="292" spans="1:14" x14ac:dyDescent="0.25">
      <c r="A292">
        <v>66.654499999999999</v>
      </c>
      <c r="B292" s="1">
        <f>DATE(2010,7,6) + TIME(15,42,28)</f>
        <v>40365.654490740744</v>
      </c>
      <c r="C292">
        <v>80</v>
      </c>
      <c r="D292">
        <v>79.906936646000005</v>
      </c>
      <c r="E292">
        <v>50</v>
      </c>
      <c r="F292">
        <v>14.998129844999999</v>
      </c>
      <c r="G292">
        <v>1388.684082</v>
      </c>
      <c r="H292">
        <v>1374.9091797000001</v>
      </c>
      <c r="I292">
        <v>1251.3399658000001</v>
      </c>
      <c r="J292">
        <v>1211.8603516000001</v>
      </c>
      <c r="K292">
        <v>2400</v>
      </c>
      <c r="L292">
        <v>0</v>
      </c>
      <c r="M292">
        <v>0</v>
      </c>
      <c r="N292">
        <v>2400</v>
      </c>
    </row>
    <row r="293" spans="1:14" x14ac:dyDescent="0.25">
      <c r="A293">
        <v>67.417918999999998</v>
      </c>
      <c r="B293" s="1">
        <f>DATE(2010,7,7) + TIME(10,1,48)</f>
        <v>40366.417916666665</v>
      </c>
      <c r="C293">
        <v>80</v>
      </c>
      <c r="D293">
        <v>79.907028198000006</v>
      </c>
      <c r="E293">
        <v>50</v>
      </c>
      <c r="F293">
        <v>14.998143195999999</v>
      </c>
      <c r="G293">
        <v>1388.6070557</v>
      </c>
      <c r="H293">
        <v>1374.8371582</v>
      </c>
      <c r="I293">
        <v>1251.3537598</v>
      </c>
      <c r="J293">
        <v>1211.8734131000001</v>
      </c>
      <c r="K293">
        <v>2400</v>
      </c>
      <c r="L293">
        <v>0</v>
      </c>
      <c r="M293">
        <v>0</v>
      </c>
      <c r="N293">
        <v>2400</v>
      </c>
    </row>
    <row r="294" spans="1:14" x14ac:dyDescent="0.25">
      <c r="A294">
        <v>68.187368000000006</v>
      </c>
      <c r="B294" s="1">
        <f>DATE(2010,7,8) + TIME(4,29,48)</f>
        <v>40367.187361111108</v>
      </c>
      <c r="C294">
        <v>80</v>
      </c>
      <c r="D294">
        <v>79.907119750999996</v>
      </c>
      <c r="E294">
        <v>50</v>
      </c>
      <c r="F294">
        <v>14.998158455</v>
      </c>
      <c r="G294">
        <v>1388.5303954999999</v>
      </c>
      <c r="H294">
        <v>1374.7653809000001</v>
      </c>
      <c r="I294">
        <v>1251.3677978999999</v>
      </c>
      <c r="J294">
        <v>1211.8867187999999</v>
      </c>
      <c r="K294">
        <v>2400</v>
      </c>
      <c r="L294">
        <v>0</v>
      </c>
      <c r="M294">
        <v>0</v>
      </c>
      <c r="N294">
        <v>2400</v>
      </c>
    </row>
    <row r="295" spans="1:14" x14ac:dyDescent="0.25">
      <c r="A295">
        <v>68.964049000000003</v>
      </c>
      <c r="B295" s="1">
        <f>DATE(2010,7,8) + TIME(23,8,13)</f>
        <v>40367.964039351849</v>
      </c>
      <c r="C295">
        <v>80</v>
      </c>
      <c r="D295">
        <v>79.907211304</v>
      </c>
      <c r="E295">
        <v>50</v>
      </c>
      <c r="F295">
        <v>14.998172759999999</v>
      </c>
      <c r="G295">
        <v>1388.4538574000001</v>
      </c>
      <c r="H295">
        <v>1374.6939697</v>
      </c>
      <c r="I295">
        <v>1251.3820800999999</v>
      </c>
      <c r="J295">
        <v>1211.9001464999999</v>
      </c>
      <c r="K295">
        <v>2400</v>
      </c>
      <c r="L295">
        <v>0</v>
      </c>
      <c r="M295">
        <v>0</v>
      </c>
      <c r="N295">
        <v>2400</v>
      </c>
    </row>
    <row r="296" spans="1:14" x14ac:dyDescent="0.25">
      <c r="A296">
        <v>69.749245999999999</v>
      </c>
      <c r="B296" s="1">
        <f>DATE(2010,7,9) + TIME(17,58,54)</f>
        <v>40368.749236111114</v>
      </c>
      <c r="C296">
        <v>80</v>
      </c>
      <c r="D296">
        <v>79.907302856000001</v>
      </c>
      <c r="E296">
        <v>50</v>
      </c>
      <c r="F296">
        <v>14.998188019000001</v>
      </c>
      <c r="G296">
        <v>1388.3775635</v>
      </c>
      <c r="H296">
        <v>1374.6225586</v>
      </c>
      <c r="I296">
        <v>1251.3966064000001</v>
      </c>
      <c r="J296">
        <v>1211.9138184000001</v>
      </c>
      <c r="K296">
        <v>2400</v>
      </c>
      <c r="L296">
        <v>0</v>
      </c>
      <c r="M296">
        <v>0</v>
      </c>
      <c r="N296">
        <v>2400</v>
      </c>
    </row>
    <row r="297" spans="1:14" x14ac:dyDescent="0.25">
      <c r="A297">
        <v>70.544562999999997</v>
      </c>
      <c r="B297" s="1">
        <f>DATE(2010,7,10) + TIME(13,4,10)</f>
        <v>40369.544560185182</v>
      </c>
      <c r="C297">
        <v>80</v>
      </c>
      <c r="D297">
        <v>79.907402039000004</v>
      </c>
      <c r="E297">
        <v>50</v>
      </c>
      <c r="F297">
        <v>14.998203278</v>
      </c>
      <c r="G297">
        <v>1388.3011475000001</v>
      </c>
      <c r="H297">
        <v>1374.5511475000001</v>
      </c>
      <c r="I297">
        <v>1251.4113769999999</v>
      </c>
      <c r="J297">
        <v>1211.9277344</v>
      </c>
      <c r="K297">
        <v>2400</v>
      </c>
      <c r="L297">
        <v>0</v>
      </c>
      <c r="M297">
        <v>0</v>
      </c>
      <c r="N297">
        <v>2400</v>
      </c>
    </row>
    <row r="298" spans="1:14" x14ac:dyDescent="0.25">
      <c r="A298">
        <v>71.351077000000004</v>
      </c>
      <c r="B298" s="1">
        <f>DATE(2010,7,11) + TIME(8,25,33)</f>
        <v>40370.351076388892</v>
      </c>
      <c r="C298">
        <v>80</v>
      </c>
      <c r="D298">
        <v>79.907501221000004</v>
      </c>
      <c r="E298">
        <v>50</v>
      </c>
      <c r="F298">
        <v>14.998217583000001</v>
      </c>
      <c r="G298">
        <v>1388.2246094</v>
      </c>
      <c r="H298">
        <v>1374.4794922000001</v>
      </c>
      <c r="I298">
        <v>1251.4263916</v>
      </c>
      <c r="J298">
        <v>1211.9418945</v>
      </c>
      <c r="K298">
        <v>2400</v>
      </c>
      <c r="L298">
        <v>0</v>
      </c>
      <c r="M298">
        <v>0</v>
      </c>
      <c r="N298">
        <v>2400</v>
      </c>
    </row>
    <row r="299" spans="1:14" x14ac:dyDescent="0.25">
      <c r="A299">
        <v>72.170205999999993</v>
      </c>
      <c r="B299" s="1">
        <f>DATE(2010,7,12) + TIME(4,5,5)</f>
        <v>40371.17019675926</v>
      </c>
      <c r="C299">
        <v>80</v>
      </c>
      <c r="D299">
        <v>79.907592773000005</v>
      </c>
      <c r="E299">
        <v>50</v>
      </c>
      <c r="F299">
        <v>14.998232841</v>
      </c>
      <c r="G299">
        <v>1388.1477050999999</v>
      </c>
      <c r="H299">
        <v>1374.4077147999999</v>
      </c>
      <c r="I299">
        <v>1251.4417725000001</v>
      </c>
      <c r="J299">
        <v>1211.9562988</v>
      </c>
      <c r="K299">
        <v>2400</v>
      </c>
      <c r="L299">
        <v>0</v>
      </c>
      <c r="M299">
        <v>0</v>
      </c>
      <c r="N299">
        <v>2400</v>
      </c>
    </row>
    <row r="300" spans="1:14" x14ac:dyDescent="0.25">
      <c r="A300">
        <v>72.997493000000006</v>
      </c>
      <c r="B300" s="1">
        <f>DATE(2010,7,12) + TIME(23,56,23)</f>
        <v>40371.997488425928</v>
      </c>
      <c r="C300">
        <v>80</v>
      </c>
      <c r="D300">
        <v>79.907691955999994</v>
      </c>
      <c r="E300">
        <v>50</v>
      </c>
      <c r="F300">
        <v>14.9982481</v>
      </c>
      <c r="G300">
        <v>1388.0705565999999</v>
      </c>
      <c r="H300">
        <v>1374.3355713000001</v>
      </c>
      <c r="I300">
        <v>1251.4573975000001</v>
      </c>
      <c r="J300">
        <v>1211.9710693</v>
      </c>
      <c r="K300">
        <v>2400</v>
      </c>
      <c r="L300">
        <v>0</v>
      </c>
      <c r="M300">
        <v>0</v>
      </c>
      <c r="N300">
        <v>2400</v>
      </c>
    </row>
    <row r="301" spans="1:14" x14ac:dyDescent="0.25">
      <c r="A301">
        <v>73.829616999999999</v>
      </c>
      <c r="B301" s="1">
        <f>DATE(2010,7,13) + TIME(19,54,38)</f>
        <v>40372.829606481479</v>
      </c>
      <c r="C301">
        <v>80</v>
      </c>
      <c r="D301">
        <v>79.907791137999993</v>
      </c>
      <c r="E301">
        <v>50</v>
      </c>
      <c r="F301">
        <v>14.998264313</v>
      </c>
      <c r="G301">
        <v>1387.9934082</v>
      </c>
      <c r="H301">
        <v>1374.2634277</v>
      </c>
      <c r="I301">
        <v>1251.4733887</v>
      </c>
      <c r="J301">
        <v>1211.9860839999999</v>
      </c>
      <c r="K301">
        <v>2400</v>
      </c>
      <c r="L301">
        <v>0</v>
      </c>
      <c r="M301">
        <v>0</v>
      </c>
      <c r="N301">
        <v>2400</v>
      </c>
    </row>
    <row r="302" spans="1:14" x14ac:dyDescent="0.25">
      <c r="A302">
        <v>74.667287999999999</v>
      </c>
      <c r="B302" s="1">
        <f>DATE(2010,7,14) + TIME(16,0,53)</f>
        <v>40373.667280092595</v>
      </c>
      <c r="C302">
        <v>80</v>
      </c>
      <c r="D302">
        <v>79.907890320000007</v>
      </c>
      <c r="E302">
        <v>50</v>
      </c>
      <c r="F302">
        <v>14.998279572</v>
      </c>
      <c r="G302">
        <v>1387.916626</v>
      </c>
      <c r="H302">
        <v>1374.1916504000001</v>
      </c>
      <c r="I302">
        <v>1251.4895019999999</v>
      </c>
      <c r="J302">
        <v>1212.0013428</v>
      </c>
      <c r="K302">
        <v>2400</v>
      </c>
      <c r="L302">
        <v>0</v>
      </c>
      <c r="M302">
        <v>0</v>
      </c>
      <c r="N302">
        <v>2400</v>
      </c>
    </row>
    <row r="303" spans="1:14" x14ac:dyDescent="0.25">
      <c r="A303">
        <v>75.504966999999994</v>
      </c>
      <c r="B303" s="1">
        <f>DATE(2010,7,15) + TIME(12,7,9)</f>
        <v>40374.504965277774</v>
      </c>
      <c r="C303">
        <v>80</v>
      </c>
      <c r="D303">
        <v>79.907989502000007</v>
      </c>
      <c r="E303">
        <v>50</v>
      </c>
      <c r="F303">
        <v>14.998294830000001</v>
      </c>
      <c r="G303">
        <v>1387.8400879000001</v>
      </c>
      <c r="H303">
        <v>1374.1202393000001</v>
      </c>
      <c r="I303">
        <v>1251.5059814000001</v>
      </c>
      <c r="J303">
        <v>1212.0167236</v>
      </c>
      <c r="K303">
        <v>2400</v>
      </c>
      <c r="L303">
        <v>0</v>
      </c>
      <c r="M303">
        <v>0</v>
      </c>
      <c r="N303">
        <v>2400</v>
      </c>
    </row>
    <row r="304" spans="1:14" x14ac:dyDescent="0.25">
      <c r="A304">
        <v>76.343753000000007</v>
      </c>
      <c r="B304" s="1">
        <f>DATE(2010,7,16) + TIME(8,15,0)</f>
        <v>40375.34375</v>
      </c>
      <c r="C304">
        <v>80</v>
      </c>
      <c r="D304">
        <v>79.908088684000006</v>
      </c>
      <c r="E304">
        <v>50</v>
      </c>
      <c r="F304">
        <v>14.998310089</v>
      </c>
      <c r="G304">
        <v>1387.7644043</v>
      </c>
      <c r="H304">
        <v>1374.0494385</v>
      </c>
      <c r="I304">
        <v>1251.5224608999999</v>
      </c>
      <c r="J304">
        <v>1212.0323486</v>
      </c>
      <c r="K304">
        <v>2400</v>
      </c>
      <c r="L304">
        <v>0</v>
      </c>
      <c r="M304">
        <v>0</v>
      </c>
      <c r="N304">
        <v>2400</v>
      </c>
    </row>
    <row r="305" spans="1:14" x14ac:dyDescent="0.25">
      <c r="A305">
        <v>77.185022000000004</v>
      </c>
      <c r="B305" s="1">
        <f>DATE(2010,7,17) + TIME(4,26,25)</f>
        <v>40376.185011574074</v>
      </c>
      <c r="C305">
        <v>80</v>
      </c>
      <c r="D305">
        <v>79.908195496000005</v>
      </c>
      <c r="E305">
        <v>50</v>
      </c>
      <c r="F305">
        <v>14.998324394000001</v>
      </c>
      <c r="G305">
        <v>1387.6893310999999</v>
      </c>
      <c r="H305">
        <v>1373.9792480000001</v>
      </c>
      <c r="I305">
        <v>1251.5391846</v>
      </c>
      <c r="J305">
        <v>1212.0479736</v>
      </c>
      <c r="K305">
        <v>2400</v>
      </c>
      <c r="L305">
        <v>0</v>
      </c>
      <c r="M305">
        <v>0</v>
      </c>
      <c r="N305">
        <v>2400</v>
      </c>
    </row>
    <row r="306" spans="1:14" x14ac:dyDescent="0.25">
      <c r="A306">
        <v>78.030129000000002</v>
      </c>
      <c r="B306" s="1">
        <f>DATE(2010,7,18) + TIME(0,43,23)</f>
        <v>40377.030127314814</v>
      </c>
      <c r="C306">
        <v>80</v>
      </c>
      <c r="D306">
        <v>79.908294678000004</v>
      </c>
      <c r="E306">
        <v>50</v>
      </c>
      <c r="F306">
        <v>14.998339653</v>
      </c>
      <c r="G306">
        <v>1387.6148682</v>
      </c>
      <c r="H306">
        <v>1373.909668</v>
      </c>
      <c r="I306">
        <v>1251.5560303</v>
      </c>
      <c r="J306">
        <v>1212.0638428</v>
      </c>
      <c r="K306">
        <v>2400</v>
      </c>
      <c r="L306">
        <v>0</v>
      </c>
      <c r="M306">
        <v>0</v>
      </c>
      <c r="N306">
        <v>2400</v>
      </c>
    </row>
    <row r="307" spans="1:14" x14ac:dyDescent="0.25">
      <c r="A307">
        <v>78.880430000000004</v>
      </c>
      <c r="B307" s="1">
        <f>DATE(2010,7,18) + TIME(21,7,49)</f>
        <v>40377.880428240744</v>
      </c>
      <c r="C307">
        <v>80</v>
      </c>
      <c r="D307">
        <v>79.908393860000004</v>
      </c>
      <c r="E307">
        <v>50</v>
      </c>
      <c r="F307">
        <v>14.998354912</v>
      </c>
      <c r="G307">
        <v>1387.5407714999999</v>
      </c>
      <c r="H307">
        <v>1373.8404541</v>
      </c>
      <c r="I307">
        <v>1251.5731201000001</v>
      </c>
      <c r="J307">
        <v>1212.0798339999999</v>
      </c>
      <c r="K307">
        <v>2400</v>
      </c>
      <c r="L307">
        <v>0</v>
      </c>
      <c r="M307">
        <v>0</v>
      </c>
      <c r="N307">
        <v>2400</v>
      </c>
    </row>
    <row r="308" spans="1:14" x14ac:dyDescent="0.25">
      <c r="A308">
        <v>79.737279000000001</v>
      </c>
      <c r="B308" s="1">
        <f>DATE(2010,7,19) + TIME(17,41,40)</f>
        <v>40378.737268518518</v>
      </c>
      <c r="C308">
        <v>80</v>
      </c>
      <c r="D308">
        <v>79.908493042000003</v>
      </c>
      <c r="E308">
        <v>50</v>
      </c>
      <c r="F308">
        <v>14.998370170999999</v>
      </c>
      <c r="G308">
        <v>1387.4669189000001</v>
      </c>
      <c r="H308">
        <v>1373.7714844</v>
      </c>
      <c r="I308">
        <v>1251.5904541</v>
      </c>
      <c r="J308">
        <v>1212.0960693</v>
      </c>
      <c r="K308">
        <v>2400</v>
      </c>
      <c r="L308">
        <v>0</v>
      </c>
      <c r="M308">
        <v>0</v>
      </c>
      <c r="N308">
        <v>2400</v>
      </c>
    </row>
    <row r="309" spans="1:14" x14ac:dyDescent="0.25">
      <c r="A309">
        <v>80.602044000000006</v>
      </c>
      <c r="B309" s="1">
        <f>DATE(2010,7,20) + TIME(14,26,56)</f>
        <v>40379.602037037039</v>
      </c>
      <c r="C309">
        <v>80</v>
      </c>
      <c r="D309">
        <v>79.908599854000002</v>
      </c>
      <c r="E309">
        <v>50</v>
      </c>
      <c r="F309">
        <v>14.998385429000001</v>
      </c>
      <c r="G309">
        <v>1387.3933105000001</v>
      </c>
      <c r="H309">
        <v>1373.7026367000001</v>
      </c>
      <c r="I309">
        <v>1251.6080322</v>
      </c>
      <c r="J309">
        <v>1212.1125488</v>
      </c>
      <c r="K309">
        <v>2400</v>
      </c>
      <c r="L309">
        <v>0</v>
      </c>
      <c r="M309">
        <v>0</v>
      </c>
      <c r="N309">
        <v>2400</v>
      </c>
    </row>
    <row r="310" spans="1:14" x14ac:dyDescent="0.25">
      <c r="A310">
        <v>81.475921</v>
      </c>
      <c r="B310" s="1">
        <f>DATE(2010,7,21) + TIME(11,25,19)</f>
        <v>40380.475914351853</v>
      </c>
      <c r="C310">
        <v>80</v>
      </c>
      <c r="D310">
        <v>79.908706664999997</v>
      </c>
      <c r="E310">
        <v>50</v>
      </c>
      <c r="F310">
        <v>14.998399733999999</v>
      </c>
      <c r="G310">
        <v>1387.3197021000001</v>
      </c>
      <c r="H310">
        <v>1373.6339111</v>
      </c>
      <c r="I310">
        <v>1251.6258545000001</v>
      </c>
      <c r="J310">
        <v>1212.1292725000001</v>
      </c>
      <c r="K310">
        <v>2400</v>
      </c>
      <c r="L310">
        <v>0</v>
      </c>
      <c r="M310">
        <v>0</v>
      </c>
      <c r="N310">
        <v>2400</v>
      </c>
    </row>
    <row r="311" spans="1:14" x14ac:dyDescent="0.25">
      <c r="A311">
        <v>82.356819999999999</v>
      </c>
      <c r="B311" s="1">
        <f>DATE(2010,7,22) + TIME(8,33,49)</f>
        <v>40381.356817129628</v>
      </c>
      <c r="C311">
        <v>80</v>
      </c>
      <c r="D311">
        <v>79.908805846999996</v>
      </c>
      <c r="E311">
        <v>50</v>
      </c>
      <c r="F311">
        <v>14.998414993000001</v>
      </c>
      <c r="G311">
        <v>1387.2460937999999</v>
      </c>
      <c r="H311">
        <v>1373.5650635</v>
      </c>
      <c r="I311">
        <v>1251.644043</v>
      </c>
      <c r="J311">
        <v>1212.1463623</v>
      </c>
      <c r="K311">
        <v>2400</v>
      </c>
      <c r="L311">
        <v>0</v>
      </c>
      <c r="M311">
        <v>0</v>
      </c>
      <c r="N311">
        <v>2400</v>
      </c>
    </row>
    <row r="312" spans="1:14" x14ac:dyDescent="0.25">
      <c r="A312">
        <v>83.240275999999994</v>
      </c>
      <c r="B312" s="1">
        <f>DATE(2010,7,23) + TIME(5,45,59)</f>
        <v>40382.240266203706</v>
      </c>
      <c r="C312">
        <v>80</v>
      </c>
      <c r="D312">
        <v>79.908912658999995</v>
      </c>
      <c r="E312">
        <v>50</v>
      </c>
      <c r="F312">
        <v>14.998430252</v>
      </c>
      <c r="G312">
        <v>1387.1726074000001</v>
      </c>
      <c r="H312">
        <v>1373.4964600000001</v>
      </c>
      <c r="I312">
        <v>1251.6625977000001</v>
      </c>
      <c r="J312">
        <v>1212.1636963000001</v>
      </c>
      <c r="K312">
        <v>2400</v>
      </c>
      <c r="L312">
        <v>0</v>
      </c>
      <c r="M312">
        <v>0</v>
      </c>
      <c r="N312">
        <v>2400</v>
      </c>
    </row>
    <row r="313" spans="1:14" x14ac:dyDescent="0.25">
      <c r="A313">
        <v>84.126661999999996</v>
      </c>
      <c r="B313" s="1">
        <f>DATE(2010,7,24) + TIME(3,2,23)</f>
        <v>40383.126655092594</v>
      </c>
      <c r="C313">
        <v>80</v>
      </c>
      <c r="D313">
        <v>79.909019470000004</v>
      </c>
      <c r="E313">
        <v>50</v>
      </c>
      <c r="F313">
        <v>14.998445511</v>
      </c>
      <c r="G313">
        <v>1387.0996094</v>
      </c>
      <c r="H313">
        <v>1373.4282227000001</v>
      </c>
      <c r="I313">
        <v>1251.6812743999999</v>
      </c>
      <c r="J313">
        <v>1212.1812743999999</v>
      </c>
      <c r="K313">
        <v>2400</v>
      </c>
      <c r="L313">
        <v>0</v>
      </c>
      <c r="M313">
        <v>0</v>
      </c>
      <c r="N313">
        <v>2400</v>
      </c>
    </row>
    <row r="314" spans="1:14" x14ac:dyDescent="0.25">
      <c r="A314">
        <v>85.017454999999998</v>
      </c>
      <c r="B314" s="1">
        <f>DATE(2010,7,25) + TIME(0,25,8)</f>
        <v>40384.017453703702</v>
      </c>
      <c r="C314">
        <v>80</v>
      </c>
      <c r="D314">
        <v>79.909126282000003</v>
      </c>
      <c r="E314">
        <v>50</v>
      </c>
      <c r="F314">
        <v>14.998460769999999</v>
      </c>
      <c r="G314">
        <v>1387.0270995999999</v>
      </c>
      <c r="H314">
        <v>1373.3604736</v>
      </c>
      <c r="I314">
        <v>1251.7003173999999</v>
      </c>
      <c r="J314">
        <v>1212.1989745999999</v>
      </c>
      <c r="K314">
        <v>2400</v>
      </c>
      <c r="L314">
        <v>0</v>
      </c>
      <c r="M314">
        <v>0</v>
      </c>
      <c r="N314">
        <v>2400</v>
      </c>
    </row>
    <row r="315" spans="1:14" x14ac:dyDescent="0.25">
      <c r="A315">
        <v>85.914119999999997</v>
      </c>
      <c r="B315" s="1">
        <f>DATE(2010,7,25) + TIME(21,56,19)</f>
        <v>40384.9141087963</v>
      </c>
      <c r="C315">
        <v>80</v>
      </c>
      <c r="D315">
        <v>79.909233092999997</v>
      </c>
      <c r="E315">
        <v>50</v>
      </c>
      <c r="F315">
        <v>14.998476028000001</v>
      </c>
      <c r="G315">
        <v>1386.9549560999999</v>
      </c>
      <c r="H315">
        <v>1373.2929687999999</v>
      </c>
      <c r="I315">
        <v>1251.7194824000001</v>
      </c>
      <c r="J315">
        <v>1212.2169189000001</v>
      </c>
      <c r="K315">
        <v>2400</v>
      </c>
      <c r="L315">
        <v>0</v>
      </c>
      <c r="M315">
        <v>0</v>
      </c>
      <c r="N315">
        <v>2400</v>
      </c>
    </row>
    <row r="316" spans="1:14" x14ac:dyDescent="0.25">
      <c r="A316">
        <v>86.818143000000006</v>
      </c>
      <c r="B316" s="1">
        <f>DATE(2010,7,26) + TIME(19,38,7)</f>
        <v>40385.818136574075</v>
      </c>
      <c r="C316">
        <v>80</v>
      </c>
      <c r="D316">
        <v>79.909339904999996</v>
      </c>
      <c r="E316">
        <v>50</v>
      </c>
      <c r="F316">
        <v>14.998491287</v>
      </c>
      <c r="G316">
        <v>1386.8829346</v>
      </c>
      <c r="H316">
        <v>1373.2258300999999</v>
      </c>
      <c r="I316">
        <v>1251.7390137</v>
      </c>
      <c r="J316">
        <v>1212.2351074000001</v>
      </c>
      <c r="K316">
        <v>2400</v>
      </c>
      <c r="L316">
        <v>0</v>
      </c>
      <c r="M316">
        <v>0</v>
      </c>
      <c r="N316">
        <v>2400</v>
      </c>
    </row>
    <row r="317" spans="1:14" x14ac:dyDescent="0.25">
      <c r="A317">
        <v>87.731069000000005</v>
      </c>
      <c r="B317" s="1">
        <f>DATE(2010,7,27) + TIME(17,32,44)</f>
        <v>40386.731064814812</v>
      </c>
      <c r="C317">
        <v>80</v>
      </c>
      <c r="D317">
        <v>79.909446716000005</v>
      </c>
      <c r="E317">
        <v>50</v>
      </c>
      <c r="F317">
        <v>14.998507500000001</v>
      </c>
      <c r="G317">
        <v>1386.8111572</v>
      </c>
      <c r="H317">
        <v>1373.1585693</v>
      </c>
      <c r="I317">
        <v>1251.7589111</v>
      </c>
      <c r="J317">
        <v>1212.2536620999999</v>
      </c>
      <c r="K317">
        <v>2400</v>
      </c>
      <c r="L317">
        <v>0</v>
      </c>
      <c r="M317">
        <v>0</v>
      </c>
      <c r="N317">
        <v>2400</v>
      </c>
    </row>
    <row r="318" spans="1:14" x14ac:dyDescent="0.25">
      <c r="A318">
        <v>88.649680000000004</v>
      </c>
      <c r="B318" s="1">
        <f>DATE(2010,7,28) + TIME(15,35,32)</f>
        <v>40387.649675925924</v>
      </c>
      <c r="C318">
        <v>80</v>
      </c>
      <c r="D318">
        <v>79.909553528000004</v>
      </c>
      <c r="E318">
        <v>50</v>
      </c>
      <c r="F318">
        <v>14.998522758</v>
      </c>
      <c r="G318">
        <v>1386.7392577999999</v>
      </c>
      <c r="H318">
        <v>1373.0914307</v>
      </c>
      <c r="I318">
        <v>1251.7790527</v>
      </c>
      <c r="J318">
        <v>1212.2725829999999</v>
      </c>
      <c r="K318">
        <v>2400</v>
      </c>
      <c r="L318">
        <v>0</v>
      </c>
      <c r="M318">
        <v>0</v>
      </c>
      <c r="N318">
        <v>2400</v>
      </c>
    </row>
    <row r="319" spans="1:14" x14ac:dyDescent="0.25">
      <c r="A319">
        <v>89.572021000000007</v>
      </c>
      <c r="B319" s="1">
        <f>DATE(2010,7,29) + TIME(13,43,42)</f>
        <v>40388.572013888886</v>
      </c>
      <c r="C319">
        <v>80</v>
      </c>
      <c r="D319">
        <v>79.909667968999997</v>
      </c>
      <c r="E319">
        <v>50</v>
      </c>
      <c r="F319">
        <v>14.998538971</v>
      </c>
      <c r="G319">
        <v>1386.6676024999999</v>
      </c>
      <c r="H319">
        <v>1373.0244141000001</v>
      </c>
      <c r="I319">
        <v>1251.7995605000001</v>
      </c>
      <c r="J319">
        <v>1212.291626</v>
      </c>
      <c r="K319">
        <v>2400</v>
      </c>
      <c r="L319">
        <v>0</v>
      </c>
      <c r="M319">
        <v>0</v>
      </c>
      <c r="N319">
        <v>2400</v>
      </c>
    </row>
    <row r="320" spans="1:14" x14ac:dyDescent="0.25">
      <c r="A320">
        <v>90.499595999999997</v>
      </c>
      <c r="B320" s="1">
        <f>DATE(2010,7,30) + TIME(11,59,25)</f>
        <v>40389.499594907407</v>
      </c>
      <c r="C320">
        <v>80</v>
      </c>
      <c r="D320">
        <v>79.909774780000006</v>
      </c>
      <c r="E320">
        <v>50</v>
      </c>
      <c r="F320">
        <v>14.998555183000001</v>
      </c>
      <c r="G320">
        <v>1386.5963135</v>
      </c>
      <c r="H320">
        <v>1372.9578856999999</v>
      </c>
      <c r="I320">
        <v>1251.8204346</v>
      </c>
      <c r="J320">
        <v>1212.3110352000001</v>
      </c>
      <c r="K320">
        <v>2400</v>
      </c>
      <c r="L320">
        <v>0</v>
      </c>
      <c r="M320">
        <v>0</v>
      </c>
      <c r="N320">
        <v>2400</v>
      </c>
    </row>
    <row r="321" spans="1:14" x14ac:dyDescent="0.25">
      <c r="A321">
        <v>90.966004999999996</v>
      </c>
      <c r="B321" s="1">
        <f>DATE(2010,7,30) + TIME(23,11,2)</f>
        <v>40389.965995370374</v>
      </c>
      <c r="C321">
        <v>80</v>
      </c>
      <c r="D321">
        <v>79.909820557000003</v>
      </c>
      <c r="E321">
        <v>50</v>
      </c>
      <c r="F321">
        <v>14.998566628000001</v>
      </c>
      <c r="G321">
        <v>1386.5250243999999</v>
      </c>
      <c r="H321">
        <v>1372.8911132999999</v>
      </c>
      <c r="I321">
        <v>1251.8410644999999</v>
      </c>
      <c r="J321">
        <v>1212.3303223</v>
      </c>
      <c r="K321">
        <v>2400</v>
      </c>
      <c r="L321">
        <v>0</v>
      </c>
      <c r="M321">
        <v>0</v>
      </c>
      <c r="N321">
        <v>2400</v>
      </c>
    </row>
    <row r="322" spans="1:14" x14ac:dyDescent="0.25">
      <c r="A322">
        <v>91.432415000000006</v>
      </c>
      <c r="B322" s="1">
        <f>DATE(2010,7,31) + TIME(10,22,40)</f>
        <v>40390.43240740741</v>
      </c>
      <c r="C322">
        <v>80</v>
      </c>
      <c r="D322">
        <v>79.909873962000006</v>
      </c>
      <c r="E322">
        <v>50</v>
      </c>
      <c r="F322">
        <v>14.998577118</v>
      </c>
      <c r="G322">
        <v>1386.4888916</v>
      </c>
      <c r="H322">
        <v>1372.8572998</v>
      </c>
      <c r="I322">
        <v>1251.8520507999999</v>
      </c>
      <c r="J322">
        <v>1212.3404541</v>
      </c>
      <c r="K322">
        <v>2400</v>
      </c>
      <c r="L322">
        <v>0</v>
      </c>
      <c r="M322">
        <v>0</v>
      </c>
      <c r="N322">
        <v>2400</v>
      </c>
    </row>
    <row r="323" spans="1:14" x14ac:dyDescent="0.25">
      <c r="A323">
        <v>92</v>
      </c>
      <c r="B323" s="1">
        <f>DATE(2010,8,1) + TIME(0,0,0)</f>
        <v>40391</v>
      </c>
      <c r="C323">
        <v>80</v>
      </c>
      <c r="D323">
        <v>79.909942627000007</v>
      </c>
      <c r="E323">
        <v>50</v>
      </c>
      <c r="F323">
        <v>14.998587607999999</v>
      </c>
      <c r="G323">
        <v>1386.4536132999999</v>
      </c>
      <c r="H323">
        <v>1372.8243408000001</v>
      </c>
      <c r="I323">
        <v>1251.862793</v>
      </c>
      <c r="J323">
        <v>1212.3504639</v>
      </c>
      <c r="K323">
        <v>2400</v>
      </c>
      <c r="L323">
        <v>0</v>
      </c>
      <c r="M323">
        <v>0</v>
      </c>
      <c r="N323">
        <v>2400</v>
      </c>
    </row>
    <row r="324" spans="1:14" x14ac:dyDescent="0.25">
      <c r="A324">
        <v>92.466408999999999</v>
      </c>
      <c r="B324" s="1">
        <f>DATE(2010,8,1) + TIME(11,11,37)</f>
        <v>40391.466400462959</v>
      </c>
      <c r="C324">
        <v>80</v>
      </c>
      <c r="D324">
        <v>79.909996032999999</v>
      </c>
      <c r="E324">
        <v>50</v>
      </c>
      <c r="F324">
        <v>14.998597145</v>
      </c>
      <c r="G324">
        <v>1386.4108887</v>
      </c>
      <c r="H324">
        <v>1372.7843018000001</v>
      </c>
      <c r="I324">
        <v>1251.8759766000001</v>
      </c>
      <c r="J324">
        <v>1212.3626709</v>
      </c>
      <c r="K324">
        <v>2400</v>
      </c>
      <c r="L324">
        <v>0</v>
      </c>
      <c r="M324">
        <v>0</v>
      </c>
      <c r="N324">
        <v>2400</v>
      </c>
    </row>
    <row r="325" spans="1:14" x14ac:dyDescent="0.25">
      <c r="A325">
        <v>92.932817999999997</v>
      </c>
      <c r="B325" s="1">
        <f>DATE(2010,8,1) + TIME(22,23,15)</f>
        <v>40391.932812500003</v>
      </c>
      <c r="C325">
        <v>80</v>
      </c>
      <c r="D325">
        <v>79.910049438000001</v>
      </c>
      <c r="E325">
        <v>50</v>
      </c>
      <c r="F325">
        <v>14.998606682</v>
      </c>
      <c r="G325">
        <v>1386.3757324000001</v>
      </c>
      <c r="H325">
        <v>1372.7514647999999</v>
      </c>
      <c r="I325">
        <v>1251.8869629000001</v>
      </c>
      <c r="J325">
        <v>1212.3729248</v>
      </c>
      <c r="K325">
        <v>2400</v>
      </c>
      <c r="L325">
        <v>0</v>
      </c>
      <c r="M325">
        <v>0</v>
      </c>
      <c r="N325">
        <v>2400</v>
      </c>
    </row>
    <row r="326" spans="1:14" x14ac:dyDescent="0.25">
      <c r="A326">
        <v>93.399227999999994</v>
      </c>
      <c r="B326" s="1">
        <f>DATE(2010,8,2) + TIME(9,34,53)</f>
        <v>40392.399224537039</v>
      </c>
      <c r="C326">
        <v>80</v>
      </c>
      <c r="D326">
        <v>79.910102843999994</v>
      </c>
      <c r="E326">
        <v>50</v>
      </c>
      <c r="F326">
        <v>14.998616219000001</v>
      </c>
      <c r="G326">
        <v>1386.3409423999999</v>
      </c>
      <c r="H326">
        <v>1372.7188721</v>
      </c>
      <c r="I326">
        <v>1251.8979492000001</v>
      </c>
      <c r="J326">
        <v>1212.3830565999999</v>
      </c>
      <c r="K326">
        <v>2400</v>
      </c>
      <c r="L326">
        <v>0</v>
      </c>
      <c r="M326">
        <v>0</v>
      </c>
      <c r="N326">
        <v>2400</v>
      </c>
    </row>
    <row r="327" spans="1:14" x14ac:dyDescent="0.25">
      <c r="A327">
        <v>93.865637000000007</v>
      </c>
      <c r="B327" s="1">
        <f>DATE(2010,8,2) + TIME(20,46,31)</f>
        <v>40392.865636574075</v>
      </c>
      <c r="C327">
        <v>80</v>
      </c>
      <c r="D327">
        <v>79.910163878999995</v>
      </c>
      <c r="E327">
        <v>50</v>
      </c>
      <c r="F327">
        <v>14.998624802</v>
      </c>
      <c r="G327">
        <v>1386.3062743999999</v>
      </c>
      <c r="H327">
        <v>1372.6864014</v>
      </c>
      <c r="I327">
        <v>1251.9089355000001</v>
      </c>
      <c r="J327">
        <v>1212.3933105000001</v>
      </c>
      <c r="K327">
        <v>2400</v>
      </c>
      <c r="L327">
        <v>0</v>
      </c>
      <c r="M327">
        <v>0</v>
      </c>
      <c r="N327">
        <v>2400</v>
      </c>
    </row>
    <row r="328" spans="1:14" x14ac:dyDescent="0.25">
      <c r="A328">
        <v>94.332046000000005</v>
      </c>
      <c r="B328" s="1">
        <f>DATE(2010,8,3) + TIME(7,58,8)</f>
        <v>40393.332037037035</v>
      </c>
      <c r="C328">
        <v>80</v>
      </c>
      <c r="D328">
        <v>79.910217285000002</v>
      </c>
      <c r="E328">
        <v>50</v>
      </c>
      <c r="F328">
        <v>14.998634338</v>
      </c>
      <c r="G328">
        <v>1386.2717285000001</v>
      </c>
      <c r="H328">
        <v>1372.6540527</v>
      </c>
      <c r="I328">
        <v>1251.9200439000001</v>
      </c>
      <c r="J328">
        <v>1212.4036865</v>
      </c>
      <c r="K328">
        <v>2400</v>
      </c>
      <c r="L328">
        <v>0</v>
      </c>
      <c r="M328">
        <v>0</v>
      </c>
      <c r="N328">
        <v>2400</v>
      </c>
    </row>
    <row r="329" spans="1:14" x14ac:dyDescent="0.25">
      <c r="A329">
        <v>94.798455000000004</v>
      </c>
      <c r="B329" s="1">
        <f>DATE(2010,8,3) + TIME(19,9,46)</f>
        <v>40393.798449074071</v>
      </c>
      <c r="C329">
        <v>80</v>
      </c>
      <c r="D329">
        <v>79.910270690999994</v>
      </c>
      <c r="E329">
        <v>50</v>
      </c>
      <c r="F329">
        <v>14.998643875000001</v>
      </c>
      <c r="G329">
        <v>1386.2374268000001</v>
      </c>
      <c r="H329">
        <v>1372.6219481999999</v>
      </c>
      <c r="I329">
        <v>1251.9311522999999</v>
      </c>
      <c r="J329">
        <v>1212.4139404</v>
      </c>
      <c r="K329">
        <v>2400</v>
      </c>
      <c r="L329">
        <v>0</v>
      </c>
      <c r="M329">
        <v>0</v>
      </c>
      <c r="N329">
        <v>2400</v>
      </c>
    </row>
    <row r="330" spans="1:14" x14ac:dyDescent="0.25">
      <c r="A330">
        <v>95.264865</v>
      </c>
      <c r="B330" s="1">
        <f>DATE(2010,8,4) + TIME(6,21,24)</f>
        <v>40394.264861111114</v>
      </c>
      <c r="C330">
        <v>80</v>
      </c>
      <c r="D330">
        <v>79.910324097</v>
      </c>
      <c r="E330">
        <v>50</v>
      </c>
      <c r="F330">
        <v>14.998652458</v>
      </c>
      <c r="G330">
        <v>1386.203125</v>
      </c>
      <c r="H330">
        <v>1372.5899658000001</v>
      </c>
      <c r="I330">
        <v>1251.9423827999999</v>
      </c>
      <c r="J330">
        <v>1212.4243164</v>
      </c>
      <c r="K330">
        <v>2400</v>
      </c>
      <c r="L330">
        <v>0</v>
      </c>
      <c r="M330">
        <v>0</v>
      </c>
      <c r="N330">
        <v>2400</v>
      </c>
    </row>
    <row r="331" spans="1:14" x14ac:dyDescent="0.25">
      <c r="A331">
        <v>96.197682999999998</v>
      </c>
      <c r="B331" s="1">
        <f>DATE(2010,8,5) + TIME(4,44,39)</f>
        <v>40395.19767361111</v>
      </c>
      <c r="C331">
        <v>80</v>
      </c>
      <c r="D331">
        <v>79.910446167000003</v>
      </c>
      <c r="E331">
        <v>50</v>
      </c>
      <c r="F331">
        <v>14.998666762999999</v>
      </c>
      <c r="G331">
        <v>1386.1696777</v>
      </c>
      <c r="H331">
        <v>1372.5585937999999</v>
      </c>
      <c r="I331">
        <v>1251.9539795000001</v>
      </c>
      <c r="J331">
        <v>1212.4351807</v>
      </c>
      <c r="K331">
        <v>2400</v>
      </c>
      <c r="L331">
        <v>0</v>
      </c>
      <c r="M331">
        <v>0</v>
      </c>
      <c r="N331">
        <v>2400</v>
      </c>
    </row>
    <row r="332" spans="1:14" x14ac:dyDescent="0.25">
      <c r="A332">
        <v>97.131666999999993</v>
      </c>
      <c r="B332" s="1">
        <f>DATE(2010,8,6) + TIME(3,9,36)</f>
        <v>40396.131666666668</v>
      </c>
      <c r="C332">
        <v>80</v>
      </c>
      <c r="D332">
        <v>79.910560607999997</v>
      </c>
      <c r="E332">
        <v>50</v>
      </c>
      <c r="F332">
        <v>14.998682976</v>
      </c>
      <c r="G332">
        <v>1386.1022949000001</v>
      </c>
      <c r="H332">
        <v>1372.4957274999999</v>
      </c>
      <c r="I332">
        <v>1251.9764404</v>
      </c>
      <c r="J332">
        <v>1212.4560547000001</v>
      </c>
      <c r="K332">
        <v>2400</v>
      </c>
      <c r="L332">
        <v>0</v>
      </c>
      <c r="M332">
        <v>0</v>
      </c>
      <c r="N332">
        <v>2400</v>
      </c>
    </row>
    <row r="333" spans="1:14" x14ac:dyDescent="0.25">
      <c r="A333">
        <v>98.074190999999999</v>
      </c>
      <c r="B333" s="1">
        <f>DATE(2010,8,7) + TIME(1,46,50)</f>
        <v>40397.074189814812</v>
      </c>
      <c r="C333">
        <v>80</v>
      </c>
      <c r="D333">
        <v>79.910675049000005</v>
      </c>
      <c r="E333">
        <v>50</v>
      </c>
      <c r="F333">
        <v>14.998702049</v>
      </c>
      <c r="G333">
        <v>1386.0352783000001</v>
      </c>
      <c r="H333">
        <v>1372.4329834</v>
      </c>
      <c r="I333">
        <v>1251.9992675999999</v>
      </c>
      <c r="J333">
        <v>1212.4771728999999</v>
      </c>
      <c r="K333">
        <v>2400</v>
      </c>
      <c r="L333">
        <v>0</v>
      </c>
      <c r="M333">
        <v>0</v>
      </c>
      <c r="N333">
        <v>2400</v>
      </c>
    </row>
    <row r="334" spans="1:14" x14ac:dyDescent="0.25">
      <c r="A334">
        <v>99.026745000000005</v>
      </c>
      <c r="B334" s="1">
        <f>DATE(2010,8,8) + TIME(0,38,30)</f>
        <v>40398.026736111111</v>
      </c>
      <c r="C334">
        <v>80</v>
      </c>
      <c r="D334">
        <v>79.910789489999999</v>
      </c>
      <c r="E334">
        <v>50</v>
      </c>
      <c r="F334">
        <v>14.998723030000001</v>
      </c>
      <c r="G334">
        <v>1385.9681396000001</v>
      </c>
      <c r="H334">
        <v>1372.3701172000001</v>
      </c>
      <c r="I334">
        <v>1252.0225829999999</v>
      </c>
      <c r="J334">
        <v>1212.4987793</v>
      </c>
      <c r="K334">
        <v>2400</v>
      </c>
      <c r="L334">
        <v>0</v>
      </c>
      <c r="M334">
        <v>0</v>
      </c>
      <c r="N334">
        <v>2400</v>
      </c>
    </row>
    <row r="335" spans="1:14" x14ac:dyDescent="0.25">
      <c r="A335">
        <v>99.990881000000002</v>
      </c>
      <c r="B335" s="1">
        <f>DATE(2010,8,8) + TIME(23,46,52)</f>
        <v>40398.990879629629</v>
      </c>
      <c r="C335">
        <v>80</v>
      </c>
      <c r="D335">
        <v>79.910903931000007</v>
      </c>
      <c r="E335">
        <v>50</v>
      </c>
      <c r="F335">
        <v>14.998745917999999</v>
      </c>
      <c r="G335">
        <v>1385.9007568</v>
      </c>
      <c r="H335">
        <v>1372.307251</v>
      </c>
      <c r="I335">
        <v>1252.0463867000001</v>
      </c>
      <c r="J335">
        <v>1212.5207519999999</v>
      </c>
      <c r="K335">
        <v>2400</v>
      </c>
      <c r="L335">
        <v>0</v>
      </c>
      <c r="M335">
        <v>0</v>
      </c>
      <c r="N335">
        <v>2400</v>
      </c>
    </row>
    <row r="336" spans="1:14" x14ac:dyDescent="0.25">
      <c r="A336">
        <v>100.968221</v>
      </c>
      <c r="B336" s="1">
        <f>DATE(2010,8,9) + TIME(23,14,14)</f>
        <v>40399.968217592592</v>
      </c>
      <c r="C336">
        <v>80</v>
      </c>
      <c r="D336">
        <v>79.911018372000001</v>
      </c>
      <c r="E336">
        <v>50</v>
      </c>
      <c r="F336">
        <v>14.998770714000001</v>
      </c>
      <c r="G336">
        <v>1385.8332519999999</v>
      </c>
      <c r="H336">
        <v>1372.2440185999999</v>
      </c>
      <c r="I336">
        <v>1252.0706786999999</v>
      </c>
      <c r="J336">
        <v>1212.5432129000001</v>
      </c>
      <c r="K336">
        <v>2400</v>
      </c>
      <c r="L336">
        <v>0</v>
      </c>
      <c r="M336">
        <v>0</v>
      </c>
      <c r="N336">
        <v>2400</v>
      </c>
    </row>
    <row r="337" spans="1:14" x14ac:dyDescent="0.25">
      <c r="A337">
        <v>101.46194</v>
      </c>
      <c r="B337" s="1">
        <f>DATE(2010,8,10) + TIME(11,5,11)</f>
        <v>40400.46193287037</v>
      </c>
      <c r="C337">
        <v>80</v>
      </c>
      <c r="D337">
        <v>79.911064147999994</v>
      </c>
      <c r="E337">
        <v>50</v>
      </c>
      <c r="F337">
        <v>14.998789787</v>
      </c>
      <c r="G337">
        <v>1385.7651367000001</v>
      </c>
      <c r="H337">
        <v>1372.1802978999999</v>
      </c>
      <c r="I337">
        <v>1252.0952147999999</v>
      </c>
      <c r="J337">
        <v>1212.5657959</v>
      </c>
      <c r="K337">
        <v>2400</v>
      </c>
      <c r="L337">
        <v>0</v>
      </c>
      <c r="M337">
        <v>0</v>
      </c>
      <c r="N337">
        <v>2400</v>
      </c>
    </row>
    <row r="338" spans="1:14" x14ac:dyDescent="0.25">
      <c r="A338">
        <v>101.95565999999999</v>
      </c>
      <c r="B338" s="1">
        <f>DATE(2010,8,10) + TIME(22,56,9)</f>
        <v>40400.955659722225</v>
      </c>
      <c r="C338">
        <v>80</v>
      </c>
      <c r="D338">
        <v>79.911125182999996</v>
      </c>
      <c r="E338">
        <v>50</v>
      </c>
      <c r="F338">
        <v>14.998807907</v>
      </c>
      <c r="G338">
        <v>1385.7304687999999</v>
      </c>
      <c r="H338">
        <v>1372.1477050999999</v>
      </c>
      <c r="I338">
        <v>1252.1081543</v>
      </c>
      <c r="J338">
        <v>1212.5777588000001</v>
      </c>
      <c r="K338">
        <v>2400</v>
      </c>
      <c r="L338">
        <v>0</v>
      </c>
      <c r="M338">
        <v>0</v>
      </c>
      <c r="N338">
        <v>2400</v>
      </c>
    </row>
    <row r="339" spans="1:14" x14ac:dyDescent="0.25">
      <c r="A339">
        <v>102.44937899999999</v>
      </c>
      <c r="B339" s="1">
        <f>DATE(2010,8,11) + TIME(10,47,6)</f>
        <v>40401.449374999997</v>
      </c>
      <c r="C339">
        <v>80</v>
      </c>
      <c r="D339">
        <v>79.911178589000002</v>
      </c>
      <c r="E339">
        <v>50</v>
      </c>
      <c r="F339">
        <v>14.998825073000001</v>
      </c>
      <c r="G339">
        <v>1385.6964111</v>
      </c>
      <c r="H339">
        <v>1372.1158447</v>
      </c>
      <c r="I339">
        <v>1252.1209716999999</v>
      </c>
      <c r="J339">
        <v>1212.5895995999999</v>
      </c>
      <c r="K339">
        <v>2400</v>
      </c>
      <c r="L339">
        <v>0</v>
      </c>
      <c r="M339">
        <v>0</v>
      </c>
      <c r="N339">
        <v>2400</v>
      </c>
    </row>
    <row r="340" spans="1:14" x14ac:dyDescent="0.25">
      <c r="A340">
        <v>102.943099</v>
      </c>
      <c r="B340" s="1">
        <f>DATE(2010,8,11) + TIME(22,38,3)</f>
        <v>40401.943090277775</v>
      </c>
      <c r="C340">
        <v>80</v>
      </c>
      <c r="D340">
        <v>79.911231994999994</v>
      </c>
      <c r="E340">
        <v>50</v>
      </c>
      <c r="F340">
        <v>14.998842239</v>
      </c>
      <c r="G340">
        <v>1385.6625977000001</v>
      </c>
      <c r="H340">
        <v>1372.0842285000001</v>
      </c>
      <c r="I340">
        <v>1252.1339111</v>
      </c>
      <c r="J340">
        <v>1212.6014404</v>
      </c>
      <c r="K340">
        <v>2400</v>
      </c>
      <c r="L340">
        <v>0</v>
      </c>
      <c r="M340">
        <v>0</v>
      </c>
      <c r="N340">
        <v>2400</v>
      </c>
    </row>
    <row r="341" spans="1:14" x14ac:dyDescent="0.25">
      <c r="A341">
        <v>103.436819</v>
      </c>
      <c r="B341" s="1">
        <f>DATE(2010,8,12) + TIME(10,29,1)</f>
        <v>40402.43681712963</v>
      </c>
      <c r="C341">
        <v>80</v>
      </c>
      <c r="D341">
        <v>79.911293029999996</v>
      </c>
      <c r="E341">
        <v>50</v>
      </c>
      <c r="F341">
        <v>14.998859405999999</v>
      </c>
      <c r="G341">
        <v>1385.6289062000001</v>
      </c>
      <c r="H341">
        <v>1372.0526123</v>
      </c>
      <c r="I341">
        <v>1252.1468506000001</v>
      </c>
      <c r="J341">
        <v>1212.6134033000001</v>
      </c>
      <c r="K341">
        <v>2400</v>
      </c>
      <c r="L341">
        <v>0</v>
      </c>
      <c r="M341">
        <v>0</v>
      </c>
      <c r="N341">
        <v>2400</v>
      </c>
    </row>
    <row r="342" spans="1:14" x14ac:dyDescent="0.25">
      <c r="A342">
        <v>103.930538</v>
      </c>
      <c r="B342" s="1">
        <f>DATE(2010,8,12) + TIME(22,19,58)</f>
        <v>40402.930532407408</v>
      </c>
      <c r="C342">
        <v>80</v>
      </c>
      <c r="D342">
        <v>79.911354064999998</v>
      </c>
      <c r="E342">
        <v>50</v>
      </c>
      <c r="F342">
        <v>14.998878479</v>
      </c>
      <c r="G342">
        <v>1385.5953368999999</v>
      </c>
      <c r="H342">
        <v>1372.0212402</v>
      </c>
      <c r="I342">
        <v>1252.1599120999999</v>
      </c>
      <c r="J342">
        <v>1212.6254882999999</v>
      </c>
      <c r="K342">
        <v>2400</v>
      </c>
      <c r="L342">
        <v>0</v>
      </c>
      <c r="M342">
        <v>0</v>
      </c>
      <c r="N342">
        <v>2400</v>
      </c>
    </row>
    <row r="343" spans="1:14" x14ac:dyDescent="0.25">
      <c r="A343">
        <v>104.42425799999999</v>
      </c>
      <c r="B343" s="1">
        <f>DATE(2010,8,13) + TIME(10,10,55)</f>
        <v>40403.424247685187</v>
      </c>
      <c r="C343">
        <v>80</v>
      </c>
      <c r="D343">
        <v>79.911407471000004</v>
      </c>
      <c r="E343">
        <v>50</v>
      </c>
      <c r="F343">
        <v>14.998897552000001</v>
      </c>
      <c r="G343">
        <v>1385.5618896000001</v>
      </c>
      <c r="H343">
        <v>1371.9898682</v>
      </c>
      <c r="I343">
        <v>1252.1730957</v>
      </c>
      <c r="J343">
        <v>1212.6375731999999</v>
      </c>
      <c r="K343">
        <v>2400</v>
      </c>
      <c r="L343">
        <v>0</v>
      </c>
      <c r="M343">
        <v>0</v>
      </c>
      <c r="N343">
        <v>2400</v>
      </c>
    </row>
    <row r="344" spans="1:14" x14ac:dyDescent="0.25">
      <c r="A344">
        <v>104.91797699999999</v>
      </c>
      <c r="B344" s="1">
        <f>DATE(2010,8,13) + TIME(22,1,53)</f>
        <v>40403.917974537035</v>
      </c>
      <c r="C344">
        <v>80</v>
      </c>
      <c r="D344">
        <v>79.911468506000006</v>
      </c>
      <c r="E344">
        <v>50</v>
      </c>
      <c r="F344">
        <v>14.998917580000001</v>
      </c>
      <c r="G344">
        <v>1385.5286865</v>
      </c>
      <c r="H344">
        <v>1371.9587402</v>
      </c>
      <c r="I344">
        <v>1252.1862793</v>
      </c>
      <c r="J344">
        <v>1212.6497803</v>
      </c>
      <c r="K344">
        <v>2400</v>
      </c>
      <c r="L344">
        <v>0</v>
      </c>
      <c r="M344">
        <v>0</v>
      </c>
      <c r="N344">
        <v>2400</v>
      </c>
    </row>
    <row r="345" spans="1:14" x14ac:dyDescent="0.25">
      <c r="A345">
        <v>105.411697</v>
      </c>
      <c r="B345" s="1">
        <f>DATE(2010,8,14) + TIME(9,52,50)</f>
        <v>40404.411689814813</v>
      </c>
      <c r="C345">
        <v>80</v>
      </c>
      <c r="D345">
        <v>79.911521911999998</v>
      </c>
      <c r="E345">
        <v>50</v>
      </c>
      <c r="F345">
        <v>14.998938559999999</v>
      </c>
      <c r="G345">
        <v>1385.4954834</v>
      </c>
      <c r="H345">
        <v>1371.9277344</v>
      </c>
      <c r="I345">
        <v>1252.1995850000001</v>
      </c>
      <c r="J345">
        <v>1212.6619873</v>
      </c>
      <c r="K345">
        <v>2400</v>
      </c>
      <c r="L345">
        <v>0</v>
      </c>
      <c r="M345">
        <v>0</v>
      </c>
      <c r="N345">
        <v>2400</v>
      </c>
    </row>
    <row r="346" spans="1:14" x14ac:dyDescent="0.25">
      <c r="A346">
        <v>105.905417</v>
      </c>
      <c r="B346" s="1">
        <f>DATE(2010,8,14) + TIME(21,43,48)</f>
        <v>40404.905416666668</v>
      </c>
      <c r="C346">
        <v>80</v>
      </c>
      <c r="D346">
        <v>79.911582946999999</v>
      </c>
      <c r="E346">
        <v>50</v>
      </c>
      <c r="F346">
        <v>14.998960495</v>
      </c>
      <c r="G346">
        <v>1385.4625243999999</v>
      </c>
      <c r="H346">
        <v>1371.8967285000001</v>
      </c>
      <c r="I346">
        <v>1252.2130127</v>
      </c>
      <c r="J346">
        <v>1212.6743164</v>
      </c>
      <c r="K346">
        <v>2400</v>
      </c>
      <c r="L346">
        <v>0</v>
      </c>
      <c r="M346">
        <v>0</v>
      </c>
      <c r="N346">
        <v>2400</v>
      </c>
    </row>
    <row r="347" spans="1:14" x14ac:dyDescent="0.25">
      <c r="A347">
        <v>106.399136</v>
      </c>
      <c r="B347" s="1">
        <f>DATE(2010,8,15) + TIME(9,34,45)</f>
        <v>40405.399131944447</v>
      </c>
      <c r="C347">
        <v>80</v>
      </c>
      <c r="D347">
        <v>79.911643982000001</v>
      </c>
      <c r="E347">
        <v>50</v>
      </c>
      <c r="F347">
        <v>14.998983383000001</v>
      </c>
      <c r="G347">
        <v>1385.4296875</v>
      </c>
      <c r="H347">
        <v>1371.8659668</v>
      </c>
      <c r="I347">
        <v>1252.2264404</v>
      </c>
      <c r="J347">
        <v>1212.6866454999999</v>
      </c>
      <c r="K347">
        <v>2400</v>
      </c>
      <c r="L347">
        <v>0</v>
      </c>
      <c r="M347">
        <v>0</v>
      </c>
      <c r="N347">
        <v>2400</v>
      </c>
    </row>
    <row r="348" spans="1:14" x14ac:dyDescent="0.25">
      <c r="A348">
        <v>106.89285599999999</v>
      </c>
      <c r="B348" s="1">
        <f>DATE(2010,8,15) + TIME(21,25,42)</f>
        <v>40405.892847222225</v>
      </c>
      <c r="C348">
        <v>80</v>
      </c>
      <c r="D348">
        <v>79.911697387999993</v>
      </c>
      <c r="E348">
        <v>50</v>
      </c>
      <c r="F348">
        <v>14.999008179</v>
      </c>
      <c r="G348">
        <v>1385.3968506000001</v>
      </c>
      <c r="H348">
        <v>1371.8353271000001</v>
      </c>
      <c r="I348">
        <v>1252.2399902</v>
      </c>
      <c r="J348">
        <v>1212.6990966999999</v>
      </c>
      <c r="K348">
        <v>2400</v>
      </c>
      <c r="L348">
        <v>0</v>
      </c>
      <c r="M348">
        <v>0</v>
      </c>
      <c r="N348">
        <v>2400</v>
      </c>
    </row>
    <row r="349" spans="1:14" x14ac:dyDescent="0.25">
      <c r="A349">
        <v>107.38657499999999</v>
      </c>
      <c r="B349" s="1">
        <f>DATE(2010,8,16) + TIME(9,16,40)</f>
        <v>40406.386574074073</v>
      </c>
      <c r="C349">
        <v>80</v>
      </c>
      <c r="D349">
        <v>79.911758422999995</v>
      </c>
      <c r="E349">
        <v>50</v>
      </c>
      <c r="F349">
        <v>14.999034882</v>
      </c>
      <c r="G349">
        <v>1385.3642577999999</v>
      </c>
      <c r="H349">
        <v>1371.8046875</v>
      </c>
      <c r="I349">
        <v>1252.2536620999999</v>
      </c>
      <c r="J349">
        <v>1212.7116699000001</v>
      </c>
      <c r="K349">
        <v>2400</v>
      </c>
      <c r="L349">
        <v>0</v>
      </c>
      <c r="M349">
        <v>0</v>
      </c>
      <c r="N349">
        <v>2400</v>
      </c>
    </row>
    <row r="350" spans="1:14" x14ac:dyDescent="0.25">
      <c r="A350">
        <v>107.880295</v>
      </c>
      <c r="B350" s="1">
        <f>DATE(2010,8,16) + TIME(21,7,37)</f>
        <v>40406.880289351851</v>
      </c>
      <c r="C350">
        <v>80</v>
      </c>
      <c r="D350">
        <v>79.911811829000001</v>
      </c>
      <c r="E350">
        <v>50</v>
      </c>
      <c r="F350">
        <v>14.999063491999999</v>
      </c>
      <c r="G350">
        <v>1385.3317870999999</v>
      </c>
      <c r="H350">
        <v>1371.7742920000001</v>
      </c>
      <c r="I350">
        <v>1252.2673339999999</v>
      </c>
      <c r="J350">
        <v>1212.7242432</v>
      </c>
      <c r="K350">
        <v>2400</v>
      </c>
      <c r="L350">
        <v>0</v>
      </c>
      <c r="M350">
        <v>0</v>
      </c>
      <c r="N350">
        <v>2400</v>
      </c>
    </row>
    <row r="351" spans="1:14" x14ac:dyDescent="0.25">
      <c r="A351">
        <v>108.374015</v>
      </c>
      <c r="B351" s="1">
        <f>DATE(2010,8,17) + TIME(8,58,34)</f>
        <v>40407.37400462963</v>
      </c>
      <c r="C351">
        <v>80</v>
      </c>
      <c r="D351">
        <v>79.911872864000003</v>
      </c>
      <c r="E351">
        <v>50</v>
      </c>
      <c r="F351">
        <v>14.999093056</v>
      </c>
      <c r="G351">
        <v>1385.2994385</v>
      </c>
      <c r="H351">
        <v>1371.7440185999999</v>
      </c>
      <c r="I351">
        <v>1252.2811279</v>
      </c>
      <c r="J351">
        <v>1212.7369385</v>
      </c>
      <c r="K351">
        <v>2400</v>
      </c>
      <c r="L351">
        <v>0</v>
      </c>
      <c r="M351">
        <v>0</v>
      </c>
      <c r="N351">
        <v>2400</v>
      </c>
    </row>
    <row r="352" spans="1:14" x14ac:dyDescent="0.25">
      <c r="A352">
        <v>108.867734</v>
      </c>
      <c r="B352" s="1">
        <f>DATE(2010,8,17) + TIME(20,49,32)</f>
        <v>40407.867731481485</v>
      </c>
      <c r="C352">
        <v>80</v>
      </c>
      <c r="D352">
        <v>79.911926269999995</v>
      </c>
      <c r="E352">
        <v>50</v>
      </c>
      <c r="F352">
        <v>14.999124526999999</v>
      </c>
      <c r="G352">
        <v>1385.2672118999999</v>
      </c>
      <c r="H352">
        <v>1371.7137451000001</v>
      </c>
      <c r="I352">
        <v>1252.2950439000001</v>
      </c>
      <c r="J352">
        <v>1212.7496338000001</v>
      </c>
      <c r="K352">
        <v>2400</v>
      </c>
      <c r="L352">
        <v>0</v>
      </c>
      <c r="M352">
        <v>0</v>
      </c>
      <c r="N352">
        <v>2400</v>
      </c>
    </row>
    <row r="353" spans="1:14" x14ac:dyDescent="0.25">
      <c r="A353">
        <v>109.85517400000001</v>
      </c>
      <c r="B353" s="1">
        <f>DATE(2010,8,18) + TIME(20,31,26)</f>
        <v>40408.855162037034</v>
      </c>
      <c r="C353">
        <v>80</v>
      </c>
      <c r="D353">
        <v>79.912055968999994</v>
      </c>
      <c r="E353">
        <v>50</v>
      </c>
      <c r="F353">
        <v>14.999174117999999</v>
      </c>
      <c r="G353">
        <v>1385.2355957</v>
      </c>
      <c r="H353">
        <v>1371.6842041</v>
      </c>
      <c r="I353">
        <v>1252.3093262</v>
      </c>
      <c r="J353">
        <v>1212.7628173999999</v>
      </c>
      <c r="K353">
        <v>2400</v>
      </c>
      <c r="L353">
        <v>0</v>
      </c>
      <c r="M353">
        <v>0</v>
      </c>
      <c r="N353">
        <v>2400</v>
      </c>
    </row>
    <row r="354" spans="1:14" x14ac:dyDescent="0.25">
      <c r="A354">
        <v>110.844308</v>
      </c>
      <c r="B354" s="1">
        <f>DATE(2010,8,19) + TIME(20,15,48)</f>
        <v>40409.844305555554</v>
      </c>
      <c r="C354">
        <v>80</v>
      </c>
      <c r="D354">
        <v>79.912170410000002</v>
      </c>
      <c r="E354">
        <v>50</v>
      </c>
      <c r="F354">
        <v>14.999238968</v>
      </c>
      <c r="G354">
        <v>1385.1721190999999</v>
      </c>
      <c r="H354">
        <v>1371.6247559000001</v>
      </c>
      <c r="I354">
        <v>1252.3372803</v>
      </c>
      <c r="J354">
        <v>1212.7884521000001</v>
      </c>
      <c r="K354">
        <v>2400</v>
      </c>
      <c r="L354">
        <v>0</v>
      </c>
      <c r="M354">
        <v>0</v>
      </c>
      <c r="N354">
        <v>2400</v>
      </c>
    </row>
    <row r="355" spans="1:14" x14ac:dyDescent="0.25">
      <c r="A355">
        <v>111.847015</v>
      </c>
      <c r="B355" s="1">
        <f>DATE(2010,8,20) + TIME(20,19,42)</f>
        <v>40410.847013888888</v>
      </c>
      <c r="C355">
        <v>80</v>
      </c>
      <c r="D355">
        <v>79.912292480000005</v>
      </c>
      <c r="E355">
        <v>50</v>
      </c>
      <c r="F355">
        <v>14.999318123</v>
      </c>
      <c r="G355">
        <v>1385.1087646000001</v>
      </c>
      <c r="H355">
        <v>1371.5654297000001</v>
      </c>
      <c r="I355">
        <v>1252.3658447</v>
      </c>
      <c r="J355">
        <v>1212.8145752</v>
      </c>
      <c r="K355">
        <v>2400</v>
      </c>
      <c r="L355">
        <v>0</v>
      </c>
      <c r="M355">
        <v>0</v>
      </c>
      <c r="N355">
        <v>2400</v>
      </c>
    </row>
    <row r="356" spans="1:14" x14ac:dyDescent="0.25">
      <c r="A356">
        <v>112.86493400000001</v>
      </c>
      <c r="B356" s="1">
        <f>DATE(2010,8,21) + TIME(20,45,30)</f>
        <v>40411.864930555559</v>
      </c>
      <c r="C356">
        <v>80</v>
      </c>
      <c r="D356">
        <v>79.912406920999999</v>
      </c>
      <c r="E356">
        <v>50</v>
      </c>
      <c r="F356">
        <v>14.999412537</v>
      </c>
      <c r="G356">
        <v>1385.0449219</v>
      </c>
      <c r="H356">
        <v>1371.5056152</v>
      </c>
      <c r="I356">
        <v>1252.3951416</v>
      </c>
      <c r="J356">
        <v>1212.8413086</v>
      </c>
      <c r="K356">
        <v>2400</v>
      </c>
      <c r="L356">
        <v>0</v>
      </c>
      <c r="M356">
        <v>0</v>
      </c>
      <c r="N356">
        <v>2400</v>
      </c>
    </row>
    <row r="357" spans="1:14" x14ac:dyDescent="0.25">
      <c r="A357">
        <v>113.38149799999999</v>
      </c>
      <c r="B357" s="1">
        <f>DATE(2010,8,22) + TIME(9,9,21)</f>
        <v>40412.381493055553</v>
      </c>
      <c r="C357">
        <v>80</v>
      </c>
      <c r="D357">
        <v>79.912460327000005</v>
      </c>
      <c r="E357">
        <v>50</v>
      </c>
      <c r="F357">
        <v>14.999488831000001</v>
      </c>
      <c r="G357">
        <v>1384.9804687999999</v>
      </c>
      <c r="H357">
        <v>1371.4451904</v>
      </c>
      <c r="I357">
        <v>1252.4248047000001</v>
      </c>
      <c r="J357">
        <v>1212.8684082</v>
      </c>
      <c r="K357">
        <v>2400</v>
      </c>
      <c r="L357">
        <v>0</v>
      </c>
      <c r="M357">
        <v>0</v>
      </c>
      <c r="N357">
        <v>2400</v>
      </c>
    </row>
    <row r="358" spans="1:14" x14ac:dyDescent="0.25">
      <c r="A358">
        <v>113.898061</v>
      </c>
      <c r="B358" s="1">
        <f>DATE(2010,8,22) + TIME(21,33,12)</f>
        <v>40412.898055555554</v>
      </c>
      <c r="C358">
        <v>80</v>
      </c>
      <c r="D358">
        <v>79.912521362000007</v>
      </c>
      <c r="E358">
        <v>50</v>
      </c>
      <c r="F358">
        <v>14.999562263</v>
      </c>
      <c r="G358">
        <v>1384.9473877</v>
      </c>
      <c r="H358">
        <v>1371.4141846</v>
      </c>
      <c r="I358">
        <v>1252.4404297000001</v>
      </c>
      <c r="J358">
        <v>1212.8826904</v>
      </c>
      <c r="K358">
        <v>2400</v>
      </c>
      <c r="L358">
        <v>0</v>
      </c>
      <c r="M358">
        <v>0</v>
      </c>
      <c r="N358">
        <v>2400</v>
      </c>
    </row>
    <row r="359" spans="1:14" x14ac:dyDescent="0.25">
      <c r="A359">
        <v>114.414624</v>
      </c>
      <c r="B359" s="1">
        <f>DATE(2010,8,23) + TIME(9,57,3)</f>
        <v>40413.414618055554</v>
      </c>
      <c r="C359">
        <v>80</v>
      </c>
      <c r="D359">
        <v>79.912574767999999</v>
      </c>
      <c r="E359">
        <v>50</v>
      </c>
      <c r="F359">
        <v>14.999636649999999</v>
      </c>
      <c r="G359">
        <v>1384.9150391000001</v>
      </c>
      <c r="H359">
        <v>1371.3837891000001</v>
      </c>
      <c r="I359">
        <v>1252.4560547000001</v>
      </c>
      <c r="J359">
        <v>1212.8969727000001</v>
      </c>
      <c r="K359">
        <v>2400</v>
      </c>
      <c r="L359">
        <v>0</v>
      </c>
      <c r="M359">
        <v>0</v>
      </c>
      <c r="N359">
        <v>2400</v>
      </c>
    </row>
    <row r="360" spans="1:14" x14ac:dyDescent="0.25">
      <c r="A360">
        <v>114.93118699999999</v>
      </c>
      <c r="B360" s="1">
        <f>DATE(2010,8,23) + TIME(22,20,54)</f>
        <v>40413.931180555555</v>
      </c>
      <c r="C360">
        <v>80</v>
      </c>
      <c r="D360">
        <v>79.912635803000001</v>
      </c>
      <c r="E360">
        <v>50</v>
      </c>
      <c r="F360">
        <v>14.999713898</v>
      </c>
      <c r="G360">
        <v>1384.8828125</v>
      </c>
      <c r="H360">
        <v>1371.3535156</v>
      </c>
      <c r="I360">
        <v>1252.4718018000001</v>
      </c>
      <c r="J360">
        <v>1212.9113769999999</v>
      </c>
      <c r="K360">
        <v>2400</v>
      </c>
      <c r="L360">
        <v>0</v>
      </c>
      <c r="M360">
        <v>0</v>
      </c>
      <c r="N360">
        <v>2400</v>
      </c>
    </row>
    <row r="361" spans="1:14" x14ac:dyDescent="0.25">
      <c r="A361">
        <v>115.44775</v>
      </c>
      <c r="B361" s="1">
        <f>DATE(2010,8,24) + TIME(10,44,45)</f>
        <v>40414.447743055556</v>
      </c>
      <c r="C361">
        <v>80</v>
      </c>
      <c r="D361">
        <v>79.912696838000002</v>
      </c>
      <c r="E361">
        <v>50</v>
      </c>
      <c r="F361">
        <v>14.999795914</v>
      </c>
      <c r="G361">
        <v>1384.8507079999999</v>
      </c>
      <c r="H361">
        <v>1371.3233643000001</v>
      </c>
      <c r="I361">
        <v>1252.4876709</v>
      </c>
      <c r="J361">
        <v>1212.9257812000001</v>
      </c>
      <c r="K361">
        <v>2400</v>
      </c>
      <c r="L361">
        <v>0</v>
      </c>
      <c r="M361">
        <v>0</v>
      </c>
      <c r="N361">
        <v>2400</v>
      </c>
    </row>
    <row r="362" spans="1:14" x14ac:dyDescent="0.25">
      <c r="A362">
        <v>115.964313</v>
      </c>
      <c r="B362" s="1">
        <f>DATE(2010,8,24) + TIME(23,8,36)</f>
        <v>40414.964305555557</v>
      </c>
      <c r="C362">
        <v>80</v>
      </c>
      <c r="D362">
        <v>79.912757873999993</v>
      </c>
      <c r="E362">
        <v>50</v>
      </c>
      <c r="F362">
        <v>14.999881744</v>
      </c>
      <c r="G362">
        <v>1384.8187256000001</v>
      </c>
      <c r="H362">
        <v>1371.2933350000001</v>
      </c>
      <c r="I362">
        <v>1252.5036620999999</v>
      </c>
      <c r="J362">
        <v>1212.9404297000001</v>
      </c>
      <c r="K362">
        <v>2400</v>
      </c>
      <c r="L362">
        <v>0</v>
      </c>
      <c r="M362">
        <v>0</v>
      </c>
      <c r="N362">
        <v>2400</v>
      </c>
    </row>
    <row r="363" spans="1:14" x14ac:dyDescent="0.25">
      <c r="A363">
        <v>116.48087599999999</v>
      </c>
      <c r="B363" s="1">
        <f>DATE(2010,8,25) + TIME(11,32,27)</f>
        <v>40415.480868055558</v>
      </c>
      <c r="C363">
        <v>80</v>
      </c>
      <c r="D363">
        <v>79.912818908999995</v>
      </c>
      <c r="E363">
        <v>50</v>
      </c>
      <c r="F363">
        <v>14.999974250999999</v>
      </c>
      <c r="G363">
        <v>1384.7867432</v>
      </c>
      <c r="H363">
        <v>1371.2634277</v>
      </c>
      <c r="I363">
        <v>1252.5197754000001</v>
      </c>
      <c r="J363">
        <v>1212.9550781</v>
      </c>
      <c r="K363">
        <v>2400</v>
      </c>
      <c r="L363">
        <v>0</v>
      </c>
      <c r="M363">
        <v>0</v>
      </c>
      <c r="N363">
        <v>2400</v>
      </c>
    </row>
    <row r="364" spans="1:14" x14ac:dyDescent="0.25">
      <c r="A364">
        <v>116.99744</v>
      </c>
      <c r="B364" s="1">
        <f>DATE(2010,8,25) + TIME(23,56,18)</f>
        <v>40415.997430555559</v>
      </c>
      <c r="C364">
        <v>80</v>
      </c>
      <c r="D364">
        <v>79.912872313999998</v>
      </c>
      <c r="E364">
        <v>50</v>
      </c>
      <c r="F364">
        <v>15.000072479</v>
      </c>
      <c r="G364">
        <v>1384.7550048999999</v>
      </c>
      <c r="H364">
        <v>1371.2336425999999</v>
      </c>
      <c r="I364">
        <v>1252.5360106999999</v>
      </c>
      <c r="J364">
        <v>1212.9698486</v>
      </c>
      <c r="K364">
        <v>2400</v>
      </c>
      <c r="L364">
        <v>0</v>
      </c>
      <c r="M364">
        <v>0</v>
      </c>
      <c r="N364">
        <v>2400</v>
      </c>
    </row>
    <row r="365" spans="1:14" x14ac:dyDescent="0.25">
      <c r="A365">
        <v>117.514003</v>
      </c>
      <c r="B365" s="1">
        <f>DATE(2010,8,26) + TIME(12,20,9)</f>
        <v>40416.513993055552</v>
      </c>
      <c r="C365">
        <v>80</v>
      </c>
      <c r="D365">
        <v>79.912933350000003</v>
      </c>
      <c r="E365">
        <v>50</v>
      </c>
      <c r="F365">
        <v>15.000177383</v>
      </c>
      <c r="G365">
        <v>1384.7233887</v>
      </c>
      <c r="H365">
        <v>1371.2039795000001</v>
      </c>
      <c r="I365">
        <v>1252.5522461</v>
      </c>
      <c r="J365">
        <v>1212.9847411999999</v>
      </c>
      <c r="K365">
        <v>2400</v>
      </c>
      <c r="L365">
        <v>0</v>
      </c>
      <c r="M365">
        <v>0</v>
      </c>
      <c r="N365">
        <v>2400</v>
      </c>
    </row>
    <row r="366" spans="1:14" x14ac:dyDescent="0.25">
      <c r="A366">
        <v>118.03056599999999</v>
      </c>
      <c r="B366" s="1">
        <f>DATE(2010,8,27) + TIME(0,44,0)</f>
        <v>40417.030555555553</v>
      </c>
      <c r="C366">
        <v>80</v>
      </c>
      <c r="D366">
        <v>79.912994385000005</v>
      </c>
      <c r="E366">
        <v>50</v>
      </c>
      <c r="F366">
        <v>15.000290871000001</v>
      </c>
      <c r="G366">
        <v>1384.6918945</v>
      </c>
      <c r="H366">
        <v>1371.1744385</v>
      </c>
      <c r="I366">
        <v>1252.5687256000001</v>
      </c>
      <c r="J366">
        <v>1212.9996338000001</v>
      </c>
      <c r="K366">
        <v>2400</v>
      </c>
      <c r="L366">
        <v>0</v>
      </c>
      <c r="M366">
        <v>0</v>
      </c>
      <c r="N366">
        <v>2400</v>
      </c>
    </row>
    <row r="367" spans="1:14" x14ac:dyDescent="0.25">
      <c r="A367">
        <v>118.547129</v>
      </c>
      <c r="B367" s="1">
        <f>DATE(2010,8,27) + TIME(13,7,51)</f>
        <v>40417.547118055554</v>
      </c>
      <c r="C367">
        <v>80</v>
      </c>
      <c r="D367">
        <v>79.913055420000006</v>
      </c>
      <c r="E367">
        <v>50</v>
      </c>
      <c r="F367">
        <v>15.000411987</v>
      </c>
      <c r="G367">
        <v>1384.6604004000001</v>
      </c>
      <c r="H367">
        <v>1371.1448975000001</v>
      </c>
      <c r="I367">
        <v>1252.5853271000001</v>
      </c>
      <c r="J367">
        <v>1213.0147704999999</v>
      </c>
      <c r="K367">
        <v>2400</v>
      </c>
      <c r="L367">
        <v>0</v>
      </c>
      <c r="M367">
        <v>0</v>
      </c>
      <c r="N367">
        <v>2400</v>
      </c>
    </row>
    <row r="368" spans="1:14" x14ac:dyDescent="0.25">
      <c r="A368">
        <v>119.063692</v>
      </c>
      <c r="B368" s="1">
        <f>DATE(2010,8,28) + TIME(1,31,42)</f>
        <v>40418.063680555555</v>
      </c>
      <c r="C368">
        <v>80</v>
      </c>
      <c r="D368">
        <v>79.913116454999994</v>
      </c>
      <c r="E368">
        <v>50</v>
      </c>
      <c r="F368">
        <v>15.000542640999999</v>
      </c>
      <c r="G368">
        <v>1384.6291504000001</v>
      </c>
      <c r="H368">
        <v>1371.1154785000001</v>
      </c>
      <c r="I368">
        <v>1252.6020507999999</v>
      </c>
      <c r="J368">
        <v>1213.0299072</v>
      </c>
      <c r="K368">
        <v>2400</v>
      </c>
      <c r="L368">
        <v>0</v>
      </c>
      <c r="M368">
        <v>0</v>
      </c>
      <c r="N368">
        <v>2400</v>
      </c>
    </row>
    <row r="369" spans="1:14" x14ac:dyDescent="0.25">
      <c r="A369">
        <v>119.58025499999999</v>
      </c>
      <c r="B369" s="1">
        <f>DATE(2010,8,28) + TIME(13,55,34)</f>
        <v>40418.580254629633</v>
      </c>
      <c r="C369">
        <v>80</v>
      </c>
      <c r="D369">
        <v>79.913169861</v>
      </c>
      <c r="E369">
        <v>50</v>
      </c>
      <c r="F369">
        <v>15.000682831000001</v>
      </c>
      <c r="G369">
        <v>1384.5979004000001</v>
      </c>
      <c r="H369">
        <v>1371.0861815999999</v>
      </c>
      <c r="I369">
        <v>1252.6188964999999</v>
      </c>
      <c r="J369">
        <v>1213.0452881000001</v>
      </c>
      <c r="K369">
        <v>2400</v>
      </c>
      <c r="L369">
        <v>0</v>
      </c>
      <c r="M369">
        <v>0</v>
      </c>
      <c r="N369">
        <v>2400</v>
      </c>
    </row>
    <row r="370" spans="1:14" x14ac:dyDescent="0.25">
      <c r="A370">
        <v>120.096818</v>
      </c>
      <c r="B370" s="1">
        <f>DATE(2010,8,29) + TIME(2,19,25)</f>
        <v>40419.096817129626</v>
      </c>
      <c r="C370">
        <v>80</v>
      </c>
      <c r="D370">
        <v>79.913230896000002</v>
      </c>
      <c r="E370">
        <v>50</v>
      </c>
      <c r="F370">
        <v>15.000832558000001</v>
      </c>
      <c r="G370">
        <v>1384.5667725000001</v>
      </c>
      <c r="H370">
        <v>1371.0570068</v>
      </c>
      <c r="I370">
        <v>1252.6358643000001</v>
      </c>
      <c r="J370">
        <v>1213.0606689000001</v>
      </c>
      <c r="K370">
        <v>2400</v>
      </c>
      <c r="L370">
        <v>0</v>
      </c>
      <c r="M370">
        <v>0</v>
      </c>
      <c r="N370">
        <v>2400</v>
      </c>
    </row>
    <row r="371" spans="1:14" x14ac:dyDescent="0.25">
      <c r="A371">
        <v>120.613381</v>
      </c>
      <c r="B371" s="1">
        <f>DATE(2010,8,29) + TIME(14,43,16)</f>
        <v>40419.613379629627</v>
      </c>
      <c r="C371">
        <v>80</v>
      </c>
      <c r="D371">
        <v>79.913291931000003</v>
      </c>
      <c r="E371">
        <v>50</v>
      </c>
      <c r="F371">
        <v>15.000993728999999</v>
      </c>
      <c r="G371">
        <v>1384.5357666</v>
      </c>
      <c r="H371">
        <v>1371.0279541</v>
      </c>
      <c r="I371">
        <v>1252.6529541</v>
      </c>
      <c r="J371">
        <v>1213.0762939000001</v>
      </c>
      <c r="K371">
        <v>2400</v>
      </c>
      <c r="L371">
        <v>0</v>
      </c>
      <c r="M371">
        <v>0</v>
      </c>
      <c r="N371">
        <v>2400</v>
      </c>
    </row>
    <row r="372" spans="1:14" x14ac:dyDescent="0.25">
      <c r="A372">
        <v>121.12994500000001</v>
      </c>
      <c r="B372" s="1">
        <f>DATE(2010,8,30) + TIME(3,7,7)</f>
        <v>40420.129942129628</v>
      </c>
      <c r="C372">
        <v>80</v>
      </c>
      <c r="D372">
        <v>79.913352966000005</v>
      </c>
      <c r="E372">
        <v>50</v>
      </c>
      <c r="F372">
        <v>15.001167297</v>
      </c>
      <c r="G372">
        <v>1384.5048827999999</v>
      </c>
      <c r="H372">
        <v>1370.9989014</v>
      </c>
      <c r="I372">
        <v>1252.6701660000001</v>
      </c>
      <c r="J372">
        <v>1213.0919189000001</v>
      </c>
      <c r="K372">
        <v>2400</v>
      </c>
      <c r="L372">
        <v>0</v>
      </c>
      <c r="M372">
        <v>0</v>
      </c>
      <c r="N372">
        <v>2400</v>
      </c>
    </row>
    <row r="373" spans="1:14" x14ac:dyDescent="0.25">
      <c r="A373">
        <v>122.163071</v>
      </c>
      <c r="B373" s="1">
        <f>DATE(2010,8,31) + TIME(3,54,49)</f>
        <v>40421.16306712963</v>
      </c>
      <c r="C373">
        <v>80</v>
      </c>
      <c r="D373">
        <v>79.913475036999998</v>
      </c>
      <c r="E373">
        <v>50</v>
      </c>
      <c r="F373">
        <v>15.001437187000001</v>
      </c>
      <c r="G373">
        <v>1384.4746094</v>
      </c>
      <c r="H373">
        <v>1370.9704589999999</v>
      </c>
      <c r="I373">
        <v>1252.6879882999999</v>
      </c>
      <c r="J373">
        <v>1213.1081543</v>
      </c>
      <c r="K373">
        <v>2400</v>
      </c>
      <c r="L373">
        <v>0</v>
      </c>
      <c r="M373">
        <v>0</v>
      </c>
      <c r="N373">
        <v>2400</v>
      </c>
    </row>
    <row r="374" spans="1:14" x14ac:dyDescent="0.25">
      <c r="A374">
        <v>123</v>
      </c>
      <c r="B374" s="1">
        <f>DATE(2010,9,1) + TIME(0,0,0)</f>
        <v>40422</v>
      </c>
      <c r="C374">
        <v>80</v>
      </c>
      <c r="D374">
        <v>79.913574218999997</v>
      </c>
      <c r="E374">
        <v>50</v>
      </c>
      <c r="F374">
        <v>15.001766204999999</v>
      </c>
      <c r="G374">
        <v>1384.4135742000001</v>
      </c>
      <c r="H374">
        <v>1370.9132079999999</v>
      </c>
      <c r="I374">
        <v>1252.7226562000001</v>
      </c>
      <c r="J374">
        <v>1213.1395264</v>
      </c>
      <c r="K374">
        <v>2400</v>
      </c>
      <c r="L374">
        <v>0</v>
      </c>
      <c r="M374">
        <v>0</v>
      </c>
      <c r="N374">
        <v>2400</v>
      </c>
    </row>
    <row r="375" spans="1:14" x14ac:dyDescent="0.25">
      <c r="A375">
        <v>124.035336</v>
      </c>
      <c r="B375" s="1">
        <f>DATE(2010,9,2) + TIME(0,50,52)</f>
        <v>40423.035324074073</v>
      </c>
      <c r="C375">
        <v>80</v>
      </c>
      <c r="D375">
        <v>79.913696289000001</v>
      </c>
      <c r="E375">
        <v>50</v>
      </c>
      <c r="F375">
        <v>15.002175331</v>
      </c>
      <c r="G375">
        <v>1384.3642577999999</v>
      </c>
      <c r="H375">
        <v>1370.8669434000001</v>
      </c>
      <c r="I375">
        <v>1252.7517089999999</v>
      </c>
      <c r="J375">
        <v>1213.1658935999999</v>
      </c>
      <c r="K375">
        <v>2400</v>
      </c>
      <c r="L375">
        <v>0</v>
      </c>
      <c r="M375">
        <v>0</v>
      </c>
      <c r="N375">
        <v>2400</v>
      </c>
    </row>
    <row r="376" spans="1:14" x14ac:dyDescent="0.25">
      <c r="A376">
        <v>124.56871099999999</v>
      </c>
      <c r="B376" s="1">
        <f>DATE(2010,9,2) + TIME(13,38,56)</f>
        <v>40423.568703703706</v>
      </c>
      <c r="C376">
        <v>80</v>
      </c>
      <c r="D376">
        <v>79.913749695000007</v>
      </c>
      <c r="E376">
        <v>50</v>
      </c>
      <c r="F376">
        <v>15.002522469000001</v>
      </c>
      <c r="G376">
        <v>1384.3035889</v>
      </c>
      <c r="H376">
        <v>1370.8099365</v>
      </c>
      <c r="I376">
        <v>1252.7874756000001</v>
      </c>
      <c r="J376">
        <v>1213.1981201000001</v>
      </c>
      <c r="K376">
        <v>2400</v>
      </c>
      <c r="L376">
        <v>0</v>
      </c>
      <c r="M376">
        <v>0</v>
      </c>
      <c r="N376">
        <v>2400</v>
      </c>
    </row>
    <row r="377" spans="1:14" x14ac:dyDescent="0.25">
      <c r="A377">
        <v>125.102086</v>
      </c>
      <c r="B377" s="1">
        <f>DATE(2010,9,3) + TIME(2,27,0)</f>
        <v>40424.102083333331</v>
      </c>
      <c r="C377">
        <v>80</v>
      </c>
      <c r="D377">
        <v>79.913810729999994</v>
      </c>
      <c r="E377">
        <v>50</v>
      </c>
      <c r="F377">
        <v>15.002863884</v>
      </c>
      <c r="G377">
        <v>1384.2719727000001</v>
      </c>
      <c r="H377">
        <v>1370.7801514</v>
      </c>
      <c r="I377">
        <v>1252.8066406</v>
      </c>
      <c r="J377">
        <v>1213.2155762</v>
      </c>
      <c r="K377">
        <v>2400</v>
      </c>
      <c r="L377">
        <v>0</v>
      </c>
      <c r="M377">
        <v>0</v>
      </c>
      <c r="N377">
        <v>2400</v>
      </c>
    </row>
    <row r="378" spans="1:14" x14ac:dyDescent="0.25">
      <c r="A378">
        <v>125.63546100000001</v>
      </c>
      <c r="B378" s="1">
        <f>DATE(2010,9,3) + TIME(15,15,3)</f>
        <v>40424.635451388887</v>
      </c>
      <c r="C378">
        <v>80</v>
      </c>
      <c r="D378">
        <v>79.913864136000001</v>
      </c>
      <c r="E378">
        <v>50</v>
      </c>
      <c r="F378">
        <v>15.003212929</v>
      </c>
      <c r="G378">
        <v>1384.2409668</v>
      </c>
      <c r="H378">
        <v>1370.7510986</v>
      </c>
      <c r="I378">
        <v>1252.8258057</v>
      </c>
      <c r="J378">
        <v>1213.2329102000001</v>
      </c>
      <c r="K378">
        <v>2400</v>
      </c>
      <c r="L378">
        <v>0</v>
      </c>
      <c r="M378">
        <v>0</v>
      </c>
      <c r="N378">
        <v>2400</v>
      </c>
    </row>
    <row r="379" spans="1:14" x14ac:dyDescent="0.25">
      <c r="A379">
        <v>126.168837</v>
      </c>
      <c r="B379" s="1">
        <f>DATE(2010,9,4) + TIME(4,3,7)</f>
        <v>40425.16883101852</v>
      </c>
      <c r="C379">
        <v>80</v>
      </c>
      <c r="D379">
        <v>79.913925171000002</v>
      </c>
      <c r="E379">
        <v>50</v>
      </c>
      <c r="F379">
        <v>15.003575325</v>
      </c>
      <c r="G379">
        <v>1384.2100829999999</v>
      </c>
      <c r="H379">
        <v>1370.7220459</v>
      </c>
      <c r="I379">
        <v>1252.8450928</v>
      </c>
      <c r="J379">
        <v>1213.2504882999999</v>
      </c>
      <c r="K379">
        <v>2400</v>
      </c>
      <c r="L379">
        <v>0</v>
      </c>
      <c r="M379">
        <v>0</v>
      </c>
      <c r="N379">
        <v>2400</v>
      </c>
    </row>
    <row r="380" spans="1:14" x14ac:dyDescent="0.25">
      <c r="A380">
        <v>126.702212</v>
      </c>
      <c r="B380" s="1">
        <f>DATE(2010,9,4) + TIME(16,51,11)</f>
        <v>40425.702210648145</v>
      </c>
      <c r="C380">
        <v>80</v>
      </c>
      <c r="D380">
        <v>79.913986206000004</v>
      </c>
      <c r="E380">
        <v>50</v>
      </c>
      <c r="F380">
        <v>15.003956795000001</v>
      </c>
      <c r="G380">
        <v>1384.1791992000001</v>
      </c>
      <c r="H380">
        <v>1370.6929932</v>
      </c>
      <c r="I380">
        <v>1252.864624</v>
      </c>
      <c r="J380">
        <v>1213.2680664</v>
      </c>
      <c r="K380">
        <v>2400</v>
      </c>
      <c r="L380">
        <v>0</v>
      </c>
      <c r="M380">
        <v>0</v>
      </c>
      <c r="N380">
        <v>2400</v>
      </c>
    </row>
    <row r="381" spans="1:14" x14ac:dyDescent="0.25">
      <c r="A381">
        <v>127.235587</v>
      </c>
      <c r="B381" s="1">
        <f>DATE(2010,9,5) + TIME(5,39,14)</f>
        <v>40426.235578703701</v>
      </c>
      <c r="C381">
        <v>80</v>
      </c>
      <c r="D381">
        <v>79.914047241000006</v>
      </c>
      <c r="E381">
        <v>50</v>
      </c>
      <c r="F381">
        <v>15.004361153</v>
      </c>
      <c r="G381">
        <v>1384.1485596</v>
      </c>
      <c r="H381">
        <v>1370.6641846</v>
      </c>
      <c r="I381">
        <v>1252.8842772999999</v>
      </c>
      <c r="J381">
        <v>1213.2858887</v>
      </c>
      <c r="K381">
        <v>2400</v>
      </c>
      <c r="L381">
        <v>0</v>
      </c>
      <c r="M381">
        <v>0</v>
      </c>
      <c r="N381">
        <v>2400</v>
      </c>
    </row>
    <row r="382" spans="1:14" x14ac:dyDescent="0.25">
      <c r="A382">
        <v>127.768089</v>
      </c>
      <c r="B382" s="1">
        <f>DATE(2010,9,5) + TIME(18,26,2)</f>
        <v>40426.768078703702</v>
      </c>
      <c r="C382">
        <v>80</v>
      </c>
      <c r="D382">
        <v>79.914108275999993</v>
      </c>
      <c r="E382">
        <v>50</v>
      </c>
      <c r="F382">
        <v>15.004791259999999</v>
      </c>
      <c r="G382">
        <v>1384.1179199000001</v>
      </c>
      <c r="H382">
        <v>1370.635376</v>
      </c>
      <c r="I382">
        <v>1252.9041748</v>
      </c>
      <c r="J382">
        <v>1213.3039550999999</v>
      </c>
      <c r="K382">
        <v>2400</v>
      </c>
      <c r="L382">
        <v>0</v>
      </c>
      <c r="M382">
        <v>0</v>
      </c>
      <c r="N382">
        <v>2400</v>
      </c>
    </row>
    <row r="383" spans="1:14" x14ac:dyDescent="0.25">
      <c r="A383">
        <v>128.29921300000001</v>
      </c>
      <c r="B383" s="1">
        <f>DATE(2010,9,6) + TIME(7,10,51)</f>
        <v>40427.299201388887</v>
      </c>
      <c r="C383">
        <v>80</v>
      </c>
      <c r="D383">
        <v>79.914169311999999</v>
      </c>
      <c r="E383">
        <v>50</v>
      </c>
      <c r="F383">
        <v>15.005249977</v>
      </c>
      <c r="G383">
        <v>1384.0874022999999</v>
      </c>
      <c r="H383">
        <v>1370.6068115</v>
      </c>
      <c r="I383">
        <v>1252.9241943</v>
      </c>
      <c r="J383">
        <v>1213.3220214999999</v>
      </c>
      <c r="K383">
        <v>2400</v>
      </c>
      <c r="L383">
        <v>0</v>
      </c>
      <c r="M383">
        <v>0</v>
      </c>
      <c r="N383">
        <v>2400</v>
      </c>
    </row>
    <row r="384" spans="1:14" x14ac:dyDescent="0.25">
      <c r="A384">
        <v>128.82907299999999</v>
      </c>
      <c r="B384" s="1">
        <f>DATE(2010,9,6) + TIME(19,53,51)</f>
        <v>40427.829062500001</v>
      </c>
      <c r="C384">
        <v>80</v>
      </c>
      <c r="D384">
        <v>79.914230347</v>
      </c>
      <c r="E384">
        <v>50</v>
      </c>
      <c r="F384">
        <v>15.005739212</v>
      </c>
      <c r="G384">
        <v>1384.0571289</v>
      </c>
      <c r="H384">
        <v>1370.5782471</v>
      </c>
      <c r="I384">
        <v>1252.9443358999999</v>
      </c>
      <c r="J384">
        <v>1213.340332</v>
      </c>
      <c r="K384">
        <v>2400</v>
      </c>
      <c r="L384">
        <v>0</v>
      </c>
      <c r="M384">
        <v>0</v>
      </c>
      <c r="N384">
        <v>2400</v>
      </c>
    </row>
    <row r="385" spans="1:14" x14ac:dyDescent="0.25">
      <c r="A385">
        <v>129.35776799999999</v>
      </c>
      <c r="B385" s="1">
        <f>DATE(2010,9,7) + TIME(8,35,11)</f>
        <v>40428.357766203706</v>
      </c>
      <c r="C385">
        <v>80</v>
      </c>
      <c r="D385">
        <v>79.914291382000002</v>
      </c>
      <c r="E385">
        <v>50</v>
      </c>
      <c r="F385">
        <v>15.006260872</v>
      </c>
      <c r="G385">
        <v>1384.0269774999999</v>
      </c>
      <c r="H385">
        <v>1370.5499268000001</v>
      </c>
      <c r="I385">
        <v>1252.9645995999999</v>
      </c>
      <c r="J385">
        <v>1213.3587646000001</v>
      </c>
      <c r="K385">
        <v>2400</v>
      </c>
      <c r="L385">
        <v>0</v>
      </c>
      <c r="M385">
        <v>0</v>
      </c>
      <c r="N385">
        <v>2400</v>
      </c>
    </row>
    <row r="386" spans="1:14" x14ac:dyDescent="0.25">
      <c r="A386">
        <v>129.88540800000001</v>
      </c>
      <c r="B386" s="1">
        <f>DATE(2010,9,7) + TIME(21,14,59)</f>
        <v>40428.885405092595</v>
      </c>
      <c r="C386">
        <v>80</v>
      </c>
      <c r="D386">
        <v>79.914344787999994</v>
      </c>
      <c r="E386">
        <v>50</v>
      </c>
      <c r="F386">
        <v>15.006816863999999</v>
      </c>
      <c r="G386">
        <v>1383.9970702999999</v>
      </c>
      <c r="H386">
        <v>1370.5217285000001</v>
      </c>
      <c r="I386">
        <v>1252.9851074000001</v>
      </c>
      <c r="J386">
        <v>1213.3771973</v>
      </c>
      <c r="K386">
        <v>2400</v>
      </c>
      <c r="L386">
        <v>0</v>
      </c>
      <c r="M386">
        <v>0</v>
      </c>
      <c r="N386">
        <v>2400</v>
      </c>
    </row>
    <row r="387" spans="1:14" x14ac:dyDescent="0.25">
      <c r="A387">
        <v>130.41211300000001</v>
      </c>
      <c r="B387" s="1">
        <f>DATE(2010,9,8) + TIME(9,53,26)</f>
        <v>40429.412106481483</v>
      </c>
      <c r="C387">
        <v>80</v>
      </c>
      <c r="D387">
        <v>79.914405822999996</v>
      </c>
      <c r="E387">
        <v>50</v>
      </c>
      <c r="F387">
        <v>15.007411003</v>
      </c>
      <c r="G387">
        <v>1383.9671631000001</v>
      </c>
      <c r="H387">
        <v>1370.4936522999999</v>
      </c>
      <c r="I387">
        <v>1253.0057373</v>
      </c>
      <c r="J387">
        <v>1213.395874</v>
      </c>
      <c r="K387">
        <v>2400</v>
      </c>
      <c r="L387">
        <v>0</v>
      </c>
      <c r="M387">
        <v>0</v>
      </c>
      <c r="N387">
        <v>2400</v>
      </c>
    </row>
    <row r="388" spans="1:14" x14ac:dyDescent="0.25">
      <c r="A388">
        <v>130.93801500000001</v>
      </c>
      <c r="B388" s="1">
        <f>DATE(2010,9,8) + TIME(22,30,44)</f>
        <v>40429.938009259262</v>
      </c>
      <c r="C388">
        <v>80</v>
      </c>
      <c r="D388">
        <v>79.914466857999997</v>
      </c>
      <c r="E388">
        <v>50</v>
      </c>
      <c r="F388">
        <v>15.008044243000001</v>
      </c>
      <c r="G388">
        <v>1383.9375</v>
      </c>
      <c r="H388">
        <v>1370.4656981999999</v>
      </c>
      <c r="I388">
        <v>1253.0264893000001</v>
      </c>
      <c r="J388">
        <v>1213.4147949000001</v>
      </c>
      <c r="K388">
        <v>2400</v>
      </c>
      <c r="L388">
        <v>0</v>
      </c>
      <c r="M388">
        <v>0</v>
      </c>
      <c r="N388">
        <v>2400</v>
      </c>
    </row>
    <row r="389" spans="1:14" x14ac:dyDescent="0.25">
      <c r="A389">
        <v>131.98849000000001</v>
      </c>
      <c r="B389" s="1">
        <f>DATE(2010,9,9) + TIME(23,43,25)</f>
        <v>40430.988483796296</v>
      </c>
      <c r="C389">
        <v>80</v>
      </c>
      <c r="D389">
        <v>79.914596558</v>
      </c>
      <c r="E389">
        <v>50</v>
      </c>
      <c r="F389">
        <v>15.009027481</v>
      </c>
      <c r="G389">
        <v>1383.9083252</v>
      </c>
      <c r="H389">
        <v>1370.4383545000001</v>
      </c>
      <c r="I389">
        <v>1253.0477295000001</v>
      </c>
      <c r="J389">
        <v>1213.4342041</v>
      </c>
      <c r="K389">
        <v>2400</v>
      </c>
      <c r="L389">
        <v>0</v>
      </c>
      <c r="M389">
        <v>0</v>
      </c>
      <c r="N389">
        <v>2400</v>
      </c>
    </row>
    <row r="390" spans="1:14" x14ac:dyDescent="0.25">
      <c r="A390">
        <v>133.04253800000001</v>
      </c>
      <c r="B390" s="1">
        <f>DATE(2010,9,11) + TIME(1,1,15)</f>
        <v>40432.042534722219</v>
      </c>
      <c r="C390">
        <v>80</v>
      </c>
      <c r="D390">
        <v>79.914710998999993</v>
      </c>
      <c r="E390">
        <v>50</v>
      </c>
      <c r="F390">
        <v>15.010343552</v>
      </c>
      <c r="G390">
        <v>1383.8499756000001</v>
      </c>
      <c r="H390">
        <v>1370.3834228999999</v>
      </c>
      <c r="I390">
        <v>1253.0898437999999</v>
      </c>
      <c r="J390">
        <v>1213.4724120999999</v>
      </c>
      <c r="K390">
        <v>2400</v>
      </c>
      <c r="L390">
        <v>0</v>
      </c>
      <c r="M390">
        <v>0</v>
      </c>
      <c r="N390">
        <v>2400</v>
      </c>
    </row>
    <row r="391" spans="1:14" x14ac:dyDescent="0.25">
      <c r="A391">
        <v>134.11133100000001</v>
      </c>
      <c r="B391" s="1">
        <f>DATE(2010,9,12) + TIME(2,40,19)</f>
        <v>40433.111331018517</v>
      </c>
      <c r="C391">
        <v>80</v>
      </c>
      <c r="D391">
        <v>79.914833068999997</v>
      </c>
      <c r="E391">
        <v>50</v>
      </c>
      <c r="F391">
        <v>15.011940956</v>
      </c>
      <c r="G391">
        <v>1383.7913818</v>
      </c>
      <c r="H391">
        <v>1370.3283690999999</v>
      </c>
      <c r="I391">
        <v>1253.1330565999999</v>
      </c>
      <c r="J391">
        <v>1213.5115966999999</v>
      </c>
      <c r="K391">
        <v>2400</v>
      </c>
      <c r="L391">
        <v>0</v>
      </c>
      <c r="M391">
        <v>0</v>
      </c>
      <c r="N391">
        <v>2400</v>
      </c>
    </row>
    <row r="392" spans="1:14" x14ac:dyDescent="0.25">
      <c r="A392">
        <v>134.652266</v>
      </c>
      <c r="B392" s="1">
        <f>DATE(2010,9,12) + TIME(15,39,15)</f>
        <v>40433.652256944442</v>
      </c>
      <c r="C392">
        <v>80</v>
      </c>
      <c r="D392">
        <v>79.914886475000003</v>
      </c>
      <c r="E392">
        <v>50</v>
      </c>
      <c r="F392">
        <v>15.013235092</v>
      </c>
      <c r="G392">
        <v>1383.7322998</v>
      </c>
      <c r="H392">
        <v>1370.2727050999999</v>
      </c>
      <c r="I392">
        <v>1253.1777344</v>
      </c>
      <c r="J392">
        <v>1213.5515137</v>
      </c>
      <c r="K392">
        <v>2400</v>
      </c>
      <c r="L392">
        <v>0</v>
      </c>
      <c r="M392">
        <v>0</v>
      </c>
      <c r="N392">
        <v>2400</v>
      </c>
    </row>
    <row r="393" spans="1:14" x14ac:dyDescent="0.25">
      <c r="A393">
        <v>135.18936600000001</v>
      </c>
      <c r="B393" s="1">
        <f>DATE(2010,9,13) + TIME(4,32,41)</f>
        <v>40434.189363425925</v>
      </c>
      <c r="C393">
        <v>80</v>
      </c>
      <c r="D393">
        <v>79.914947510000005</v>
      </c>
      <c r="E393">
        <v>50</v>
      </c>
      <c r="F393">
        <v>15.014485359</v>
      </c>
      <c r="G393">
        <v>1383.7019043</v>
      </c>
      <c r="H393">
        <v>1370.2440185999999</v>
      </c>
      <c r="I393">
        <v>1253.2010498</v>
      </c>
      <c r="J393">
        <v>1213.572876</v>
      </c>
      <c r="K393">
        <v>2400</v>
      </c>
      <c r="L393">
        <v>0</v>
      </c>
      <c r="M393">
        <v>0</v>
      </c>
      <c r="N393">
        <v>2400</v>
      </c>
    </row>
    <row r="394" spans="1:14" x14ac:dyDescent="0.25">
      <c r="A394">
        <v>135.72558100000001</v>
      </c>
      <c r="B394" s="1">
        <f>DATE(2010,9,13) + TIME(17,24,50)</f>
        <v>40434.725578703707</v>
      </c>
      <c r="C394">
        <v>80</v>
      </c>
      <c r="D394">
        <v>79.915008545000006</v>
      </c>
      <c r="E394">
        <v>50</v>
      </c>
      <c r="F394">
        <v>15.015740395</v>
      </c>
      <c r="G394">
        <v>1383.6723632999999</v>
      </c>
      <c r="H394">
        <v>1370.2161865</v>
      </c>
      <c r="I394">
        <v>1253.2242432</v>
      </c>
      <c r="J394">
        <v>1213.5941161999999</v>
      </c>
      <c r="K394">
        <v>2400</v>
      </c>
      <c r="L394">
        <v>0</v>
      </c>
      <c r="M394">
        <v>0</v>
      </c>
      <c r="N394">
        <v>2400</v>
      </c>
    </row>
    <row r="395" spans="1:14" x14ac:dyDescent="0.25">
      <c r="A395">
        <v>136.26068799999999</v>
      </c>
      <c r="B395" s="1">
        <f>DATE(2010,9,14) + TIME(6,15,23)</f>
        <v>40435.260682870372</v>
      </c>
      <c r="C395">
        <v>80</v>
      </c>
      <c r="D395">
        <v>79.915061950999998</v>
      </c>
      <c r="E395">
        <v>50</v>
      </c>
      <c r="F395">
        <v>15.017028808999999</v>
      </c>
      <c r="G395">
        <v>1383.6429443</v>
      </c>
      <c r="H395">
        <v>1370.1884766000001</v>
      </c>
      <c r="I395">
        <v>1253.2478027</v>
      </c>
      <c r="J395">
        <v>1213.6156006000001</v>
      </c>
      <c r="K395">
        <v>2400</v>
      </c>
      <c r="L395">
        <v>0</v>
      </c>
      <c r="M395">
        <v>0</v>
      </c>
      <c r="N395">
        <v>2400</v>
      </c>
    </row>
    <row r="396" spans="1:14" x14ac:dyDescent="0.25">
      <c r="A396">
        <v>136.79468399999999</v>
      </c>
      <c r="B396" s="1">
        <f>DATE(2010,9,14) + TIME(19,4,20)</f>
        <v>40435.794675925928</v>
      </c>
      <c r="C396">
        <v>80</v>
      </c>
      <c r="D396">
        <v>79.915122986</v>
      </c>
      <c r="E396">
        <v>50</v>
      </c>
      <c r="F396">
        <v>15.018369675000001</v>
      </c>
      <c r="G396">
        <v>1383.6136475000001</v>
      </c>
      <c r="H396">
        <v>1370.1608887</v>
      </c>
      <c r="I396">
        <v>1253.2714844</v>
      </c>
      <c r="J396">
        <v>1213.637207</v>
      </c>
      <c r="K396">
        <v>2400</v>
      </c>
      <c r="L396">
        <v>0</v>
      </c>
      <c r="M396">
        <v>0</v>
      </c>
      <c r="N396">
        <v>2400</v>
      </c>
    </row>
    <row r="397" spans="1:14" x14ac:dyDescent="0.25">
      <c r="A397">
        <v>137.32757799999999</v>
      </c>
      <c r="B397" s="1">
        <f>DATE(2010,9,15) + TIME(7,51,42)</f>
        <v>40436.327569444446</v>
      </c>
      <c r="C397">
        <v>80</v>
      </c>
      <c r="D397">
        <v>79.915184021000002</v>
      </c>
      <c r="E397">
        <v>50</v>
      </c>
      <c r="F397">
        <v>15.019776344</v>
      </c>
      <c r="G397">
        <v>1383.5845947</v>
      </c>
      <c r="H397">
        <v>1370.1335449000001</v>
      </c>
      <c r="I397">
        <v>1253.2954102000001</v>
      </c>
      <c r="J397">
        <v>1213.6590576000001</v>
      </c>
      <c r="K397">
        <v>2400</v>
      </c>
      <c r="L397">
        <v>0</v>
      </c>
      <c r="M397">
        <v>0</v>
      </c>
      <c r="N397">
        <v>2400</v>
      </c>
    </row>
    <row r="398" spans="1:14" x14ac:dyDescent="0.25">
      <c r="A398">
        <v>137.859408</v>
      </c>
      <c r="B398" s="1">
        <f>DATE(2010,9,15) + TIME(20,37,32)</f>
        <v>40436.859398148146</v>
      </c>
      <c r="C398">
        <v>80</v>
      </c>
      <c r="D398">
        <v>79.915245056000003</v>
      </c>
      <c r="E398">
        <v>50</v>
      </c>
      <c r="F398">
        <v>15.021261214999999</v>
      </c>
      <c r="G398">
        <v>1383.5555420000001</v>
      </c>
      <c r="H398">
        <v>1370.1062012</v>
      </c>
      <c r="I398">
        <v>1253.3195800999999</v>
      </c>
      <c r="J398">
        <v>1213.6811522999999</v>
      </c>
      <c r="K398">
        <v>2400</v>
      </c>
      <c r="L398">
        <v>0</v>
      </c>
      <c r="M398">
        <v>0</v>
      </c>
      <c r="N398">
        <v>2400</v>
      </c>
    </row>
    <row r="399" spans="1:14" x14ac:dyDescent="0.25">
      <c r="A399">
        <v>138.390231</v>
      </c>
      <c r="B399" s="1">
        <f>DATE(2010,9,16) + TIME(9,21,55)</f>
        <v>40437.390219907407</v>
      </c>
      <c r="C399">
        <v>80</v>
      </c>
      <c r="D399">
        <v>79.915306091000005</v>
      </c>
      <c r="E399">
        <v>50</v>
      </c>
      <c r="F399">
        <v>15.022831917</v>
      </c>
      <c r="G399">
        <v>1383.5267334</v>
      </c>
      <c r="H399">
        <v>1370.0789795000001</v>
      </c>
      <c r="I399">
        <v>1253.3439940999999</v>
      </c>
      <c r="J399">
        <v>1213.7033690999999</v>
      </c>
      <c r="K399">
        <v>2400</v>
      </c>
      <c r="L399">
        <v>0</v>
      </c>
      <c r="M399">
        <v>0</v>
      </c>
      <c r="N399">
        <v>2400</v>
      </c>
    </row>
    <row r="400" spans="1:14" x14ac:dyDescent="0.25">
      <c r="A400">
        <v>138.92015499999999</v>
      </c>
      <c r="B400" s="1">
        <f>DATE(2010,9,16) + TIME(22,5,1)</f>
        <v>40437.92015046296</v>
      </c>
      <c r="C400">
        <v>80</v>
      </c>
      <c r="D400">
        <v>79.915359496999997</v>
      </c>
      <c r="E400">
        <v>50</v>
      </c>
      <c r="F400">
        <v>15.024495125</v>
      </c>
      <c r="G400">
        <v>1383.4980469</v>
      </c>
      <c r="H400">
        <v>1370.0518798999999</v>
      </c>
      <c r="I400">
        <v>1253.3686522999999</v>
      </c>
      <c r="J400">
        <v>1213.7259521000001</v>
      </c>
      <c r="K400">
        <v>2400</v>
      </c>
      <c r="L400">
        <v>0</v>
      </c>
      <c r="M400">
        <v>0</v>
      </c>
      <c r="N400">
        <v>2400</v>
      </c>
    </row>
    <row r="401" spans="1:14" x14ac:dyDescent="0.25">
      <c r="A401">
        <v>139.44929400000001</v>
      </c>
      <c r="B401" s="1">
        <f>DATE(2010,9,17) + TIME(10,46,59)</f>
        <v>40438.449293981481</v>
      </c>
      <c r="C401">
        <v>80</v>
      </c>
      <c r="D401">
        <v>79.915420531999999</v>
      </c>
      <c r="E401">
        <v>50</v>
      </c>
      <c r="F401">
        <v>15.026257514999999</v>
      </c>
      <c r="G401">
        <v>1383.4693603999999</v>
      </c>
      <c r="H401">
        <v>1370.0249022999999</v>
      </c>
      <c r="I401">
        <v>1253.3935547000001</v>
      </c>
      <c r="J401">
        <v>1213.7487793</v>
      </c>
      <c r="K401">
        <v>2400</v>
      </c>
      <c r="L401">
        <v>0</v>
      </c>
      <c r="M401">
        <v>0</v>
      </c>
      <c r="N401">
        <v>2400</v>
      </c>
    </row>
    <row r="402" spans="1:14" x14ac:dyDescent="0.25">
      <c r="A402">
        <v>140.50624400000001</v>
      </c>
      <c r="B402" s="1">
        <f>DATE(2010,9,18) + TIME(12,8,59)</f>
        <v>40439.506238425929</v>
      </c>
      <c r="C402">
        <v>80</v>
      </c>
      <c r="D402">
        <v>79.915542603000006</v>
      </c>
      <c r="E402">
        <v>50</v>
      </c>
      <c r="F402">
        <v>15.028975487</v>
      </c>
      <c r="G402">
        <v>1383.4411620999999</v>
      </c>
      <c r="H402">
        <v>1369.9984131000001</v>
      </c>
      <c r="I402">
        <v>1253.4187012</v>
      </c>
      <c r="J402">
        <v>1213.7725829999999</v>
      </c>
      <c r="K402">
        <v>2400</v>
      </c>
      <c r="L402">
        <v>0</v>
      </c>
      <c r="M402">
        <v>0</v>
      </c>
      <c r="N402">
        <v>2400</v>
      </c>
    </row>
    <row r="403" spans="1:14" x14ac:dyDescent="0.25">
      <c r="A403">
        <v>141.56679700000001</v>
      </c>
      <c r="B403" s="1">
        <f>DATE(2010,9,19) + TIME(13,36,11)</f>
        <v>40440.566793981481</v>
      </c>
      <c r="C403">
        <v>80</v>
      </c>
      <c r="D403">
        <v>79.915664672999995</v>
      </c>
      <c r="E403">
        <v>50</v>
      </c>
      <c r="F403">
        <v>15.032589912000001</v>
      </c>
      <c r="G403">
        <v>1383.3848877</v>
      </c>
      <c r="H403">
        <v>1369.9453125</v>
      </c>
      <c r="I403">
        <v>1253.4694824000001</v>
      </c>
      <c r="J403">
        <v>1213.8189697</v>
      </c>
      <c r="K403">
        <v>2400</v>
      </c>
      <c r="L403">
        <v>0</v>
      </c>
      <c r="M403">
        <v>0</v>
      </c>
      <c r="N403">
        <v>2400</v>
      </c>
    </row>
    <row r="404" spans="1:14" x14ac:dyDescent="0.25">
      <c r="A404">
        <v>142.64103900000001</v>
      </c>
      <c r="B404" s="1">
        <f>DATE(2010,9,20) + TIME(15,23,5)</f>
        <v>40441.641030092593</v>
      </c>
      <c r="C404">
        <v>80</v>
      </c>
      <c r="D404">
        <v>79.915786742999998</v>
      </c>
      <c r="E404">
        <v>50</v>
      </c>
      <c r="F404">
        <v>15.036933898999999</v>
      </c>
      <c r="G404">
        <v>1383.3283690999999</v>
      </c>
      <c r="H404">
        <v>1369.8919678</v>
      </c>
      <c r="I404">
        <v>1253.5217285000001</v>
      </c>
      <c r="J404">
        <v>1213.8669434000001</v>
      </c>
      <c r="K404">
        <v>2400</v>
      </c>
      <c r="L404">
        <v>0</v>
      </c>
      <c r="M404">
        <v>0</v>
      </c>
      <c r="N404">
        <v>2400</v>
      </c>
    </row>
    <row r="405" spans="1:14" x14ac:dyDescent="0.25">
      <c r="A405">
        <v>143.185429</v>
      </c>
      <c r="B405" s="1">
        <f>DATE(2010,9,21) + TIME(4,27,1)</f>
        <v>40442.185428240744</v>
      </c>
      <c r="C405">
        <v>80</v>
      </c>
      <c r="D405">
        <v>79.915840149000005</v>
      </c>
      <c r="E405">
        <v>50</v>
      </c>
      <c r="F405">
        <v>15.040427208000001</v>
      </c>
      <c r="G405">
        <v>1383.2712402</v>
      </c>
      <c r="H405">
        <v>1369.8381348</v>
      </c>
      <c r="I405">
        <v>1253.5761719</v>
      </c>
      <c r="J405">
        <v>1213.9160156</v>
      </c>
      <c r="K405">
        <v>2400</v>
      </c>
      <c r="L405">
        <v>0</v>
      </c>
      <c r="M405">
        <v>0</v>
      </c>
      <c r="N405">
        <v>2400</v>
      </c>
    </row>
    <row r="406" spans="1:14" x14ac:dyDescent="0.25">
      <c r="A406">
        <v>143.724096</v>
      </c>
      <c r="B406" s="1">
        <f>DATE(2010,9,21) + TIME(17,22,41)</f>
        <v>40442.724085648151</v>
      </c>
      <c r="C406">
        <v>80</v>
      </c>
      <c r="D406">
        <v>79.915893554999997</v>
      </c>
      <c r="E406">
        <v>50</v>
      </c>
      <c r="F406">
        <v>15.043774604999999</v>
      </c>
      <c r="G406">
        <v>1383.2418213000001</v>
      </c>
      <c r="H406">
        <v>1369.8103027</v>
      </c>
      <c r="I406">
        <v>1253.6044922000001</v>
      </c>
      <c r="J406">
        <v>1213.9426269999999</v>
      </c>
      <c r="K406">
        <v>2400</v>
      </c>
      <c r="L406">
        <v>0</v>
      </c>
      <c r="M406">
        <v>0</v>
      </c>
      <c r="N406">
        <v>2400</v>
      </c>
    </row>
    <row r="407" spans="1:14" x14ac:dyDescent="0.25">
      <c r="A407">
        <v>144.26209499999999</v>
      </c>
      <c r="B407" s="1">
        <f>DATE(2010,9,22) + TIME(6,17,25)</f>
        <v>40443.262094907404</v>
      </c>
      <c r="C407">
        <v>80</v>
      </c>
      <c r="D407">
        <v>79.915954589999998</v>
      </c>
      <c r="E407">
        <v>50</v>
      </c>
      <c r="F407">
        <v>15.047113419</v>
      </c>
      <c r="G407">
        <v>1383.2132568</v>
      </c>
      <c r="H407">
        <v>1369.7834473</v>
      </c>
      <c r="I407">
        <v>1253.6326904</v>
      </c>
      <c r="J407">
        <v>1213.9691161999999</v>
      </c>
      <c r="K407">
        <v>2400</v>
      </c>
      <c r="L407">
        <v>0</v>
      </c>
      <c r="M407">
        <v>0</v>
      </c>
      <c r="N407">
        <v>2400</v>
      </c>
    </row>
    <row r="408" spans="1:14" x14ac:dyDescent="0.25">
      <c r="A408">
        <v>144.799059</v>
      </c>
      <c r="B408" s="1">
        <f>DATE(2010,9,22) + TIME(19,10,38)</f>
        <v>40443.799050925925</v>
      </c>
      <c r="C408">
        <v>80</v>
      </c>
      <c r="D408">
        <v>79.916007996000005</v>
      </c>
      <c r="E408">
        <v>50</v>
      </c>
      <c r="F408">
        <v>15.050521850999999</v>
      </c>
      <c r="G408">
        <v>1383.1849365</v>
      </c>
      <c r="H408">
        <v>1369.7565918</v>
      </c>
      <c r="I408">
        <v>1253.6612548999999</v>
      </c>
      <c r="J408">
        <v>1213.9958495999999</v>
      </c>
      <c r="K408">
        <v>2400</v>
      </c>
      <c r="L408">
        <v>0</v>
      </c>
      <c r="M408">
        <v>0</v>
      </c>
      <c r="N408">
        <v>2400</v>
      </c>
    </row>
    <row r="409" spans="1:14" x14ac:dyDescent="0.25">
      <c r="A409">
        <v>145.33498399999999</v>
      </c>
      <c r="B409" s="1">
        <f>DATE(2010,9,23) + TIME(8,2,22)</f>
        <v>40444.334976851853</v>
      </c>
      <c r="C409">
        <v>80</v>
      </c>
      <c r="D409">
        <v>79.916069031000006</v>
      </c>
      <c r="E409">
        <v>50</v>
      </c>
      <c r="F409">
        <v>15.054049492000001</v>
      </c>
      <c r="G409">
        <v>1383.1566161999999</v>
      </c>
      <c r="H409">
        <v>1369.7298584</v>
      </c>
      <c r="I409">
        <v>1253.6901855000001</v>
      </c>
      <c r="J409">
        <v>1214.0229492000001</v>
      </c>
      <c r="K409">
        <v>2400</v>
      </c>
      <c r="L409">
        <v>0</v>
      </c>
      <c r="M409">
        <v>0</v>
      </c>
      <c r="N409">
        <v>2400</v>
      </c>
    </row>
    <row r="410" spans="1:14" x14ac:dyDescent="0.25">
      <c r="A410">
        <v>145.87019100000001</v>
      </c>
      <c r="B410" s="1">
        <f>DATE(2010,9,23) + TIME(20,53,4)</f>
        <v>40444.870185185187</v>
      </c>
      <c r="C410">
        <v>80</v>
      </c>
      <c r="D410">
        <v>79.916130065999994</v>
      </c>
      <c r="E410">
        <v>50</v>
      </c>
      <c r="F410">
        <v>15.057734489</v>
      </c>
      <c r="G410">
        <v>1383.128418</v>
      </c>
      <c r="H410">
        <v>1369.7033690999999</v>
      </c>
      <c r="I410">
        <v>1253.7193603999999</v>
      </c>
      <c r="J410">
        <v>1214.0505370999999</v>
      </c>
      <c r="K410">
        <v>2400</v>
      </c>
      <c r="L410">
        <v>0</v>
      </c>
      <c r="M410">
        <v>0</v>
      </c>
      <c r="N410">
        <v>2400</v>
      </c>
    </row>
    <row r="411" spans="1:14" x14ac:dyDescent="0.25">
      <c r="A411">
        <v>146.404822</v>
      </c>
      <c r="B411" s="1">
        <f>DATE(2010,9,24) + TIME(9,42,56)</f>
        <v>40445.404814814814</v>
      </c>
      <c r="C411">
        <v>80</v>
      </c>
      <c r="D411">
        <v>79.916191100999995</v>
      </c>
      <c r="E411">
        <v>50</v>
      </c>
      <c r="F411">
        <v>15.0616045</v>
      </c>
      <c r="G411">
        <v>1383.1003418</v>
      </c>
      <c r="H411">
        <v>1369.6767577999999</v>
      </c>
      <c r="I411">
        <v>1253.7490233999999</v>
      </c>
      <c r="J411">
        <v>1214.0783690999999</v>
      </c>
      <c r="K411">
        <v>2400</v>
      </c>
      <c r="L411">
        <v>0</v>
      </c>
      <c r="M411">
        <v>0</v>
      </c>
      <c r="N411">
        <v>2400</v>
      </c>
    </row>
    <row r="412" spans="1:14" x14ac:dyDescent="0.25">
      <c r="A412">
        <v>146.93892099999999</v>
      </c>
      <c r="B412" s="1">
        <f>DATE(2010,9,24) + TIME(22,32,2)</f>
        <v>40445.93891203704</v>
      </c>
      <c r="C412">
        <v>80</v>
      </c>
      <c r="D412">
        <v>79.916244507000002</v>
      </c>
      <c r="E412">
        <v>50</v>
      </c>
      <c r="F412">
        <v>15.06567955</v>
      </c>
      <c r="G412">
        <v>1383.0723877</v>
      </c>
      <c r="H412">
        <v>1369.6503906</v>
      </c>
      <c r="I412">
        <v>1253.7790527</v>
      </c>
      <c r="J412">
        <v>1214.1068115</v>
      </c>
      <c r="K412">
        <v>2400</v>
      </c>
      <c r="L412">
        <v>0</v>
      </c>
      <c r="M412">
        <v>0</v>
      </c>
      <c r="N412">
        <v>2400</v>
      </c>
    </row>
    <row r="413" spans="1:14" x14ac:dyDescent="0.25">
      <c r="A413">
        <v>147.472556</v>
      </c>
      <c r="B413" s="1">
        <f>DATE(2010,9,25) + TIME(11,20,28)</f>
        <v>40446.472546296296</v>
      </c>
      <c r="C413">
        <v>80</v>
      </c>
      <c r="D413">
        <v>79.916305542000003</v>
      </c>
      <c r="E413">
        <v>50</v>
      </c>
      <c r="F413">
        <v>15.069979668</v>
      </c>
      <c r="G413">
        <v>1383.0444336</v>
      </c>
      <c r="H413">
        <v>1369.6240233999999</v>
      </c>
      <c r="I413">
        <v>1253.8094481999999</v>
      </c>
      <c r="J413">
        <v>1214.1354980000001</v>
      </c>
      <c r="K413">
        <v>2400</v>
      </c>
      <c r="L413">
        <v>0</v>
      </c>
      <c r="M413">
        <v>0</v>
      </c>
      <c r="N413">
        <v>2400</v>
      </c>
    </row>
    <row r="414" spans="1:14" x14ac:dyDescent="0.25">
      <c r="A414">
        <v>148.00581600000001</v>
      </c>
      <c r="B414" s="1">
        <f>DATE(2010,9,26) + TIME(0,8,22)</f>
        <v>40447.005810185183</v>
      </c>
      <c r="C414">
        <v>80</v>
      </c>
      <c r="D414">
        <v>79.916358947999996</v>
      </c>
      <c r="E414">
        <v>50</v>
      </c>
      <c r="F414">
        <v>15.074519156999999</v>
      </c>
      <c r="G414">
        <v>1383.0166016000001</v>
      </c>
      <c r="H414">
        <v>1369.5976562000001</v>
      </c>
      <c r="I414">
        <v>1253.840332</v>
      </c>
      <c r="J414">
        <v>1214.1647949000001</v>
      </c>
      <c r="K414">
        <v>2400</v>
      </c>
      <c r="L414">
        <v>0</v>
      </c>
      <c r="M414">
        <v>0</v>
      </c>
      <c r="N414">
        <v>2400</v>
      </c>
    </row>
    <row r="415" spans="1:14" x14ac:dyDescent="0.25">
      <c r="A415">
        <v>148.53879699999999</v>
      </c>
      <c r="B415" s="1">
        <f>DATE(2010,9,26) + TIME(12,55,52)</f>
        <v>40447.5387962963</v>
      </c>
      <c r="C415">
        <v>80</v>
      </c>
      <c r="D415">
        <v>79.916419982999997</v>
      </c>
      <c r="E415">
        <v>50</v>
      </c>
      <c r="F415">
        <v>15.079315186000001</v>
      </c>
      <c r="G415">
        <v>1382.9888916</v>
      </c>
      <c r="H415">
        <v>1369.5714111</v>
      </c>
      <c r="I415">
        <v>1253.871582</v>
      </c>
      <c r="J415">
        <v>1214.1945800999999</v>
      </c>
      <c r="K415">
        <v>2400</v>
      </c>
      <c r="L415">
        <v>0</v>
      </c>
      <c r="M415">
        <v>0</v>
      </c>
      <c r="N415">
        <v>2400</v>
      </c>
    </row>
    <row r="416" spans="1:14" x14ac:dyDescent="0.25">
      <c r="A416">
        <v>149.60442900000001</v>
      </c>
      <c r="B416" s="1">
        <f>DATE(2010,9,27) + TIME(14,30,22)</f>
        <v>40448.604421296295</v>
      </c>
      <c r="C416">
        <v>80</v>
      </c>
      <c r="D416">
        <v>79.916542053000001</v>
      </c>
      <c r="E416">
        <v>50</v>
      </c>
      <c r="F416">
        <v>15.086668968</v>
      </c>
      <c r="G416">
        <v>1382.9615478999999</v>
      </c>
      <c r="H416">
        <v>1369.5455322</v>
      </c>
      <c r="I416">
        <v>1253.9025879000001</v>
      </c>
      <c r="J416">
        <v>1214.2260742000001</v>
      </c>
      <c r="K416">
        <v>2400</v>
      </c>
      <c r="L416">
        <v>0</v>
      </c>
      <c r="M416">
        <v>0</v>
      </c>
      <c r="N416">
        <v>2400</v>
      </c>
    </row>
    <row r="417" spans="1:14" x14ac:dyDescent="0.25">
      <c r="A417">
        <v>150.67022499999999</v>
      </c>
      <c r="B417" s="1">
        <f>DATE(2010,9,28) + TIME(16,5,7)</f>
        <v>40449.670219907406</v>
      </c>
      <c r="C417">
        <v>80</v>
      </c>
      <c r="D417">
        <v>79.916664123999993</v>
      </c>
      <c r="E417">
        <v>50</v>
      </c>
      <c r="F417">
        <v>15.096383095</v>
      </c>
      <c r="G417">
        <v>1382.9066161999999</v>
      </c>
      <c r="H417">
        <v>1369.4937743999999</v>
      </c>
      <c r="I417">
        <v>1253.9669189000001</v>
      </c>
      <c r="J417">
        <v>1214.2869873</v>
      </c>
      <c r="K417">
        <v>2400</v>
      </c>
      <c r="L417">
        <v>0</v>
      </c>
      <c r="M417">
        <v>0</v>
      </c>
      <c r="N417">
        <v>2400</v>
      </c>
    </row>
    <row r="418" spans="1:14" x14ac:dyDescent="0.25">
      <c r="A418">
        <v>151.75001399999999</v>
      </c>
      <c r="B418" s="1">
        <f>DATE(2010,9,29) + TIME(18,0,1)</f>
        <v>40450.750011574077</v>
      </c>
      <c r="C418">
        <v>80</v>
      </c>
      <c r="D418">
        <v>79.916778563999998</v>
      </c>
      <c r="E418">
        <v>50</v>
      </c>
      <c r="F418">
        <v>15.107954979000001</v>
      </c>
      <c r="G418">
        <v>1382.8516846</v>
      </c>
      <c r="H418">
        <v>1369.4417725000001</v>
      </c>
      <c r="I418">
        <v>1254.0330810999999</v>
      </c>
      <c r="J418">
        <v>1214.3505858999999</v>
      </c>
      <c r="K418">
        <v>2400</v>
      </c>
      <c r="L418">
        <v>0</v>
      </c>
      <c r="M418">
        <v>0</v>
      </c>
      <c r="N418">
        <v>2400</v>
      </c>
    </row>
    <row r="419" spans="1:14" x14ac:dyDescent="0.25">
      <c r="A419">
        <v>152.29786899999999</v>
      </c>
      <c r="B419" s="1">
        <f>DATE(2010,9,30) + TIME(7,8,55)</f>
        <v>40451.297858796293</v>
      </c>
      <c r="C419">
        <v>80</v>
      </c>
      <c r="D419">
        <v>79.916831970000004</v>
      </c>
      <c r="E419">
        <v>50</v>
      </c>
      <c r="F419">
        <v>15.117197037</v>
      </c>
      <c r="G419">
        <v>1382.7962646000001</v>
      </c>
      <c r="H419">
        <v>1369.3892822</v>
      </c>
      <c r="I419">
        <v>1254.1030272999999</v>
      </c>
      <c r="J419">
        <v>1214.4154053</v>
      </c>
      <c r="K419">
        <v>2400</v>
      </c>
      <c r="L419">
        <v>0</v>
      </c>
      <c r="M419">
        <v>0</v>
      </c>
      <c r="N419">
        <v>2400</v>
      </c>
    </row>
    <row r="420" spans="1:14" x14ac:dyDescent="0.25">
      <c r="A420">
        <v>153</v>
      </c>
      <c r="B420" s="1">
        <f>DATE(2010,10,1) + TIME(0,0,0)</f>
        <v>40452</v>
      </c>
      <c r="C420">
        <v>80</v>
      </c>
      <c r="D420">
        <v>79.916908264</v>
      </c>
      <c r="E420">
        <v>50</v>
      </c>
      <c r="F420">
        <v>15.127440453</v>
      </c>
      <c r="G420">
        <v>1382.7675781</v>
      </c>
      <c r="H420">
        <v>1369.3621826000001</v>
      </c>
      <c r="I420">
        <v>1254.1383057</v>
      </c>
      <c r="J420">
        <v>1214.4521483999999</v>
      </c>
      <c r="K420">
        <v>2400</v>
      </c>
      <c r="L420">
        <v>0</v>
      </c>
      <c r="M420">
        <v>0</v>
      </c>
      <c r="N420">
        <v>2400</v>
      </c>
    </row>
    <row r="421" spans="1:14" x14ac:dyDescent="0.25">
      <c r="A421">
        <v>154.065189</v>
      </c>
      <c r="B421" s="1">
        <f>DATE(2010,10,2) + TIME(1,33,52)</f>
        <v>40453.065185185187</v>
      </c>
      <c r="C421">
        <v>80</v>
      </c>
      <c r="D421">
        <v>79.917030334000003</v>
      </c>
      <c r="E421">
        <v>50</v>
      </c>
      <c r="F421">
        <v>15.140583992</v>
      </c>
      <c r="G421">
        <v>1382.7318115</v>
      </c>
      <c r="H421">
        <v>1369.3283690999999</v>
      </c>
      <c r="I421">
        <v>1254.1843262</v>
      </c>
      <c r="J421">
        <v>1214.5</v>
      </c>
      <c r="K421">
        <v>2400</v>
      </c>
      <c r="L421">
        <v>0</v>
      </c>
      <c r="M421">
        <v>0</v>
      </c>
      <c r="N421">
        <v>2400</v>
      </c>
    </row>
    <row r="422" spans="1:14" x14ac:dyDescent="0.25">
      <c r="A422">
        <v>154.60813400000001</v>
      </c>
      <c r="B422" s="1">
        <f>DATE(2010,10,2) + TIME(14,35,42)</f>
        <v>40453.608124999999</v>
      </c>
      <c r="C422">
        <v>80</v>
      </c>
      <c r="D422">
        <v>79.917083739999995</v>
      </c>
      <c r="E422">
        <v>50</v>
      </c>
      <c r="F422">
        <v>15.151679993</v>
      </c>
      <c r="G422">
        <v>1382.6777344</v>
      </c>
      <c r="H422">
        <v>1369.2770995999999</v>
      </c>
      <c r="I422">
        <v>1254.2584228999999</v>
      </c>
      <c r="J422">
        <v>1214.5689697</v>
      </c>
      <c r="K422">
        <v>2400</v>
      </c>
      <c r="L422">
        <v>0</v>
      </c>
      <c r="M422">
        <v>0</v>
      </c>
      <c r="N422">
        <v>2400</v>
      </c>
    </row>
    <row r="423" spans="1:14" x14ac:dyDescent="0.25">
      <c r="A423">
        <v>155.65076300000001</v>
      </c>
      <c r="B423" s="1">
        <f>DATE(2010,10,3) + TIME(15,37,5)</f>
        <v>40454.650752314818</v>
      </c>
      <c r="C423">
        <v>80</v>
      </c>
      <c r="D423">
        <v>79.917198181000003</v>
      </c>
      <c r="E423">
        <v>50</v>
      </c>
      <c r="F423">
        <v>15.166976929</v>
      </c>
      <c r="G423">
        <v>1382.6496582</v>
      </c>
      <c r="H423">
        <v>1369.2504882999999</v>
      </c>
      <c r="I423">
        <v>1254.2947998</v>
      </c>
      <c r="J423">
        <v>1214.6104736</v>
      </c>
      <c r="K423">
        <v>2400</v>
      </c>
      <c r="L423">
        <v>0</v>
      </c>
      <c r="M423">
        <v>0</v>
      </c>
      <c r="N423">
        <v>2400</v>
      </c>
    </row>
    <row r="424" spans="1:14" x14ac:dyDescent="0.25">
      <c r="A424">
        <v>156.73265599999999</v>
      </c>
      <c r="B424" s="1">
        <f>DATE(2010,10,4) + TIME(17,35,1)</f>
        <v>40455.73265046296</v>
      </c>
      <c r="C424">
        <v>80</v>
      </c>
      <c r="D424">
        <v>79.917312621999997</v>
      </c>
      <c r="E424">
        <v>50</v>
      </c>
      <c r="F424">
        <v>15.185567856</v>
      </c>
      <c r="G424">
        <v>1382.5969238</v>
      </c>
      <c r="H424">
        <v>1369.2005615</v>
      </c>
      <c r="I424">
        <v>1254.3691406</v>
      </c>
      <c r="J424">
        <v>1214.6850586</v>
      </c>
      <c r="K424">
        <v>2400</v>
      </c>
      <c r="L424">
        <v>0</v>
      </c>
      <c r="M424">
        <v>0</v>
      </c>
      <c r="N424">
        <v>2400</v>
      </c>
    </row>
    <row r="425" spans="1:14" x14ac:dyDescent="0.25">
      <c r="A425">
        <v>157.818963</v>
      </c>
      <c r="B425" s="1">
        <f>DATE(2010,10,5) + TIME(19,39,18)</f>
        <v>40456.818958333337</v>
      </c>
      <c r="C425">
        <v>80</v>
      </c>
      <c r="D425">
        <v>79.917434692</v>
      </c>
      <c r="E425">
        <v>50</v>
      </c>
      <c r="F425">
        <v>15.20708847</v>
      </c>
      <c r="G425">
        <v>1382.5419922000001</v>
      </c>
      <c r="H425">
        <v>1369.1485596</v>
      </c>
      <c r="I425">
        <v>1254.4486084</v>
      </c>
      <c r="J425">
        <v>1214.7658690999999</v>
      </c>
      <c r="K425">
        <v>2400</v>
      </c>
      <c r="L425">
        <v>0</v>
      </c>
      <c r="M425">
        <v>0</v>
      </c>
      <c r="N425">
        <v>2400</v>
      </c>
    </row>
    <row r="426" spans="1:14" x14ac:dyDescent="0.25">
      <c r="A426">
        <v>158.364802</v>
      </c>
      <c r="B426" s="1">
        <f>DATE(2010,10,6) + TIME(8,45,18)</f>
        <v>40457.364791666667</v>
      </c>
      <c r="C426">
        <v>80</v>
      </c>
      <c r="D426">
        <v>79.917488098000007</v>
      </c>
      <c r="E426">
        <v>50</v>
      </c>
      <c r="F426">
        <v>15.223928451999999</v>
      </c>
      <c r="G426">
        <v>1382.4870605000001</v>
      </c>
      <c r="H426">
        <v>1369.0964355000001</v>
      </c>
      <c r="I426">
        <v>1254.5332031</v>
      </c>
      <c r="J426">
        <v>1214.847168</v>
      </c>
      <c r="K426">
        <v>2400</v>
      </c>
      <c r="L426">
        <v>0</v>
      </c>
      <c r="M426">
        <v>0</v>
      </c>
      <c r="N426">
        <v>2400</v>
      </c>
    </row>
    <row r="427" spans="1:14" x14ac:dyDescent="0.25">
      <c r="A427">
        <v>158.90916899999999</v>
      </c>
      <c r="B427" s="1">
        <f>DATE(2010,10,6) + TIME(21,49,12)</f>
        <v>40457.909166666665</v>
      </c>
      <c r="C427">
        <v>80</v>
      </c>
      <c r="D427">
        <v>79.917541503999999</v>
      </c>
      <c r="E427">
        <v>50</v>
      </c>
      <c r="F427">
        <v>15.239918708999999</v>
      </c>
      <c r="G427">
        <v>1382.4587402</v>
      </c>
      <c r="H427">
        <v>1369.0695800999999</v>
      </c>
      <c r="I427">
        <v>1254.5753173999999</v>
      </c>
      <c r="J427">
        <v>1214.8933105000001</v>
      </c>
      <c r="K427">
        <v>2400</v>
      </c>
      <c r="L427">
        <v>0</v>
      </c>
      <c r="M427">
        <v>0</v>
      </c>
      <c r="N427">
        <v>2400</v>
      </c>
    </row>
    <row r="428" spans="1:14" x14ac:dyDescent="0.25">
      <c r="A428">
        <v>159.453317</v>
      </c>
      <c r="B428" s="1">
        <f>DATE(2010,10,7) + TIME(10,52,46)</f>
        <v>40458.453310185185</v>
      </c>
      <c r="C428">
        <v>80</v>
      </c>
      <c r="D428">
        <v>79.917602539000001</v>
      </c>
      <c r="E428">
        <v>50</v>
      </c>
      <c r="F428">
        <v>15.255692482000001</v>
      </c>
      <c r="G428">
        <v>1382.4312743999999</v>
      </c>
      <c r="H428">
        <v>1369.0433350000001</v>
      </c>
      <c r="I428">
        <v>1254.6180420000001</v>
      </c>
      <c r="J428">
        <v>1214.9396973</v>
      </c>
      <c r="K428">
        <v>2400</v>
      </c>
      <c r="L428">
        <v>0</v>
      </c>
      <c r="M428">
        <v>0</v>
      </c>
      <c r="N428">
        <v>2400</v>
      </c>
    </row>
    <row r="429" spans="1:14" x14ac:dyDescent="0.25">
      <c r="A429">
        <v>159.996983</v>
      </c>
      <c r="B429" s="1">
        <f>DATE(2010,10,7) + TIME(23,55,39)</f>
        <v>40458.996979166666</v>
      </c>
      <c r="C429">
        <v>80</v>
      </c>
      <c r="D429">
        <v>79.917655945000007</v>
      </c>
      <c r="E429">
        <v>50</v>
      </c>
      <c r="F429">
        <v>15.271632195</v>
      </c>
      <c r="G429">
        <v>1382.4036865</v>
      </c>
      <c r="H429">
        <v>1369.0173339999999</v>
      </c>
      <c r="I429">
        <v>1254.6617432</v>
      </c>
      <c r="J429">
        <v>1214.9868164</v>
      </c>
      <c r="K429">
        <v>2400</v>
      </c>
      <c r="L429">
        <v>0</v>
      </c>
      <c r="M429">
        <v>0</v>
      </c>
      <c r="N429">
        <v>2400</v>
      </c>
    </row>
    <row r="430" spans="1:14" x14ac:dyDescent="0.25">
      <c r="A430">
        <v>160.54006799999999</v>
      </c>
      <c r="B430" s="1">
        <f>DATE(2010,10,8) + TIME(12,57,41)</f>
        <v>40459.54005787037</v>
      </c>
      <c r="C430">
        <v>80</v>
      </c>
      <c r="D430">
        <v>79.917716979999994</v>
      </c>
      <c r="E430">
        <v>50</v>
      </c>
      <c r="F430">
        <v>15.287988663</v>
      </c>
      <c r="G430">
        <v>1382.3762207</v>
      </c>
      <c r="H430">
        <v>1368.9912108999999</v>
      </c>
      <c r="I430">
        <v>1254.7060547000001</v>
      </c>
      <c r="J430">
        <v>1215.0349120999999</v>
      </c>
      <c r="K430">
        <v>2400</v>
      </c>
      <c r="L430">
        <v>0</v>
      </c>
      <c r="M430">
        <v>0</v>
      </c>
      <c r="N430">
        <v>2400</v>
      </c>
    </row>
    <row r="431" spans="1:14" x14ac:dyDescent="0.25">
      <c r="A431">
        <v>161.08250200000001</v>
      </c>
      <c r="B431" s="1">
        <f>DATE(2010,10,9) + TIME(1,58,48)</f>
        <v>40460.082499999997</v>
      </c>
      <c r="C431">
        <v>80</v>
      </c>
      <c r="D431">
        <v>79.917770386000001</v>
      </c>
      <c r="E431">
        <v>50</v>
      </c>
      <c r="F431">
        <v>15.304924965</v>
      </c>
      <c r="G431">
        <v>1382.3488769999999</v>
      </c>
      <c r="H431">
        <v>1368.9652100000001</v>
      </c>
      <c r="I431">
        <v>1254.7512207</v>
      </c>
      <c r="J431">
        <v>1215.0839844</v>
      </c>
      <c r="K431">
        <v>2400</v>
      </c>
      <c r="L431">
        <v>0</v>
      </c>
      <c r="M431">
        <v>0</v>
      </c>
      <c r="N431">
        <v>2400</v>
      </c>
    </row>
    <row r="432" spans="1:14" x14ac:dyDescent="0.25">
      <c r="A432">
        <v>161.62424899999999</v>
      </c>
      <c r="B432" s="1">
        <f>DATE(2010,10,9) + TIME(14,58,55)</f>
        <v>40460.624247685184</v>
      </c>
      <c r="C432">
        <v>80</v>
      </c>
      <c r="D432">
        <v>79.917831421000002</v>
      </c>
      <c r="E432">
        <v>50</v>
      </c>
      <c r="F432">
        <v>15.322554587999999</v>
      </c>
      <c r="G432">
        <v>1382.3215332</v>
      </c>
      <c r="H432">
        <v>1368.9392089999999</v>
      </c>
      <c r="I432">
        <v>1254.7971190999999</v>
      </c>
      <c r="J432">
        <v>1215.1341553</v>
      </c>
      <c r="K432">
        <v>2400</v>
      </c>
      <c r="L432">
        <v>0</v>
      </c>
      <c r="M432">
        <v>0</v>
      </c>
      <c r="N432">
        <v>2400</v>
      </c>
    </row>
    <row r="433" spans="1:14" x14ac:dyDescent="0.25">
      <c r="A433">
        <v>162.165299</v>
      </c>
      <c r="B433" s="1">
        <f>DATE(2010,10,10) + TIME(3,58,1)</f>
        <v>40461.165289351855</v>
      </c>
      <c r="C433">
        <v>80</v>
      </c>
      <c r="D433">
        <v>79.917884826999995</v>
      </c>
      <c r="E433">
        <v>50</v>
      </c>
      <c r="F433">
        <v>15.340961456</v>
      </c>
      <c r="G433">
        <v>1382.2943115</v>
      </c>
      <c r="H433">
        <v>1368.9133300999999</v>
      </c>
      <c r="I433">
        <v>1254.84375</v>
      </c>
      <c r="J433">
        <v>1215.1854248</v>
      </c>
      <c r="K433">
        <v>2400</v>
      </c>
      <c r="L433">
        <v>0</v>
      </c>
      <c r="M433">
        <v>0</v>
      </c>
      <c r="N433">
        <v>2400</v>
      </c>
    </row>
    <row r="434" spans="1:14" x14ac:dyDescent="0.25">
      <c r="A434">
        <v>162.70567600000001</v>
      </c>
      <c r="B434" s="1">
        <f>DATE(2010,10,10) + TIME(16,56,10)</f>
        <v>40461.705671296295</v>
      </c>
      <c r="C434">
        <v>80</v>
      </c>
      <c r="D434">
        <v>79.917945861999996</v>
      </c>
      <c r="E434">
        <v>50</v>
      </c>
      <c r="F434">
        <v>15.360210419</v>
      </c>
      <c r="G434">
        <v>1382.2670897999999</v>
      </c>
      <c r="H434">
        <v>1368.8874512</v>
      </c>
      <c r="I434">
        <v>1254.8909911999999</v>
      </c>
      <c r="J434">
        <v>1215.2379149999999</v>
      </c>
      <c r="K434">
        <v>2400</v>
      </c>
      <c r="L434">
        <v>0</v>
      </c>
      <c r="M434">
        <v>0</v>
      </c>
      <c r="N434">
        <v>2400</v>
      </c>
    </row>
    <row r="435" spans="1:14" x14ac:dyDescent="0.25">
      <c r="A435">
        <v>163.245428</v>
      </c>
      <c r="B435" s="1">
        <f>DATE(2010,10,11) + TIME(5,53,24)</f>
        <v>40462.245416666665</v>
      </c>
      <c r="C435">
        <v>80</v>
      </c>
      <c r="D435">
        <v>79.917999268000003</v>
      </c>
      <c r="E435">
        <v>50</v>
      </c>
      <c r="F435">
        <v>15.380355835</v>
      </c>
      <c r="G435">
        <v>1382.2398682</v>
      </c>
      <c r="H435">
        <v>1368.8615723</v>
      </c>
      <c r="I435">
        <v>1254.9389647999999</v>
      </c>
      <c r="J435">
        <v>1215.2915039</v>
      </c>
      <c r="K435">
        <v>2400</v>
      </c>
      <c r="L435">
        <v>0</v>
      </c>
      <c r="M435">
        <v>0</v>
      </c>
      <c r="N435">
        <v>2400</v>
      </c>
    </row>
    <row r="436" spans="1:14" x14ac:dyDescent="0.25">
      <c r="A436">
        <v>163.78462500000001</v>
      </c>
      <c r="B436" s="1">
        <f>DATE(2010,10,11) + TIME(18,49,51)</f>
        <v>40462.784618055557</v>
      </c>
      <c r="C436">
        <v>80</v>
      </c>
      <c r="D436">
        <v>79.918060303000004</v>
      </c>
      <c r="E436">
        <v>50</v>
      </c>
      <c r="F436">
        <v>15.401446342</v>
      </c>
      <c r="G436">
        <v>1382.2127685999999</v>
      </c>
      <c r="H436">
        <v>1368.8358154</v>
      </c>
      <c r="I436">
        <v>1254.987793</v>
      </c>
      <c r="J436">
        <v>1215.3464355000001</v>
      </c>
      <c r="K436">
        <v>2400</v>
      </c>
      <c r="L436">
        <v>0</v>
      </c>
      <c r="M436">
        <v>0</v>
      </c>
      <c r="N436">
        <v>2400</v>
      </c>
    </row>
    <row r="437" spans="1:14" x14ac:dyDescent="0.25">
      <c r="A437">
        <v>164.32335699999999</v>
      </c>
      <c r="B437" s="1">
        <f>DATE(2010,10,12) + TIME(7,45,38)</f>
        <v>40463.32335648148</v>
      </c>
      <c r="C437">
        <v>80</v>
      </c>
      <c r="D437">
        <v>79.918113708000007</v>
      </c>
      <c r="E437">
        <v>50</v>
      </c>
      <c r="F437">
        <v>15.423527718000001</v>
      </c>
      <c r="G437">
        <v>1382.1856689000001</v>
      </c>
      <c r="H437">
        <v>1368.8100586</v>
      </c>
      <c r="I437">
        <v>1255.0372314000001</v>
      </c>
      <c r="J437">
        <v>1215.4027100000001</v>
      </c>
      <c r="K437">
        <v>2400</v>
      </c>
      <c r="L437">
        <v>0</v>
      </c>
      <c r="M437">
        <v>0</v>
      </c>
      <c r="N437">
        <v>2400</v>
      </c>
    </row>
    <row r="438" spans="1:14" x14ac:dyDescent="0.25">
      <c r="A438">
        <v>164.861729</v>
      </c>
      <c r="B438" s="1">
        <f>DATE(2010,10,12) + TIME(20,40,53)</f>
        <v>40463.861724537041</v>
      </c>
      <c r="C438">
        <v>80</v>
      </c>
      <c r="D438">
        <v>79.918174743999998</v>
      </c>
      <c r="E438">
        <v>50</v>
      </c>
      <c r="F438">
        <v>15.44664669</v>
      </c>
      <c r="G438">
        <v>1382.1586914</v>
      </c>
      <c r="H438">
        <v>1368.7844238</v>
      </c>
      <c r="I438">
        <v>1255.0874022999999</v>
      </c>
      <c r="J438">
        <v>1215.4602050999999</v>
      </c>
      <c r="K438">
        <v>2400</v>
      </c>
      <c r="L438">
        <v>0</v>
      </c>
      <c r="M438">
        <v>0</v>
      </c>
      <c r="N438">
        <v>2400</v>
      </c>
    </row>
    <row r="439" spans="1:14" x14ac:dyDescent="0.25">
      <c r="A439">
        <v>165.399866</v>
      </c>
      <c r="B439" s="1">
        <f>DATE(2010,10,13) + TIME(9,35,48)</f>
        <v>40464.399861111109</v>
      </c>
      <c r="C439">
        <v>80</v>
      </c>
      <c r="D439">
        <v>79.918228149000001</v>
      </c>
      <c r="E439">
        <v>50</v>
      </c>
      <c r="F439">
        <v>15.470847129999999</v>
      </c>
      <c r="G439">
        <v>1382.1317139</v>
      </c>
      <c r="H439">
        <v>1368.7586670000001</v>
      </c>
      <c r="I439">
        <v>1255.1383057</v>
      </c>
      <c r="J439">
        <v>1215.5192870999999</v>
      </c>
      <c r="K439">
        <v>2400</v>
      </c>
      <c r="L439">
        <v>0</v>
      </c>
      <c r="M439">
        <v>0</v>
      </c>
      <c r="N439">
        <v>2400</v>
      </c>
    </row>
    <row r="440" spans="1:14" x14ac:dyDescent="0.25">
      <c r="A440">
        <v>165.93790300000001</v>
      </c>
      <c r="B440" s="1">
        <f>DATE(2010,10,13) + TIME(22,30,34)</f>
        <v>40464.937893518516</v>
      </c>
      <c r="C440">
        <v>80</v>
      </c>
      <c r="D440">
        <v>79.918289185000006</v>
      </c>
      <c r="E440">
        <v>50</v>
      </c>
      <c r="F440">
        <v>15.496178627000001</v>
      </c>
      <c r="G440">
        <v>1382.1047363</v>
      </c>
      <c r="H440">
        <v>1368.7330322</v>
      </c>
      <c r="I440">
        <v>1255.1900635</v>
      </c>
      <c r="J440">
        <v>1215.5797118999999</v>
      </c>
      <c r="K440">
        <v>2400</v>
      </c>
      <c r="L440">
        <v>0</v>
      </c>
      <c r="M440">
        <v>0</v>
      </c>
      <c r="N440">
        <v>2400</v>
      </c>
    </row>
    <row r="441" spans="1:14" x14ac:dyDescent="0.25">
      <c r="A441">
        <v>166.47594000000001</v>
      </c>
      <c r="B441" s="1">
        <f>DATE(2010,10,14) + TIME(11,25,21)</f>
        <v>40465.475937499999</v>
      </c>
      <c r="C441">
        <v>80</v>
      </c>
      <c r="D441">
        <v>79.918342589999995</v>
      </c>
      <c r="E441">
        <v>50</v>
      </c>
      <c r="F441">
        <v>15.522686005000001</v>
      </c>
      <c r="G441">
        <v>1382.0777588000001</v>
      </c>
      <c r="H441">
        <v>1368.7073975000001</v>
      </c>
      <c r="I441">
        <v>1255.2426757999999</v>
      </c>
      <c r="J441">
        <v>1215.6417236</v>
      </c>
      <c r="K441">
        <v>2400</v>
      </c>
      <c r="L441">
        <v>0</v>
      </c>
      <c r="M441">
        <v>0</v>
      </c>
      <c r="N441">
        <v>2400</v>
      </c>
    </row>
    <row r="442" spans="1:14" x14ac:dyDescent="0.25">
      <c r="A442">
        <v>167.01397700000001</v>
      </c>
      <c r="B442" s="1">
        <f>DATE(2010,10,15) + TIME(0,20,7)</f>
        <v>40466.013969907406</v>
      </c>
      <c r="C442">
        <v>80</v>
      </c>
      <c r="D442">
        <v>79.918395996000001</v>
      </c>
      <c r="E442">
        <v>50</v>
      </c>
      <c r="F442">
        <v>15.550415039000001</v>
      </c>
      <c r="G442">
        <v>1382.0507812000001</v>
      </c>
      <c r="H442">
        <v>1368.6817627</v>
      </c>
      <c r="I442">
        <v>1255.2960204999999</v>
      </c>
      <c r="J442">
        <v>1215.7053223</v>
      </c>
      <c r="K442">
        <v>2400</v>
      </c>
      <c r="L442">
        <v>0</v>
      </c>
      <c r="M442">
        <v>0</v>
      </c>
      <c r="N442">
        <v>2400</v>
      </c>
    </row>
    <row r="443" spans="1:14" x14ac:dyDescent="0.25">
      <c r="A443">
        <v>167.55201400000001</v>
      </c>
      <c r="B443" s="1">
        <f>DATE(2010,10,15) + TIME(13,14,54)</f>
        <v>40466.55201388889</v>
      </c>
      <c r="C443">
        <v>80</v>
      </c>
      <c r="D443">
        <v>79.918457031000003</v>
      </c>
      <c r="E443">
        <v>50</v>
      </c>
      <c r="F443">
        <v>15.579411507</v>
      </c>
      <c r="G443">
        <v>1382.0239257999999</v>
      </c>
      <c r="H443">
        <v>1368.6561279</v>
      </c>
      <c r="I443">
        <v>1255.3502197</v>
      </c>
      <c r="J443">
        <v>1215.7705077999999</v>
      </c>
      <c r="K443">
        <v>2400</v>
      </c>
      <c r="L443">
        <v>0</v>
      </c>
      <c r="M443">
        <v>0</v>
      </c>
      <c r="N443">
        <v>2400</v>
      </c>
    </row>
    <row r="444" spans="1:14" x14ac:dyDescent="0.25">
      <c r="A444">
        <v>168.09005099999999</v>
      </c>
      <c r="B444" s="1">
        <f>DATE(2010,10,16) + TIME(2,9,40)</f>
        <v>40467.090046296296</v>
      </c>
      <c r="C444">
        <v>80</v>
      </c>
      <c r="D444">
        <v>79.918510436999995</v>
      </c>
      <c r="E444">
        <v>50</v>
      </c>
      <c r="F444">
        <v>15.609718322999999</v>
      </c>
      <c r="G444">
        <v>1381.9970702999999</v>
      </c>
      <c r="H444">
        <v>1368.6304932</v>
      </c>
      <c r="I444">
        <v>1255.4052733999999</v>
      </c>
      <c r="J444">
        <v>1215.8374022999999</v>
      </c>
      <c r="K444">
        <v>2400</v>
      </c>
      <c r="L444">
        <v>0</v>
      </c>
      <c r="M444">
        <v>0</v>
      </c>
      <c r="N444">
        <v>2400</v>
      </c>
    </row>
    <row r="445" spans="1:14" x14ac:dyDescent="0.25">
      <c r="A445">
        <v>168.62808799999999</v>
      </c>
      <c r="B445" s="1">
        <f>DATE(2010,10,16) + TIME(15,4,26)</f>
        <v>40467.628078703703</v>
      </c>
      <c r="C445">
        <v>80</v>
      </c>
      <c r="D445">
        <v>79.918571471999996</v>
      </c>
      <c r="E445">
        <v>50</v>
      </c>
      <c r="F445">
        <v>15.641380310000001</v>
      </c>
      <c r="G445">
        <v>1381.9700928</v>
      </c>
      <c r="H445">
        <v>1368.6048584</v>
      </c>
      <c r="I445">
        <v>1255.4611815999999</v>
      </c>
      <c r="J445">
        <v>1215.9060059000001</v>
      </c>
      <c r="K445">
        <v>2400</v>
      </c>
      <c r="L445">
        <v>0</v>
      </c>
      <c r="M445">
        <v>0</v>
      </c>
      <c r="N445">
        <v>2400</v>
      </c>
    </row>
    <row r="446" spans="1:14" x14ac:dyDescent="0.25">
      <c r="A446">
        <v>169.704162</v>
      </c>
      <c r="B446" s="1">
        <f>DATE(2010,10,17) + TIME(16,53,59)</f>
        <v>40468.704155092593</v>
      </c>
      <c r="C446">
        <v>80</v>
      </c>
      <c r="D446">
        <v>79.918685913000004</v>
      </c>
      <c r="E446">
        <v>50</v>
      </c>
      <c r="F446">
        <v>15.689180373999999</v>
      </c>
      <c r="G446">
        <v>1381.9433594</v>
      </c>
      <c r="H446">
        <v>1368.5793457</v>
      </c>
      <c r="I446">
        <v>1255.5129394999999</v>
      </c>
      <c r="J446">
        <v>1215.9837646000001</v>
      </c>
      <c r="K446">
        <v>2400</v>
      </c>
      <c r="L446">
        <v>0</v>
      </c>
      <c r="M446">
        <v>0</v>
      </c>
      <c r="N446">
        <v>2400</v>
      </c>
    </row>
    <row r="447" spans="1:14" x14ac:dyDescent="0.25">
      <c r="A447">
        <v>170.785594</v>
      </c>
      <c r="B447" s="1">
        <f>DATE(2010,10,18) + TIME(18,51,15)</f>
        <v>40469.785590277781</v>
      </c>
      <c r="C447">
        <v>80</v>
      </c>
      <c r="D447">
        <v>79.918800353999998</v>
      </c>
      <c r="E447">
        <v>50</v>
      </c>
      <c r="F447">
        <v>15.751497269</v>
      </c>
      <c r="G447">
        <v>1381.8901367000001</v>
      </c>
      <c r="H447">
        <v>1368.5285644999999</v>
      </c>
      <c r="I447">
        <v>1255.6298827999999</v>
      </c>
      <c r="J447">
        <v>1216.1243896000001</v>
      </c>
      <c r="K447">
        <v>2400</v>
      </c>
      <c r="L447">
        <v>0</v>
      </c>
      <c r="M447">
        <v>0</v>
      </c>
      <c r="N447">
        <v>2400</v>
      </c>
    </row>
    <row r="448" spans="1:14" x14ac:dyDescent="0.25">
      <c r="A448">
        <v>171.890952</v>
      </c>
      <c r="B448" s="1">
        <f>DATE(2010,10,19) + TIME(21,22,58)</f>
        <v>40470.890949074077</v>
      </c>
      <c r="C448">
        <v>80</v>
      </c>
      <c r="D448">
        <v>79.918914795000006</v>
      </c>
      <c r="E448">
        <v>50</v>
      </c>
      <c r="F448">
        <v>15.824597359</v>
      </c>
      <c r="G448">
        <v>1381.8363036999999</v>
      </c>
      <c r="H448">
        <v>1368.4772949000001</v>
      </c>
      <c r="I448">
        <v>1255.7497559000001</v>
      </c>
      <c r="J448">
        <v>1216.2756348</v>
      </c>
      <c r="K448">
        <v>2400</v>
      </c>
      <c r="L448">
        <v>0</v>
      </c>
      <c r="M448">
        <v>0</v>
      </c>
      <c r="N448">
        <v>2400</v>
      </c>
    </row>
    <row r="449" spans="1:14" x14ac:dyDescent="0.25">
      <c r="A449">
        <v>172.44363999999999</v>
      </c>
      <c r="B449" s="1">
        <f>DATE(2010,10,20) + TIME(10,38,50)</f>
        <v>40471.44363425926</v>
      </c>
      <c r="C449">
        <v>80</v>
      </c>
      <c r="D449">
        <v>79.918968200999998</v>
      </c>
      <c r="E449">
        <v>50</v>
      </c>
      <c r="F449">
        <v>15.881706238</v>
      </c>
      <c r="G449">
        <v>1381.7813721</v>
      </c>
      <c r="H449">
        <v>1368.4249268000001</v>
      </c>
      <c r="I449">
        <v>1255.8842772999999</v>
      </c>
      <c r="J449">
        <v>1216.4262695</v>
      </c>
      <c r="K449">
        <v>2400</v>
      </c>
      <c r="L449">
        <v>0</v>
      </c>
      <c r="M449">
        <v>0</v>
      </c>
      <c r="N449">
        <v>2400</v>
      </c>
    </row>
    <row r="450" spans="1:14" x14ac:dyDescent="0.25">
      <c r="A450">
        <v>173.52100200000001</v>
      </c>
      <c r="B450" s="1">
        <f>DATE(2010,10,21) + TIME(12,30,14)</f>
        <v>40472.520995370367</v>
      </c>
      <c r="C450">
        <v>80</v>
      </c>
      <c r="D450">
        <v>79.919082642000006</v>
      </c>
      <c r="E450">
        <v>50</v>
      </c>
      <c r="F450">
        <v>15.957957267999999</v>
      </c>
      <c r="G450">
        <v>1381.7532959</v>
      </c>
      <c r="H450">
        <v>1368.3980713000001</v>
      </c>
      <c r="I450">
        <v>1255.9384766000001</v>
      </c>
      <c r="J450">
        <v>1216.5284423999999</v>
      </c>
      <c r="K450">
        <v>2400</v>
      </c>
      <c r="L450">
        <v>0</v>
      </c>
      <c r="M450">
        <v>0</v>
      </c>
      <c r="N450">
        <v>2400</v>
      </c>
    </row>
    <row r="451" spans="1:14" x14ac:dyDescent="0.25">
      <c r="A451">
        <v>174.067722</v>
      </c>
      <c r="B451" s="1">
        <f>DATE(2010,10,22) + TIME(1,37,31)</f>
        <v>40473.067719907405</v>
      </c>
      <c r="C451">
        <v>80</v>
      </c>
      <c r="D451">
        <v>79.919136046999995</v>
      </c>
      <c r="E451">
        <v>50</v>
      </c>
      <c r="F451">
        <v>16.019685745</v>
      </c>
      <c r="G451">
        <v>1381.7001952999999</v>
      </c>
      <c r="H451">
        <v>1368.3474120999999</v>
      </c>
      <c r="I451">
        <v>1256.0762939000001</v>
      </c>
      <c r="J451">
        <v>1216.6855469</v>
      </c>
      <c r="K451">
        <v>2400</v>
      </c>
      <c r="L451">
        <v>0</v>
      </c>
      <c r="M451">
        <v>0</v>
      </c>
      <c r="N451">
        <v>2400</v>
      </c>
    </row>
    <row r="452" spans="1:14" x14ac:dyDescent="0.25">
      <c r="A452">
        <v>175.13327100000001</v>
      </c>
      <c r="B452" s="1">
        <f>DATE(2010,10,23) + TIME(3,11,54)</f>
        <v>40474.133263888885</v>
      </c>
      <c r="C452">
        <v>80</v>
      </c>
      <c r="D452">
        <v>79.919250488000003</v>
      </c>
      <c r="E452">
        <v>50</v>
      </c>
      <c r="F452">
        <v>16.102979659999999</v>
      </c>
      <c r="G452">
        <v>1381.6724853999999</v>
      </c>
      <c r="H452">
        <v>1368.3208007999999</v>
      </c>
      <c r="I452">
        <v>1256.1319579999999</v>
      </c>
      <c r="J452">
        <v>1216.7946777</v>
      </c>
      <c r="K452">
        <v>2400</v>
      </c>
      <c r="L452">
        <v>0</v>
      </c>
      <c r="M452">
        <v>0</v>
      </c>
      <c r="N452">
        <v>2400</v>
      </c>
    </row>
    <row r="453" spans="1:14" x14ac:dyDescent="0.25">
      <c r="A453">
        <v>176.21751399999999</v>
      </c>
      <c r="B453" s="1">
        <f>DATE(2010,10,24) + TIME(5,13,13)</f>
        <v>40475.217511574076</v>
      </c>
      <c r="C453">
        <v>80</v>
      </c>
      <c r="D453">
        <v>79.919364928999997</v>
      </c>
      <c r="E453">
        <v>50</v>
      </c>
      <c r="F453">
        <v>16.200864792000001</v>
      </c>
      <c r="G453">
        <v>1381.6198730000001</v>
      </c>
      <c r="H453">
        <v>1368.2706298999999</v>
      </c>
      <c r="I453">
        <v>1256.2645264</v>
      </c>
      <c r="J453">
        <v>1216.9760742000001</v>
      </c>
      <c r="K453">
        <v>2400</v>
      </c>
      <c r="L453">
        <v>0</v>
      </c>
      <c r="M453">
        <v>0</v>
      </c>
      <c r="N453">
        <v>2400</v>
      </c>
    </row>
    <row r="454" spans="1:14" x14ac:dyDescent="0.25">
      <c r="A454">
        <v>177.304124</v>
      </c>
      <c r="B454" s="1">
        <f>DATE(2010,10,25) + TIME(7,17,56)</f>
        <v>40476.304120370369</v>
      </c>
      <c r="C454">
        <v>80</v>
      </c>
      <c r="D454">
        <v>79.919479370000005</v>
      </c>
      <c r="E454">
        <v>50</v>
      </c>
      <c r="F454">
        <v>16.310201644999999</v>
      </c>
      <c r="G454">
        <v>1381.5660399999999</v>
      </c>
      <c r="H454">
        <v>1368.2191161999999</v>
      </c>
      <c r="I454">
        <v>1256.4023437999999</v>
      </c>
      <c r="J454">
        <v>1217.1711425999999</v>
      </c>
      <c r="K454">
        <v>2400</v>
      </c>
      <c r="L454">
        <v>0</v>
      </c>
      <c r="M454">
        <v>0</v>
      </c>
      <c r="N454">
        <v>2400</v>
      </c>
    </row>
    <row r="455" spans="1:14" x14ac:dyDescent="0.25">
      <c r="A455">
        <v>178.394464</v>
      </c>
      <c r="B455" s="1">
        <f>DATE(2010,10,26) + TIME(9,28,1)</f>
        <v>40477.394456018519</v>
      </c>
      <c r="C455">
        <v>80</v>
      </c>
      <c r="D455">
        <v>79.919586182000003</v>
      </c>
      <c r="E455">
        <v>50</v>
      </c>
      <c r="F455">
        <v>16.429561615000001</v>
      </c>
      <c r="G455">
        <v>1381.5120850000001</v>
      </c>
      <c r="H455">
        <v>1368.1674805</v>
      </c>
      <c r="I455">
        <v>1256.5435791</v>
      </c>
      <c r="J455">
        <v>1217.3771973</v>
      </c>
      <c r="K455">
        <v>2400</v>
      </c>
      <c r="L455">
        <v>0</v>
      </c>
      <c r="M455">
        <v>0</v>
      </c>
      <c r="N455">
        <v>2400</v>
      </c>
    </row>
    <row r="456" spans="1:14" x14ac:dyDescent="0.25">
      <c r="A456">
        <v>179.490714</v>
      </c>
      <c r="B456" s="1">
        <f>DATE(2010,10,27) + TIME(11,46,37)</f>
        <v>40478.490706018521</v>
      </c>
      <c r="C456">
        <v>80</v>
      </c>
      <c r="D456">
        <v>79.919700622999997</v>
      </c>
      <c r="E456">
        <v>50</v>
      </c>
      <c r="F456">
        <v>16.558633803999999</v>
      </c>
      <c r="G456">
        <v>1381.4580077999999</v>
      </c>
      <c r="H456">
        <v>1368.1157227000001</v>
      </c>
      <c r="I456">
        <v>1256.6885986</v>
      </c>
      <c r="J456">
        <v>1217.5942382999999</v>
      </c>
      <c r="K456">
        <v>2400</v>
      </c>
      <c r="L456">
        <v>0</v>
      </c>
      <c r="M456">
        <v>0</v>
      </c>
      <c r="N456">
        <v>2400</v>
      </c>
    </row>
    <row r="457" spans="1:14" x14ac:dyDescent="0.25">
      <c r="A457">
        <v>180.595156</v>
      </c>
      <c r="B457" s="1">
        <f>DATE(2010,10,28) + TIME(14,17,1)</f>
        <v>40479.595150462963</v>
      </c>
      <c r="C457">
        <v>80</v>
      </c>
      <c r="D457">
        <v>79.919815063000001</v>
      </c>
      <c r="E457">
        <v>50</v>
      </c>
      <c r="F457">
        <v>16.697624207</v>
      </c>
      <c r="G457">
        <v>1381.4036865</v>
      </c>
      <c r="H457">
        <v>1368.0638428</v>
      </c>
      <c r="I457">
        <v>1256.8376464999999</v>
      </c>
      <c r="J457">
        <v>1217.822876</v>
      </c>
      <c r="K457">
        <v>2400</v>
      </c>
      <c r="L457">
        <v>0</v>
      </c>
      <c r="M457">
        <v>0</v>
      </c>
      <c r="N457">
        <v>2400</v>
      </c>
    </row>
    <row r="458" spans="1:14" x14ac:dyDescent="0.25">
      <c r="A458">
        <v>181.15084200000001</v>
      </c>
      <c r="B458" s="1">
        <f>DATE(2010,10,29) + TIME(3,37,12)</f>
        <v>40480.150833333333</v>
      </c>
      <c r="C458">
        <v>80</v>
      </c>
      <c r="D458">
        <v>79.919868468999994</v>
      </c>
      <c r="E458">
        <v>50</v>
      </c>
      <c r="F458">
        <v>16.801702499000001</v>
      </c>
      <c r="G458">
        <v>1381.3492432</v>
      </c>
      <c r="H458">
        <v>1368.0117187999999</v>
      </c>
      <c r="I458">
        <v>1257.0059814000001</v>
      </c>
      <c r="J458">
        <v>1218.0401611</v>
      </c>
      <c r="K458">
        <v>2400</v>
      </c>
      <c r="L458">
        <v>0</v>
      </c>
      <c r="M458">
        <v>0</v>
      </c>
      <c r="N458">
        <v>2400</v>
      </c>
    </row>
    <row r="459" spans="1:14" x14ac:dyDescent="0.25">
      <c r="A459">
        <v>182.21863200000001</v>
      </c>
      <c r="B459" s="1">
        <f>DATE(2010,10,30) + TIME(5,14,49)</f>
        <v>40481.218622685185</v>
      </c>
      <c r="C459">
        <v>80</v>
      </c>
      <c r="D459">
        <v>79.919982910000002</v>
      </c>
      <c r="E459">
        <v>50</v>
      </c>
      <c r="F459">
        <v>16.936601638999999</v>
      </c>
      <c r="G459">
        <v>1381.3211670000001</v>
      </c>
      <c r="H459">
        <v>1367.9846190999999</v>
      </c>
      <c r="I459">
        <v>1257.067749</v>
      </c>
      <c r="J459">
        <v>1218.1962891000001</v>
      </c>
      <c r="K459">
        <v>2400</v>
      </c>
      <c r="L459">
        <v>0</v>
      </c>
      <c r="M459">
        <v>0</v>
      </c>
      <c r="N459">
        <v>2400</v>
      </c>
    </row>
    <row r="460" spans="1:14" x14ac:dyDescent="0.25">
      <c r="A460">
        <v>183.31672599999999</v>
      </c>
      <c r="B460" s="1">
        <f>DATE(2010,10,31) + TIME(7,36,5)</f>
        <v>40482.316724537035</v>
      </c>
      <c r="C460">
        <v>80</v>
      </c>
      <c r="D460">
        <v>79.920089722</v>
      </c>
      <c r="E460">
        <v>50</v>
      </c>
      <c r="F460">
        <v>17.089946746999999</v>
      </c>
      <c r="G460">
        <v>1381.2687988</v>
      </c>
      <c r="H460">
        <v>1367.9344481999999</v>
      </c>
      <c r="I460">
        <v>1257.2222899999999</v>
      </c>
      <c r="J460">
        <v>1218.4417725000001</v>
      </c>
      <c r="K460">
        <v>2400</v>
      </c>
      <c r="L460">
        <v>0</v>
      </c>
      <c r="M460">
        <v>0</v>
      </c>
      <c r="N460">
        <v>2400</v>
      </c>
    </row>
    <row r="461" spans="1:14" x14ac:dyDescent="0.25">
      <c r="A461">
        <v>184</v>
      </c>
      <c r="B461" s="1">
        <f>DATE(2010,11,1) + TIME(0,0,0)</f>
        <v>40483</v>
      </c>
      <c r="C461">
        <v>80</v>
      </c>
      <c r="D461">
        <v>79.920158385999997</v>
      </c>
      <c r="E461">
        <v>50</v>
      </c>
      <c r="F461">
        <v>17.222444534000001</v>
      </c>
      <c r="G461">
        <v>1381.2148437999999</v>
      </c>
      <c r="H461">
        <v>1367.8828125</v>
      </c>
      <c r="I461">
        <v>1257.3944091999999</v>
      </c>
      <c r="J461">
        <v>1218.6860352000001</v>
      </c>
      <c r="K461">
        <v>2400</v>
      </c>
      <c r="L461">
        <v>0</v>
      </c>
      <c r="M461">
        <v>0</v>
      </c>
      <c r="N461">
        <v>2400</v>
      </c>
    </row>
    <row r="462" spans="1:14" x14ac:dyDescent="0.25">
      <c r="A462">
        <v>184.000001</v>
      </c>
      <c r="B462" s="1">
        <f>DATE(2010,11,1) + TIME(0,0,0)</f>
        <v>40483</v>
      </c>
      <c r="C462">
        <v>80</v>
      </c>
      <c r="D462">
        <v>79.920036315999994</v>
      </c>
      <c r="E462">
        <v>50</v>
      </c>
      <c r="F462">
        <v>17.222576141000001</v>
      </c>
      <c r="G462">
        <v>1367.0112305</v>
      </c>
      <c r="H462">
        <v>1355.0268555</v>
      </c>
      <c r="I462">
        <v>1296.2215576000001</v>
      </c>
      <c r="J462">
        <v>1258.2973632999999</v>
      </c>
      <c r="K462">
        <v>0</v>
      </c>
      <c r="L462">
        <v>2400</v>
      </c>
      <c r="M462">
        <v>2400</v>
      </c>
      <c r="N462">
        <v>0</v>
      </c>
    </row>
    <row r="463" spans="1:14" x14ac:dyDescent="0.25">
      <c r="A463">
        <v>184.00000399999999</v>
      </c>
      <c r="B463" s="1">
        <f>DATE(2010,11,1) + TIME(0,0,0)</f>
        <v>40483</v>
      </c>
      <c r="C463">
        <v>80</v>
      </c>
      <c r="D463">
        <v>79.919723511000001</v>
      </c>
      <c r="E463">
        <v>50</v>
      </c>
      <c r="F463">
        <v>17.222955704</v>
      </c>
      <c r="G463">
        <v>1364.8092041</v>
      </c>
      <c r="H463">
        <v>1352.8237305</v>
      </c>
      <c r="I463">
        <v>1298.6964111</v>
      </c>
      <c r="J463">
        <v>1260.8397216999999</v>
      </c>
      <c r="K463">
        <v>0</v>
      </c>
      <c r="L463">
        <v>2400</v>
      </c>
      <c r="M463">
        <v>2400</v>
      </c>
      <c r="N463">
        <v>0</v>
      </c>
    </row>
    <row r="464" spans="1:14" x14ac:dyDescent="0.25">
      <c r="A464">
        <v>184.000013</v>
      </c>
      <c r="B464" s="1">
        <f>DATE(2010,11,1) + TIME(0,0,1)</f>
        <v>40483.000011574077</v>
      </c>
      <c r="C464">
        <v>80</v>
      </c>
      <c r="D464">
        <v>79.919090271000002</v>
      </c>
      <c r="E464">
        <v>50</v>
      </c>
      <c r="F464">
        <v>17.223968505999999</v>
      </c>
      <c r="G464">
        <v>1360.3631591999999</v>
      </c>
      <c r="H464">
        <v>1348.3768310999999</v>
      </c>
      <c r="I464">
        <v>1304.9975586</v>
      </c>
      <c r="J464">
        <v>1267.2753906</v>
      </c>
      <c r="K464">
        <v>0</v>
      </c>
      <c r="L464">
        <v>2400</v>
      </c>
      <c r="M464">
        <v>2400</v>
      </c>
      <c r="N464">
        <v>0</v>
      </c>
    </row>
    <row r="465" spans="1:14" x14ac:dyDescent="0.25">
      <c r="A465">
        <v>184.00004000000001</v>
      </c>
      <c r="B465" s="1">
        <f>DATE(2010,11,1) + TIME(0,0,3)</f>
        <v>40483.000034722223</v>
      </c>
      <c r="C465">
        <v>80</v>
      </c>
      <c r="D465">
        <v>79.918159485000004</v>
      </c>
      <c r="E465">
        <v>50</v>
      </c>
      <c r="F465">
        <v>17.226348877</v>
      </c>
      <c r="G465">
        <v>1353.8681641000001</v>
      </c>
      <c r="H465">
        <v>1341.8829346</v>
      </c>
      <c r="I465">
        <v>1317.9097899999999</v>
      </c>
      <c r="J465">
        <v>1280.3386230000001</v>
      </c>
      <c r="K465">
        <v>0</v>
      </c>
      <c r="L465">
        <v>2400</v>
      </c>
      <c r="M465">
        <v>2400</v>
      </c>
      <c r="N465">
        <v>0</v>
      </c>
    </row>
    <row r="466" spans="1:14" x14ac:dyDescent="0.25">
      <c r="A466">
        <v>184.00012100000001</v>
      </c>
      <c r="B466" s="1">
        <f>DATE(2010,11,1) + TIME(0,0,10)</f>
        <v>40483.000115740739</v>
      </c>
      <c r="C466">
        <v>80</v>
      </c>
      <c r="D466">
        <v>79.917106627999999</v>
      </c>
      <c r="E466">
        <v>50</v>
      </c>
      <c r="F466">
        <v>17.231393814</v>
      </c>
      <c r="G466">
        <v>1346.6282959</v>
      </c>
      <c r="H466">
        <v>1334.6555175999999</v>
      </c>
      <c r="I466">
        <v>1337.1226807</v>
      </c>
      <c r="J466">
        <v>1299.5866699000001</v>
      </c>
      <c r="K466">
        <v>0</v>
      </c>
      <c r="L466">
        <v>2400</v>
      </c>
      <c r="M466">
        <v>2400</v>
      </c>
      <c r="N466">
        <v>0</v>
      </c>
    </row>
    <row r="467" spans="1:14" x14ac:dyDescent="0.25">
      <c r="A467">
        <v>184.00036399999999</v>
      </c>
      <c r="B467" s="1">
        <f>DATE(2010,11,1) + TIME(0,0,31)</f>
        <v>40483.000358796293</v>
      </c>
      <c r="C467">
        <v>80</v>
      </c>
      <c r="D467">
        <v>79.915985106999997</v>
      </c>
      <c r="E467">
        <v>50</v>
      </c>
      <c r="F467">
        <v>17.242763519</v>
      </c>
      <c r="G467">
        <v>1339.3446045000001</v>
      </c>
      <c r="H467">
        <v>1327.3865966999999</v>
      </c>
      <c r="I467">
        <v>1358.7668457</v>
      </c>
      <c r="J467">
        <v>1321.1922606999999</v>
      </c>
      <c r="K467">
        <v>0</v>
      </c>
      <c r="L467">
        <v>2400</v>
      </c>
      <c r="M467">
        <v>2400</v>
      </c>
      <c r="N467">
        <v>0</v>
      </c>
    </row>
    <row r="468" spans="1:14" x14ac:dyDescent="0.25">
      <c r="A468">
        <v>184.001093</v>
      </c>
      <c r="B468" s="1">
        <f>DATE(2010,11,1) + TIME(0,1,34)</f>
        <v>40483.001087962963</v>
      </c>
      <c r="C468">
        <v>80</v>
      </c>
      <c r="D468">
        <v>79.914665221999996</v>
      </c>
      <c r="E468">
        <v>50</v>
      </c>
      <c r="F468">
        <v>17.272386551</v>
      </c>
      <c r="G468">
        <v>1331.9704589999999</v>
      </c>
      <c r="H468">
        <v>1320.0070800999999</v>
      </c>
      <c r="I468">
        <v>1380.4981689000001</v>
      </c>
      <c r="J468">
        <v>1342.8873291</v>
      </c>
      <c r="K468">
        <v>0</v>
      </c>
      <c r="L468">
        <v>2400</v>
      </c>
      <c r="M468">
        <v>2400</v>
      </c>
      <c r="N468">
        <v>0</v>
      </c>
    </row>
    <row r="469" spans="1:14" x14ac:dyDescent="0.25">
      <c r="A469">
        <v>184.00327999999999</v>
      </c>
      <c r="B469" s="1">
        <f>DATE(2010,11,1) + TIME(0,4,43)</f>
        <v>40483.003275462965</v>
      </c>
      <c r="C469">
        <v>80</v>
      </c>
      <c r="D469">
        <v>79.912712096999996</v>
      </c>
      <c r="E469">
        <v>50</v>
      </c>
      <c r="F469">
        <v>17.356710434</v>
      </c>
      <c r="G469">
        <v>1323.9686279</v>
      </c>
      <c r="H469">
        <v>1311.9283447</v>
      </c>
      <c r="I469">
        <v>1401.6392822</v>
      </c>
      <c r="J469">
        <v>1363.9940185999999</v>
      </c>
      <c r="K469">
        <v>0</v>
      </c>
      <c r="L469">
        <v>2400</v>
      </c>
      <c r="M469">
        <v>2400</v>
      </c>
      <c r="N469">
        <v>0</v>
      </c>
    </row>
    <row r="470" spans="1:14" x14ac:dyDescent="0.25">
      <c r="A470">
        <v>184.00984099999999</v>
      </c>
      <c r="B470" s="1">
        <f>DATE(2010,11,1) + TIME(0,14,10)</f>
        <v>40483.009837962964</v>
      </c>
      <c r="C470">
        <v>80</v>
      </c>
      <c r="D470">
        <v>79.908973693999997</v>
      </c>
      <c r="E470">
        <v>50</v>
      </c>
      <c r="F470">
        <v>17.604425429999999</v>
      </c>
      <c r="G470">
        <v>1314.9807129000001</v>
      </c>
      <c r="H470">
        <v>1302.8395995999999</v>
      </c>
      <c r="I470">
        <v>1420.3687743999999</v>
      </c>
      <c r="J470">
        <v>1382.7751464999999</v>
      </c>
      <c r="K470">
        <v>0</v>
      </c>
      <c r="L470">
        <v>2400</v>
      </c>
      <c r="M470">
        <v>2400</v>
      </c>
      <c r="N470">
        <v>0</v>
      </c>
    </row>
    <row r="471" spans="1:14" x14ac:dyDescent="0.25">
      <c r="A471">
        <v>184.02952400000001</v>
      </c>
      <c r="B471" s="1">
        <f>DATE(2010,11,1) + TIME(0,42,30)</f>
        <v>40483.029513888891</v>
      </c>
      <c r="C471">
        <v>80</v>
      </c>
      <c r="D471">
        <v>79.900520325000002</v>
      </c>
      <c r="E471">
        <v>50</v>
      </c>
      <c r="F471">
        <v>18.330322266</v>
      </c>
      <c r="G471">
        <v>1306.7608643000001</v>
      </c>
      <c r="H471">
        <v>1294.5666504000001</v>
      </c>
      <c r="I471">
        <v>1432.7899170000001</v>
      </c>
      <c r="J471">
        <v>1395.7132568</v>
      </c>
      <c r="K471">
        <v>0</v>
      </c>
      <c r="L471">
        <v>2400</v>
      </c>
      <c r="M471">
        <v>2400</v>
      </c>
      <c r="N471">
        <v>0</v>
      </c>
    </row>
    <row r="472" spans="1:14" x14ac:dyDescent="0.25">
      <c r="A472">
        <v>184.05630300000001</v>
      </c>
      <c r="B472" s="1">
        <f>DATE(2010,11,1) + TIME(1,21,4)</f>
        <v>40483.056296296294</v>
      </c>
      <c r="C472">
        <v>80</v>
      </c>
      <c r="D472">
        <v>79.890213012999993</v>
      </c>
      <c r="E472">
        <v>50</v>
      </c>
      <c r="F472">
        <v>19.289852142000001</v>
      </c>
      <c r="G472">
        <v>1303.0932617000001</v>
      </c>
      <c r="H472">
        <v>1290.8842772999999</v>
      </c>
      <c r="I472">
        <v>1436.2590332</v>
      </c>
      <c r="J472">
        <v>1399.9908447</v>
      </c>
      <c r="K472">
        <v>0</v>
      </c>
      <c r="L472">
        <v>2400</v>
      </c>
      <c r="M472">
        <v>2400</v>
      </c>
      <c r="N472">
        <v>0</v>
      </c>
    </row>
    <row r="473" spans="1:14" x14ac:dyDescent="0.25">
      <c r="A473">
        <v>184.08390299999999</v>
      </c>
      <c r="B473" s="1">
        <f>DATE(2010,11,1) + TIME(2,0,49)</f>
        <v>40483.08390046296</v>
      </c>
      <c r="C473">
        <v>80</v>
      </c>
      <c r="D473">
        <v>79.880020142000006</v>
      </c>
      <c r="E473">
        <v>50</v>
      </c>
      <c r="F473">
        <v>20.250186920000001</v>
      </c>
      <c r="G473">
        <v>1301.6829834</v>
      </c>
      <c r="H473">
        <v>1289.4693603999999</v>
      </c>
      <c r="I473">
        <v>1436.4416504000001</v>
      </c>
      <c r="J473">
        <v>1400.9898682</v>
      </c>
      <c r="K473">
        <v>0</v>
      </c>
      <c r="L473">
        <v>2400</v>
      </c>
      <c r="M473">
        <v>2400</v>
      </c>
      <c r="N473">
        <v>0</v>
      </c>
    </row>
    <row r="474" spans="1:14" x14ac:dyDescent="0.25">
      <c r="A474">
        <v>184.112314</v>
      </c>
      <c r="B474" s="1">
        <f>DATE(2010,11,1) + TIME(2,41,43)</f>
        <v>40483.112303240741</v>
      </c>
      <c r="C474">
        <v>80</v>
      </c>
      <c r="D474">
        <v>79.869750976999995</v>
      </c>
      <c r="E474">
        <v>50</v>
      </c>
      <c r="F474">
        <v>21.209453582999998</v>
      </c>
      <c r="G474">
        <v>1301.1016846</v>
      </c>
      <c r="H474">
        <v>1288.8861084</v>
      </c>
      <c r="I474">
        <v>1435.6501464999999</v>
      </c>
      <c r="J474">
        <v>1400.9949951000001</v>
      </c>
      <c r="K474">
        <v>0</v>
      </c>
      <c r="L474">
        <v>2400</v>
      </c>
      <c r="M474">
        <v>2400</v>
      </c>
      <c r="N474">
        <v>0</v>
      </c>
    </row>
    <row r="475" spans="1:14" x14ac:dyDescent="0.25">
      <c r="A475">
        <v>184.14157499999999</v>
      </c>
      <c r="B475" s="1">
        <f>DATE(2010,11,1) + TIME(3,23,52)</f>
        <v>40483.141574074078</v>
      </c>
      <c r="C475">
        <v>80</v>
      </c>
      <c r="D475">
        <v>79.859336853000002</v>
      </c>
      <c r="E475">
        <v>50</v>
      </c>
      <c r="F475">
        <v>22.166513442999999</v>
      </c>
      <c r="G475">
        <v>1300.8494873</v>
      </c>
      <c r="H475">
        <v>1288.6328125</v>
      </c>
      <c r="I475">
        <v>1434.5794678</v>
      </c>
      <c r="J475">
        <v>1400.6929932</v>
      </c>
      <c r="K475">
        <v>0</v>
      </c>
      <c r="L475">
        <v>2400</v>
      </c>
      <c r="M475">
        <v>2400</v>
      </c>
      <c r="N475">
        <v>0</v>
      </c>
    </row>
    <row r="476" spans="1:14" x14ac:dyDescent="0.25">
      <c r="A476">
        <v>184.171727</v>
      </c>
      <c r="B476" s="1">
        <f>DATE(2010,11,1) + TIME(4,7,17)</f>
        <v>40483.171724537038</v>
      </c>
      <c r="C476">
        <v>80</v>
      </c>
      <c r="D476">
        <v>79.848739624000004</v>
      </c>
      <c r="E476">
        <v>50</v>
      </c>
      <c r="F476">
        <v>23.120782852000001</v>
      </c>
      <c r="G476">
        <v>1300.7349853999999</v>
      </c>
      <c r="H476">
        <v>1288.5174560999999</v>
      </c>
      <c r="I476">
        <v>1433.4553223</v>
      </c>
      <c r="J476">
        <v>1400.3077393000001</v>
      </c>
      <c r="K476">
        <v>0</v>
      </c>
      <c r="L476">
        <v>2400</v>
      </c>
      <c r="M476">
        <v>2400</v>
      </c>
      <c r="N476">
        <v>0</v>
      </c>
    </row>
    <row r="477" spans="1:14" x14ac:dyDescent="0.25">
      <c r="A477">
        <v>184.20282599999999</v>
      </c>
      <c r="B477" s="1">
        <f>DATE(2010,11,1) + TIME(4,52,4)</f>
        <v>40483.202824074076</v>
      </c>
      <c r="C477">
        <v>80</v>
      </c>
      <c r="D477">
        <v>79.837936400999993</v>
      </c>
      <c r="E477">
        <v>50</v>
      </c>
      <c r="F477">
        <v>24.072017670000001</v>
      </c>
      <c r="G477">
        <v>1300.6806641000001</v>
      </c>
      <c r="H477">
        <v>1288.4624022999999</v>
      </c>
      <c r="I477">
        <v>1432.3499756000001</v>
      </c>
      <c r="J477">
        <v>1399.911499</v>
      </c>
      <c r="K477">
        <v>0</v>
      </c>
      <c r="L477">
        <v>2400</v>
      </c>
      <c r="M477">
        <v>2400</v>
      </c>
      <c r="N477">
        <v>0</v>
      </c>
    </row>
    <row r="478" spans="1:14" x14ac:dyDescent="0.25">
      <c r="A478">
        <v>184.23495199999999</v>
      </c>
      <c r="B478" s="1">
        <f>DATE(2010,11,1) + TIME(5,38,19)</f>
        <v>40483.234942129631</v>
      </c>
      <c r="C478">
        <v>80</v>
      </c>
      <c r="D478">
        <v>79.826904296999999</v>
      </c>
      <c r="E478">
        <v>50</v>
      </c>
      <c r="F478">
        <v>25.020545959</v>
      </c>
      <c r="G478">
        <v>1300.6538086</v>
      </c>
      <c r="H478">
        <v>1288.4349365</v>
      </c>
      <c r="I478">
        <v>1431.2827147999999</v>
      </c>
      <c r="J478">
        <v>1399.5252685999999</v>
      </c>
      <c r="K478">
        <v>0</v>
      </c>
      <c r="L478">
        <v>2400</v>
      </c>
      <c r="M478">
        <v>2400</v>
      </c>
      <c r="N478">
        <v>0</v>
      </c>
    </row>
    <row r="479" spans="1:14" x14ac:dyDescent="0.25">
      <c r="A479">
        <v>184.268181</v>
      </c>
      <c r="B479" s="1">
        <f>DATE(2010,11,1) + TIME(6,26,10)</f>
        <v>40483.268171296295</v>
      </c>
      <c r="C479">
        <v>80</v>
      </c>
      <c r="D479">
        <v>79.815628051999994</v>
      </c>
      <c r="E479">
        <v>50</v>
      </c>
      <c r="F479">
        <v>25.966911316000001</v>
      </c>
      <c r="G479">
        <v>1300.6401367000001</v>
      </c>
      <c r="H479">
        <v>1288.4206543</v>
      </c>
      <c r="I479">
        <v>1430.2567139</v>
      </c>
      <c r="J479">
        <v>1399.1538086</v>
      </c>
      <c r="K479">
        <v>0</v>
      </c>
      <c r="L479">
        <v>2400</v>
      </c>
      <c r="M479">
        <v>2400</v>
      </c>
      <c r="N479">
        <v>0</v>
      </c>
    </row>
    <row r="480" spans="1:14" x14ac:dyDescent="0.25">
      <c r="A480">
        <v>184.30259599999999</v>
      </c>
      <c r="B480" s="1">
        <f>DATE(2010,11,1) + TIME(7,15,44)</f>
        <v>40483.30259259259</v>
      </c>
      <c r="C480">
        <v>80</v>
      </c>
      <c r="D480">
        <v>79.804077148000005</v>
      </c>
      <c r="E480">
        <v>50</v>
      </c>
      <c r="F480">
        <v>26.910394668999999</v>
      </c>
      <c r="G480">
        <v>1300.6329346</v>
      </c>
      <c r="H480">
        <v>1288.4129639</v>
      </c>
      <c r="I480">
        <v>1429.2702637</v>
      </c>
      <c r="J480">
        <v>1398.7962646000001</v>
      </c>
      <c r="K480">
        <v>0</v>
      </c>
      <c r="L480">
        <v>2400</v>
      </c>
      <c r="M480">
        <v>2400</v>
      </c>
      <c r="N480">
        <v>0</v>
      </c>
    </row>
    <row r="481" spans="1:14" x14ac:dyDescent="0.25">
      <c r="A481">
        <v>184.33828600000001</v>
      </c>
      <c r="B481" s="1">
        <f>DATE(2010,11,1) + TIME(8,7,7)</f>
        <v>40483.338275462964</v>
      </c>
      <c r="C481">
        <v>80</v>
      </c>
      <c r="D481">
        <v>79.792236328000001</v>
      </c>
      <c r="E481">
        <v>50</v>
      </c>
      <c r="F481">
        <v>27.850803375000002</v>
      </c>
      <c r="G481">
        <v>1300.6290283000001</v>
      </c>
      <c r="H481">
        <v>1288.4083252</v>
      </c>
      <c r="I481">
        <v>1428.3206786999999</v>
      </c>
      <c r="J481">
        <v>1398.4510498</v>
      </c>
      <c r="K481">
        <v>0</v>
      </c>
      <c r="L481">
        <v>2400</v>
      </c>
      <c r="M481">
        <v>2400</v>
      </c>
      <c r="N481">
        <v>0</v>
      </c>
    </row>
    <row r="482" spans="1:14" x14ac:dyDescent="0.25">
      <c r="A482">
        <v>184.375336</v>
      </c>
      <c r="B482" s="1">
        <f>DATE(2010,11,1) + TIME(9,0,29)</f>
        <v>40483.375335648147</v>
      </c>
      <c r="C482">
        <v>80</v>
      </c>
      <c r="D482">
        <v>79.780090332</v>
      </c>
      <c r="E482">
        <v>50</v>
      </c>
      <c r="F482">
        <v>28.787525176999999</v>
      </c>
      <c r="G482">
        <v>1300.6267089999999</v>
      </c>
      <c r="H482">
        <v>1288.4053954999999</v>
      </c>
      <c r="I482">
        <v>1427.4057617000001</v>
      </c>
      <c r="J482">
        <v>1398.1169434000001</v>
      </c>
      <c r="K482">
        <v>0</v>
      </c>
      <c r="L482">
        <v>2400</v>
      </c>
      <c r="M482">
        <v>2400</v>
      </c>
      <c r="N482">
        <v>0</v>
      </c>
    </row>
    <row r="483" spans="1:14" x14ac:dyDescent="0.25">
      <c r="A483">
        <v>184.413881</v>
      </c>
      <c r="B483" s="1">
        <f>DATE(2010,11,1) + TIME(9,55,59)</f>
        <v>40483.413877314815</v>
      </c>
      <c r="C483">
        <v>80</v>
      </c>
      <c r="D483">
        <v>79.767601013000004</v>
      </c>
      <c r="E483">
        <v>50</v>
      </c>
      <c r="F483">
        <v>29.720924376999999</v>
      </c>
      <c r="G483">
        <v>1300.625</v>
      </c>
      <c r="H483">
        <v>1288.4030762</v>
      </c>
      <c r="I483">
        <v>1426.5227050999999</v>
      </c>
      <c r="J483">
        <v>1397.7926024999999</v>
      </c>
      <c r="K483">
        <v>0</v>
      </c>
      <c r="L483">
        <v>2400</v>
      </c>
      <c r="M483">
        <v>2400</v>
      </c>
      <c r="N483">
        <v>0</v>
      </c>
    </row>
    <row r="484" spans="1:14" x14ac:dyDescent="0.25">
      <c r="A484">
        <v>184.45405299999999</v>
      </c>
      <c r="B484" s="1">
        <f>DATE(2010,11,1) + TIME(10,53,50)</f>
        <v>40483.454050925924</v>
      </c>
      <c r="C484">
        <v>80</v>
      </c>
      <c r="D484">
        <v>79.754745482999994</v>
      </c>
      <c r="E484">
        <v>50</v>
      </c>
      <c r="F484">
        <v>30.650968551999998</v>
      </c>
      <c r="G484">
        <v>1300.6237793</v>
      </c>
      <c r="H484">
        <v>1288.4011230000001</v>
      </c>
      <c r="I484">
        <v>1425.6694336</v>
      </c>
      <c r="J484">
        <v>1397.4768065999999</v>
      </c>
      <c r="K484">
        <v>0</v>
      </c>
      <c r="L484">
        <v>2400</v>
      </c>
      <c r="M484">
        <v>2400</v>
      </c>
      <c r="N484">
        <v>0</v>
      </c>
    </row>
    <row r="485" spans="1:14" x14ac:dyDescent="0.25">
      <c r="A485">
        <v>184.49599699999999</v>
      </c>
      <c r="B485" s="1">
        <f>DATE(2010,11,1) + TIME(11,54,14)</f>
        <v>40483.495995370373</v>
      </c>
      <c r="C485">
        <v>80</v>
      </c>
      <c r="D485">
        <v>79.741485596000004</v>
      </c>
      <c r="E485">
        <v>50</v>
      </c>
      <c r="F485">
        <v>31.577337265000001</v>
      </c>
      <c r="G485">
        <v>1300.6225586</v>
      </c>
      <c r="H485">
        <v>1288.3992920000001</v>
      </c>
      <c r="I485">
        <v>1424.8439940999999</v>
      </c>
      <c r="J485">
        <v>1397.1685791</v>
      </c>
      <c r="K485">
        <v>0</v>
      </c>
      <c r="L485">
        <v>2400</v>
      </c>
      <c r="M485">
        <v>2400</v>
      </c>
      <c r="N485">
        <v>0</v>
      </c>
    </row>
    <row r="486" spans="1:14" x14ac:dyDescent="0.25">
      <c r="A486">
        <v>184.53987900000001</v>
      </c>
      <c r="B486" s="1">
        <f>DATE(2010,11,1) + TIME(12,57,25)</f>
        <v>40483.539872685185</v>
      </c>
      <c r="C486">
        <v>80</v>
      </c>
      <c r="D486">
        <v>79.727783203000001</v>
      </c>
      <c r="E486">
        <v>50</v>
      </c>
      <c r="F486">
        <v>32.49968338</v>
      </c>
      <c r="G486">
        <v>1300.6212158000001</v>
      </c>
      <c r="H486">
        <v>1288.3973389</v>
      </c>
      <c r="I486">
        <v>1424.0446777</v>
      </c>
      <c r="J486">
        <v>1396.8671875</v>
      </c>
      <c r="K486">
        <v>0</v>
      </c>
      <c r="L486">
        <v>2400</v>
      </c>
      <c r="M486">
        <v>2400</v>
      </c>
      <c r="N486">
        <v>0</v>
      </c>
    </row>
    <row r="487" spans="1:14" x14ac:dyDescent="0.25">
      <c r="A487">
        <v>184.58588399999999</v>
      </c>
      <c r="B487" s="1">
        <f>DATE(2010,11,1) + TIME(14,3,40)</f>
        <v>40483.585879629631</v>
      </c>
      <c r="C487">
        <v>80</v>
      </c>
      <c r="D487">
        <v>79.713600158999995</v>
      </c>
      <c r="E487">
        <v>50</v>
      </c>
      <c r="F487">
        <v>33.417556763</v>
      </c>
      <c r="G487">
        <v>1300.6198730000001</v>
      </c>
      <c r="H487">
        <v>1288.3951416</v>
      </c>
      <c r="I487">
        <v>1423.2702637</v>
      </c>
      <c r="J487">
        <v>1396.5718993999999</v>
      </c>
      <c r="K487">
        <v>0</v>
      </c>
      <c r="L487">
        <v>2400</v>
      </c>
      <c r="M487">
        <v>2400</v>
      </c>
      <c r="N487">
        <v>0</v>
      </c>
    </row>
    <row r="488" spans="1:14" x14ac:dyDescent="0.25">
      <c r="A488">
        <v>184.63423399999999</v>
      </c>
      <c r="B488" s="1">
        <f>DATE(2010,11,1) + TIME(15,13,17)</f>
        <v>40483.63422453704</v>
      </c>
      <c r="C488">
        <v>80</v>
      </c>
      <c r="D488">
        <v>79.698890685999999</v>
      </c>
      <c r="E488">
        <v>50</v>
      </c>
      <c r="F488">
        <v>34.330722809000001</v>
      </c>
      <c r="G488">
        <v>1300.6184082</v>
      </c>
      <c r="H488">
        <v>1288.3929443</v>
      </c>
      <c r="I488">
        <v>1422.5187988</v>
      </c>
      <c r="J488">
        <v>1396.2817382999999</v>
      </c>
      <c r="K488">
        <v>0</v>
      </c>
      <c r="L488">
        <v>2400</v>
      </c>
      <c r="M488">
        <v>2400</v>
      </c>
      <c r="N488">
        <v>0</v>
      </c>
    </row>
    <row r="489" spans="1:14" x14ac:dyDescent="0.25">
      <c r="A489">
        <v>184.68518800000001</v>
      </c>
      <c r="B489" s="1">
        <f>DATE(2010,11,1) + TIME(16,26,40)</f>
        <v>40483.685185185182</v>
      </c>
      <c r="C489">
        <v>80</v>
      </c>
      <c r="D489">
        <v>79.68359375</v>
      </c>
      <c r="E489">
        <v>50</v>
      </c>
      <c r="F489">
        <v>35.238830565999997</v>
      </c>
      <c r="G489">
        <v>1300.6166992000001</v>
      </c>
      <c r="H489">
        <v>1288.3905029</v>
      </c>
      <c r="I489">
        <v>1421.7890625</v>
      </c>
      <c r="J489">
        <v>1395.9962158000001</v>
      </c>
      <c r="K489">
        <v>0</v>
      </c>
      <c r="L489">
        <v>2400</v>
      </c>
      <c r="M489">
        <v>2400</v>
      </c>
      <c r="N489">
        <v>0</v>
      </c>
    </row>
    <row r="490" spans="1:14" x14ac:dyDescent="0.25">
      <c r="A490">
        <v>184.73904099999999</v>
      </c>
      <c r="B490" s="1">
        <f>DATE(2010,11,1) + TIME(17,44,13)</f>
        <v>40483.739039351851</v>
      </c>
      <c r="C490">
        <v>80</v>
      </c>
      <c r="D490">
        <v>79.667648314999994</v>
      </c>
      <c r="E490">
        <v>50</v>
      </c>
      <c r="F490">
        <v>36.141418457</v>
      </c>
      <c r="G490">
        <v>1300.6147461</v>
      </c>
      <c r="H490">
        <v>1288.3878173999999</v>
      </c>
      <c r="I490">
        <v>1421.0795897999999</v>
      </c>
      <c r="J490">
        <v>1395.7143555</v>
      </c>
      <c r="K490">
        <v>0</v>
      </c>
      <c r="L490">
        <v>2400</v>
      </c>
      <c r="M490">
        <v>2400</v>
      </c>
      <c r="N490">
        <v>0</v>
      </c>
    </row>
    <row r="491" spans="1:14" x14ac:dyDescent="0.25">
      <c r="A491">
        <v>184.79614100000001</v>
      </c>
      <c r="B491" s="1">
        <f>DATE(2010,11,1) + TIME(19,6,26)</f>
        <v>40483.796134259261</v>
      </c>
      <c r="C491">
        <v>80</v>
      </c>
      <c r="D491">
        <v>79.650978088000002</v>
      </c>
      <c r="E491">
        <v>50</v>
      </c>
      <c r="F491">
        <v>37.037960052000003</v>
      </c>
      <c r="G491">
        <v>1300.612793</v>
      </c>
      <c r="H491">
        <v>1288.3850098</v>
      </c>
      <c r="I491">
        <v>1420.3890381000001</v>
      </c>
      <c r="J491">
        <v>1395.4353027</v>
      </c>
      <c r="K491">
        <v>0</v>
      </c>
      <c r="L491">
        <v>2400</v>
      </c>
      <c r="M491">
        <v>2400</v>
      </c>
      <c r="N491">
        <v>0</v>
      </c>
    </row>
    <row r="492" spans="1:14" x14ac:dyDescent="0.25">
      <c r="A492">
        <v>184.85690199999999</v>
      </c>
      <c r="B492" s="1">
        <f>DATE(2010,11,1) + TIME(20,33,56)</f>
        <v>40483.856898148151</v>
      </c>
      <c r="C492">
        <v>80</v>
      </c>
      <c r="D492">
        <v>79.633499146000005</v>
      </c>
      <c r="E492">
        <v>50</v>
      </c>
      <c r="F492">
        <v>37.927833557</v>
      </c>
      <c r="G492">
        <v>1300.6104736</v>
      </c>
      <c r="H492">
        <v>1288.3818358999999</v>
      </c>
      <c r="I492">
        <v>1419.7159423999999</v>
      </c>
      <c r="J492">
        <v>1395.1584473</v>
      </c>
      <c r="K492">
        <v>0</v>
      </c>
      <c r="L492">
        <v>2400</v>
      </c>
      <c r="M492">
        <v>2400</v>
      </c>
      <c r="N492">
        <v>0</v>
      </c>
    </row>
    <row r="493" spans="1:14" x14ac:dyDescent="0.25">
      <c r="A493">
        <v>184.921818</v>
      </c>
      <c r="B493" s="1">
        <f>DATE(2010,11,1) + TIME(22,7,25)</f>
        <v>40483.921817129631</v>
      </c>
      <c r="C493">
        <v>80</v>
      </c>
      <c r="D493">
        <v>79.615097046000002</v>
      </c>
      <c r="E493">
        <v>50</v>
      </c>
      <c r="F493">
        <v>38.810317992999998</v>
      </c>
      <c r="G493">
        <v>1300.6080322</v>
      </c>
      <c r="H493">
        <v>1288.3785399999999</v>
      </c>
      <c r="I493">
        <v>1419.0589600000001</v>
      </c>
      <c r="J493">
        <v>1394.8826904</v>
      </c>
      <c r="K493">
        <v>0</v>
      </c>
      <c r="L493">
        <v>2400</v>
      </c>
      <c r="M493">
        <v>2400</v>
      </c>
      <c r="N493">
        <v>0</v>
      </c>
    </row>
    <row r="494" spans="1:14" x14ac:dyDescent="0.25">
      <c r="A494">
        <v>184.99148600000001</v>
      </c>
      <c r="B494" s="1">
        <f>DATE(2010,11,1) + TIME(23,47,44)</f>
        <v>40483.991481481484</v>
      </c>
      <c r="C494">
        <v>80</v>
      </c>
      <c r="D494">
        <v>79.595649718999994</v>
      </c>
      <c r="E494">
        <v>50</v>
      </c>
      <c r="F494">
        <v>39.684566498000002</v>
      </c>
      <c r="G494">
        <v>1300.6053466999999</v>
      </c>
      <c r="H494">
        <v>1288.375</v>
      </c>
      <c r="I494">
        <v>1418.4167480000001</v>
      </c>
      <c r="J494">
        <v>1394.6071777</v>
      </c>
      <c r="K494">
        <v>0</v>
      </c>
      <c r="L494">
        <v>2400</v>
      </c>
      <c r="M494">
        <v>2400</v>
      </c>
      <c r="N494">
        <v>0</v>
      </c>
    </row>
    <row r="495" spans="1:14" x14ac:dyDescent="0.25">
      <c r="A495">
        <v>185.06664000000001</v>
      </c>
      <c r="B495" s="1">
        <f>DATE(2010,11,2) + TIME(1,35,57)</f>
        <v>40484.066631944443</v>
      </c>
      <c r="C495">
        <v>80</v>
      </c>
      <c r="D495">
        <v>79.575019835999996</v>
      </c>
      <c r="E495">
        <v>50</v>
      </c>
      <c r="F495">
        <v>40.549705504999999</v>
      </c>
      <c r="G495">
        <v>1300.6024170000001</v>
      </c>
      <c r="H495">
        <v>1288.3710937999999</v>
      </c>
      <c r="I495">
        <v>1417.7878418</v>
      </c>
      <c r="J495">
        <v>1394.3308105000001</v>
      </c>
      <c r="K495">
        <v>0</v>
      </c>
      <c r="L495">
        <v>2400</v>
      </c>
      <c r="M495">
        <v>2400</v>
      </c>
      <c r="N495">
        <v>0</v>
      </c>
    </row>
    <row r="496" spans="1:14" x14ac:dyDescent="0.25">
      <c r="A496">
        <v>185.14818700000001</v>
      </c>
      <c r="B496" s="1">
        <f>DATE(2010,11,2) + TIME(3,33,23)</f>
        <v>40484.148182870369</v>
      </c>
      <c r="C496">
        <v>80</v>
      </c>
      <c r="D496">
        <v>79.553001404</v>
      </c>
      <c r="E496">
        <v>50</v>
      </c>
      <c r="F496">
        <v>41.404495238999999</v>
      </c>
      <c r="G496">
        <v>1300.5992432</v>
      </c>
      <c r="H496">
        <v>1288.3668213000001</v>
      </c>
      <c r="I496">
        <v>1417.1707764</v>
      </c>
      <c r="J496">
        <v>1394.0523682</v>
      </c>
      <c r="K496">
        <v>0</v>
      </c>
      <c r="L496">
        <v>2400</v>
      </c>
      <c r="M496">
        <v>2400</v>
      </c>
      <c r="N496">
        <v>0</v>
      </c>
    </row>
    <row r="497" spans="1:14" x14ac:dyDescent="0.25">
      <c r="A497">
        <v>185.23727</v>
      </c>
      <c r="B497" s="1">
        <f>DATE(2010,11,2) + TIME(5,41,40)</f>
        <v>40484.237268518518</v>
      </c>
      <c r="C497">
        <v>80</v>
      </c>
      <c r="D497">
        <v>79.529373168999996</v>
      </c>
      <c r="E497">
        <v>50</v>
      </c>
      <c r="F497">
        <v>42.247406005999999</v>
      </c>
      <c r="G497">
        <v>1300.5958252</v>
      </c>
      <c r="H497">
        <v>1288.3623047000001</v>
      </c>
      <c r="I497">
        <v>1416.5639647999999</v>
      </c>
      <c r="J497">
        <v>1393.7703856999999</v>
      </c>
      <c r="K497">
        <v>0</v>
      </c>
      <c r="L497">
        <v>2400</v>
      </c>
      <c r="M497">
        <v>2400</v>
      </c>
      <c r="N497">
        <v>0</v>
      </c>
    </row>
    <row r="498" spans="1:14" x14ac:dyDescent="0.25">
      <c r="A498">
        <v>185.335341</v>
      </c>
      <c r="B498" s="1">
        <f>DATE(2010,11,2) + TIME(8,2,53)</f>
        <v>40484.335335648146</v>
      </c>
      <c r="C498">
        <v>80</v>
      </c>
      <c r="D498">
        <v>79.503852843999994</v>
      </c>
      <c r="E498">
        <v>50</v>
      </c>
      <c r="F498">
        <v>43.076553345000001</v>
      </c>
      <c r="G498">
        <v>1300.5919189000001</v>
      </c>
      <c r="H498">
        <v>1288.3572998</v>
      </c>
      <c r="I498">
        <v>1415.9659423999999</v>
      </c>
      <c r="J498">
        <v>1393.4835204999999</v>
      </c>
      <c r="K498">
        <v>0</v>
      </c>
      <c r="L498">
        <v>2400</v>
      </c>
      <c r="M498">
        <v>2400</v>
      </c>
      <c r="N498">
        <v>0</v>
      </c>
    </row>
    <row r="499" spans="1:14" x14ac:dyDescent="0.25">
      <c r="A499">
        <v>185.44434000000001</v>
      </c>
      <c r="B499" s="1">
        <f>DATE(2010,11,2) + TIME(10,39,50)</f>
        <v>40484.444328703707</v>
      </c>
      <c r="C499">
        <v>80</v>
      </c>
      <c r="D499">
        <v>79.476051330999994</v>
      </c>
      <c r="E499">
        <v>50</v>
      </c>
      <c r="F499">
        <v>43.889961243000002</v>
      </c>
      <c r="G499">
        <v>1300.5877685999999</v>
      </c>
      <c r="H499">
        <v>1288.3518065999999</v>
      </c>
      <c r="I499">
        <v>1415.3746338000001</v>
      </c>
      <c r="J499">
        <v>1393.1898193</v>
      </c>
      <c r="K499">
        <v>0</v>
      </c>
      <c r="L499">
        <v>2400</v>
      </c>
      <c r="M499">
        <v>2400</v>
      </c>
      <c r="N499">
        <v>0</v>
      </c>
    </row>
    <row r="500" spans="1:14" x14ac:dyDescent="0.25">
      <c r="A500">
        <v>185.55934300000001</v>
      </c>
      <c r="B500" s="1">
        <f>DATE(2010,11,2) + TIME(13,25,27)</f>
        <v>40484.559340277781</v>
      </c>
      <c r="C500">
        <v>80</v>
      </c>
      <c r="D500">
        <v>79.447135924999998</v>
      </c>
      <c r="E500">
        <v>50</v>
      </c>
      <c r="F500">
        <v>44.642326355000002</v>
      </c>
      <c r="G500">
        <v>1300.5828856999999</v>
      </c>
      <c r="H500">
        <v>1288.3458252</v>
      </c>
      <c r="I500">
        <v>1414.8139647999999</v>
      </c>
      <c r="J500">
        <v>1392.8963623</v>
      </c>
      <c r="K500">
        <v>0</v>
      </c>
      <c r="L500">
        <v>2400</v>
      </c>
      <c r="M500">
        <v>2400</v>
      </c>
      <c r="N500">
        <v>0</v>
      </c>
    </row>
    <row r="501" spans="1:14" x14ac:dyDescent="0.25">
      <c r="A501">
        <v>185.67509799999999</v>
      </c>
      <c r="B501" s="1">
        <f>DATE(2010,11,2) + TIME(16,12,8)</f>
        <v>40484.675092592595</v>
      </c>
      <c r="C501">
        <v>80</v>
      </c>
      <c r="D501">
        <v>79.418258667000003</v>
      </c>
      <c r="E501">
        <v>50</v>
      </c>
      <c r="F501">
        <v>45.305446625000002</v>
      </c>
      <c r="G501">
        <v>1300.5776367000001</v>
      </c>
      <c r="H501">
        <v>1288.3393555</v>
      </c>
      <c r="I501">
        <v>1414.3029785000001</v>
      </c>
      <c r="J501">
        <v>1392.6148682</v>
      </c>
      <c r="K501">
        <v>0</v>
      </c>
      <c r="L501">
        <v>2400</v>
      </c>
      <c r="M501">
        <v>2400</v>
      </c>
      <c r="N501">
        <v>0</v>
      </c>
    </row>
    <row r="502" spans="1:14" x14ac:dyDescent="0.25">
      <c r="A502">
        <v>185.79253199999999</v>
      </c>
      <c r="B502" s="1">
        <f>DATE(2010,11,2) + TIME(19,1,14)</f>
        <v>40484.792523148149</v>
      </c>
      <c r="C502">
        <v>80</v>
      </c>
      <c r="D502">
        <v>79.389221191000004</v>
      </c>
      <c r="E502">
        <v>50</v>
      </c>
      <c r="F502">
        <v>45.893230438000003</v>
      </c>
      <c r="G502">
        <v>1300.5723877</v>
      </c>
      <c r="H502">
        <v>1288.3330077999999</v>
      </c>
      <c r="I502">
        <v>1413.8366699000001</v>
      </c>
      <c r="J502">
        <v>1392.3485106999999</v>
      </c>
      <c r="K502">
        <v>0</v>
      </c>
      <c r="L502">
        <v>2400</v>
      </c>
      <c r="M502">
        <v>2400</v>
      </c>
      <c r="N502">
        <v>0</v>
      </c>
    </row>
    <row r="503" spans="1:14" x14ac:dyDescent="0.25">
      <c r="A503">
        <v>185.91216399999999</v>
      </c>
      <c r="B503" s="1">
        <f>DATE(2010,11,2) + TIME(21,53,30)</f>
        <v>40484.912152777775</v>
      </c>
      <c r="C503">
        <v>80</v>
      </c>
      <c r="D503">
        <v>79.359893799000005</v>
      </c>
      <c r="E503">
        <v>50</v>
      </c>
      <c r="F503">
        <v>46.414993285999998</v>
      </c>
      <c r="G503">
        <v>1300.5670166</v>
      </c>
      <c r="H503">
        <v>1288.3264160000001</v>
      </c>
      <c r="I503">
        <v>1413.4077147999999</v>
      </c>
      <c r="J503">
        <v>1392.0942382999999</v>
      </c>
      <c r="K503">
        <v>0</v>
      </c>
      <c r="L503">
        <v>2400</v>
      </c>
      <c r="M503">
        <v>2400</v>
      </c>
      <c r="N503">
        <v>0</v>
      </c>
    </row>
    <row r="504" spans="1:14" x14ac:dyDescent="0.25">
      <c r="A504">
        <v>186.03453300000001</v>
      </c>
      <c r="B504" s="1">
        <f>DATE(2010,11,3) + TIME(0,49,43)</f>
        <v>40485.034525462965</v>
      </c>
      <c r="C504">
        <v>80</v>
      </c>
      <c r="D504">
        <v>79.330162048000005</v>
      </c>
      <c r="E504">
        <v>50</v>
      </c>
      <c r="F504">
        <v>46.878536224000001</v>
      </c>
      <c r="G504">
        <v>1300.5615233999999</v>
      </c>
      <c r="H504">
        <v>1288.3198242000001</v>
      </c>
      <c r="I504">
        <v>1413.0101318</v>
      </c>
      <c r="J504">
        <v>1391.8500977000001</v>
      </c>
      <c r="K504">
        <v>0</v>
      </c>
      <c r="L504">
        <v>2400</v>
      </c>
      <c r="M504">
        <v>2400</v>
      </c>
      <c r="N504">
        <v>0</v>
      </c>
    </row>
    <row r="505" spans="1:14" x14ac:dyDescent="0.25">
      <c r="A505">
        <v>186.160192</v>
      </c>
      <c r="B505" s="1">
        <f>DATE(2010,11,3) + TIME(3,50,40)</f>
        <v>40485.160185185188</v>
      </c>
      <c r="C505">
        <v>80</v>
      </c>
      <c r="D505">
        <v>79.299911499000004</v>
      </c>
      <c r="E505">
        <v>50</v>
      </c>
      <c r="F505">
        <v>47.290409087999997</v>
      </c>
      <c r="G505">
        <v>1300.5559082</v>
      </c>
      <c r="H505">
        <v>1288.3129882999999</v>
      </c>
      <c r="I505">
        <v>1412.6392822</v>
      </c>
      <c r="J505">
        <v>1391.6141356999999</v>
      </c>
      <c r="K505">
        <v>0</v>
      </c>
      <c r="L505">
        <v>2400</v>
      </c>
      <c r="M505">
        <v>2400</v>
      </c>
      <c r="N505">
        <v>0</v>
      </c>
    </row>
    <row r="506" spans="1:14" x14ac:dyDescent="0.25">
      <c r="A506">
        <v>186.28969699999999</v>
      </c>
      <c r="B506" s="1">
        <f>DATE(2010,11,3) + TIME(6,57,9)</f>
        <v>40485.289687500001</v>
      </c>
      <c r="C506">
        <v>80</v>
      </c>
      <c r="D506">
        <v>79.269027710000003</v>
      </c>
      <c r="E506">
        <v>50</v>
      </c>
      <c r="F506">
        <v>47.656105042</v>
      </c>
      <c r="G506">
        <v>1300.5501709</v>
      </c>
      <c r="H506">
        <v>1288.3059082</v>
      </c>
      <c r="I506">
        <v>1412.2913818</v>
      </c>
      <c r="J506">
        <v>1391.3850098</v>
      </c>
      <c r="K506">
        <v>0</v>
      </c>
      <c r="L506">
        <v>2400</v>
      </c>
      <c r="M506">
        <v>2400</v>
      </c>
      <c r="N506">
        <v>0</v>
      </c>
    </row>
    <row r="507" spans="1:14" x14ac:dyDescent="0.25">
      <c r="A507">
        <v>186.42363499999999</v>
      </c>
      <c r="B507" s="1">
        <f>DATE(2010,11,3) + TIME(10,10,2)</f>
        <v>40485.423634259256</v>
      </c>
      <c r="C507">
        <v>80</v>
      </c>
      <c r="D507">
        <v>79.237380981000001</v>
      </c>
      <c r="E507">
        <v>50</v>
      </c>
      <c r="F507">
        <v>47.980350494</v>
      </c>
      <c r="G507">
        <v>1300.5440673999999</v>
      </c>
      <c r="H507">
        <v>1288.2987060999999</v>
      </c>
      <c r="I507">
        <v>1411.9630127</v>
      </c>
      <c r="J507">
        <v>1391.1613769999999</v>
      </c>
      <c r="K507">
        <v>0</v>
      </c>
      <c r="L507">
        <v>2400</v>
      </c>
      <c r="M507">
        <v>2400</v>
      </c>
      <c r="N507">
        <v>0</v>
      </c>
    </row>
    <row r="508" spans="1:14" x14ac:dyDescent="0.25">
      <c r="A508">
        <v>186.56239500000001</v>
      </c>
      <c r="B508" s="1">
        <f>DATE(2010,11,3) + TIME(13,29,50)</f>
        <v>40485.562384259261</v>
      </c>
      <c r="C508">
        <v>80</v>
      </c>
      <c r="D508">
        <v>79.204902649000005</v>
      </c>
      <c r="E508">
        <v>50</v>
      </c>
      <c r="F508">
        <v>48.266830444</v>
      </c>
      <c r="G508">
        <v>1300.5378418</v>
      </c>
      <c r="H508">
        <v>1288.2911377</v>
      </c>
      <c r="I508">
        <v>1411.6517334</v>
      </c>
      <c r="J508">
        <v>1390.9422606999999</v>
      </c>
      <c r="K508">
        <v>0</v>
      </c>
      <c r="L508">
        <v>2400</v>
      </c>
      <c r="M508">
        <v>2400</v>
      </c>
      <c r="N508">
        <v>0</v>
      </c>
    </row>
    <row r="509" spans="1:14" x14ac:dyDescent="0.25">
      <c r="A509">
        <v>186.70663999999999</v>
      </c>
      <c r="B509" s="1">
        <f>DATE(2010,11,3) + TIME(16,57,33)</f>
        <v>40485.706631944442</v>
      </c>
      <c r="C509">
        <v>80</v>
      </c>
      <c r="D509">
        <v>79.171463012999993</v>
      </c>
      <c r="E509">
        <v>50</v>
      </c>
      <c r="F509">
        <v>48.519306182999998</v>
      </c>
      <c r="G509">
        <v>1300.5313721</v>
      </c>
      <c r="H509">
        <v>1288.2833252</v>
      </c>
      <c r="I509">
        <v>1411.3553466999999</v>
      </c>
      <c r="J509">
        <v>1390.7269286999999</v>
      </c>
      <c r="K509">
        <v>0</v>
      </c>
      <c r="L509">
        <v>2400</v>
      </c>
      <c r="M509">
        <v>2400</v>
      </c>
      <c r="N509">
        <v>0</v>
      </c>
    </row>
    <row r="510" spans="1:14" x14ac:dyDescent="0.25">
      <c r="A510">
        <v>186.85711599999999</v>
      </c>
      <c r="B510" s="1">
        <f>DATE(2010,11,3) + TIME(20,34,14)</f>
        <v>40485.857106481482</v>
      </c>
      <c r="C510">
        <v>80</v>
      </c>
      <c r="D510">
        <v>79.136917113999999</v>
      </c>
      <c r="E510">
        <v>50</v>
      </c>
      <c r="F510">
        <v>48.741138458000002</v>
      </c>
      <c r="G510">
        <v>1300.5245361</v>
      </c>
      <c r="H510">
        <v>1288.2751464999999</v>
      </c>
      <c r="I510">
        <v>1411.0715332</v>
      </c>
      <c r="J510">
        <v>1390.5144043</v>
      </c>
      <c r="K510">
        <v>0</v>
      </c>
      <c r="L510">
        <v>2400</v>
      </c>
      <c r="M510">
        <v>2400</v>
      </c>
      <c r="N510">
        <v>0</v>
      </c>
    </row>
    <row r="511" spans="1:14" x14ac:dyDescent="0.25">
      <c r="A511">
        <v>187.01472899999999</v>
      </c>
      <c r="B511" s="1">
        <f>DATE(2010,11,4) + TIME(0,21,12)</f>
        <v>40486.014722222222</v>
      </c>
      <c r="C511">
        <v>80</v>
      </c>
      <c r="D511">
        <v>79.101097107000001</v>
      </c>
      <c r="E511">
        <v>50</v>
      </c>
      <c r="F511">
        <v>48.935382842999999</v>
      </c>
      <c r="G511">
        <v>1300.5174560999999</v>
      </c>
      <c r="H511">
        <v>1288.2667236</v>
      </c>
      <c r="I511">
        <v>1410.7982178</v>
      </c>
      <c r="J511">
        <v>1390.3038329999999</v>
      </c>
      <c r="K511">
        <v>0</v>
      </c>
      <c r="L511">
        <v>2400</v>
      </c>
      <c r="M511">
        <v>2400</v>
      </c>
      <c r="N511">
        <v>0</v>
      </c>
    </row>
    <row r="512" spans="1:14" x14ac:dyDescent="0.25">
      <c r="A512">
        <v>187.180397</v>
      </c>
      <c r="B512" s="1">
        <f>DATE(2010,11,4) + TIME(4,19,46)</f>
        <v>40486.180393518516</v>
      </c>
      <c r="C512">
        <v>80</v>
      </c>
      <c r="D512">
        <v>79.063835143999995</v>
      </c>
      <c r="E512">
        <v>50</v>
      </c>
      <c r="F512">
        <v>49.104663848999998</v>
      </c>
      <c r="G512">
        <v>1300.5098877</v>
      </c>
      <c r="H512">
        <v>1288.2576904</v>
      </c>
      <c r="I512">
        <v>1410.5338135</v>
      </c>
      <c r="J512">
        <v>1390.0942382999999</v>
      </c>
      <c r="K512">
        <v>0</v>
      </c>
      <c r="L512">
        <v>2400</v>
      </c>
      <c r="M512">
        <v>2400</v>
      </c>
      <c r="N512">
        <v>0</v>
      </c>
    </row>
    <row r="513" spans="1:14" x14ac:dyDescent="0.25">
      <c r="A513">
        <v>187.355266</v>
      </c>
      <c r="B513" s="1">
        <f>DATE(2010,11,4) + TIME(8,31,35)</f>
        <v>40486.355266203704</v>
      </c>
      <c r="C513">
        <v>80</v>
      </c>
      <c r="D513">
        <v>79.024917603000006</v>
      </c>
      <c r="E513">
        <v>50</v>
      </c>
      <c r="F513">
        <v>49.251438141000001</v>
      </c>
      <c r="G513">
        <v>1300.5020752</v>
      </c>
      <c r="H513">
        <v>1288.2482910000001</v>
      </c>
      <c r="I513">
        <v>1410.2763672000001</v>
      </c>
      <c r="J513">
        <v>1389.8850098</v>
      </c>
      <c r="K513">
        <v>0</v>
      </c>
      <c r="L513">
        <v>2400</v>
      </c>
      <c r="M513">
        <v>2400</v>
      </c>
      <c r="N513">
        <v>0</v>
      </c>
    </row>
    <row r="514" spans="1:14" x14ac:dyDescent="0.25">
      <c r="A514">
        <v>187.54060200000001</v>
      </c>
      <c r="B514" s="1">
        <f>DATE(2010,11,4) + TIME(12,58,28)</f>
        <v>40486.540601851855</v>
      </c>
      <c r="C514">
        <v>80</v>
      </c>
      <c r="D514">
        <v>78.984115600999999</v>
      </c>
      <c r="E514">
        <v>50</v>
      </c>
      <c r="F514">
        <v>49.377895355</v>
      </c>
      <c r="G514">
        <v>1300.4936522999999</v>
      </c>
      <c r="H514">
        <v>1288.2384033000001</v>
      </c>
      <c r="I514">
        <v>1410.0244141000001</v>
      </c>
      <c r="J514">
        <v>1389.6750488</v>
      </c>
      <c r="K514">
        <v>0</v>
      </c>
      <c r="L514">
        <v>2400</v>
      </c>
      <c r="M514">
        <v>2400</v>
      </c>
      <c r="N514">
        <v>0</v>
      </c>
    </row>
    <row r="515" spans="1:14" x14ac:dyDescent="0.25">
      <c r="A515">
        <v>187.737863</v>
      </c>
      <c r="B515" s="1">
        <f>DATE(2010,11,4) + TIME(17,42,31)</f>
        <v>40486.737858796296</v>
      </c>
      <c r="C515">
        <v>80</v>
      </c>
      <c r="D515">
        <v>78.941192627000007</v>
      </c>
      <c r="E515">
        <v>50</v>
      </c>
      <c r="F515">
        <v>49.486053466999998</v>
      </c>
      <c r="G515">
        <v>1300.4847411999999</v>
      </c>
      <c r="H515">
        <v>1288.2279053</v>
      </c>
      <c r="I515">
        <v>1409.7764893000001</v>
      </c>
      <c r="J515">
        <v>1389.4637451000001</v>
      </c>
      <c r="K515">
        <v>0</v>
      </c>
      <c r="L515">
        <v>2400</v>
      </c>
      <c r="M515">
        <v>2400</v>
      </c>
      <c r="N515">
        <v>0</v>
      </c>
    </row>
    <row r="516" spans="1:14" x14ac:dyDescent="0.25">
      <c r="A516">
        <v>187.94877700000001</v>
      </c>
      <c r="B516" s="1">
        <f>DATE(2010,11,4) + TIME(22,46,14)</f>
        <v>40486.948773148149</v>
      </c>
      <c r="C516">
        <v>80</v>
      </c>
      <c r="D516">
        <v>78.895835876000007</v>
      </c>
      <c r="E516">
        <v>50</v>
      </c>
      <c r="F516">
        <v>49.577774048000002</v>
      </c>
      <c r="G516">
        <v>1300.4752197</v>
      </c>
      <c r="H516">
        <v>1288.2165527</v>
      </c>
      <c r="I516">
        <v>1409.5311279</v>
      </c>
      <c r="J516">
        <v>1389.2502440999999</v>
      </c>
      <c r="K516">
        <v>0</v>
      </c>
      <c r="L516">
        <v>2400</v>
      </c>
      <c r="M516">
        <v>2400</v>
      </c>
      <c r="N516">
        <v>0</v>
      </c>
    </row>
    <row r="517" spans="1:14" x14ac:dyDescent="0.25">
      <c r="A517">
        <v>188.173328</v>
      </c>
      <c r="B517" s="1">
        <f>DATE(2010,11,5) + TIME(4,9,35)</f>
        <v>40487.173321759263</v>
      </c>
      <c r="C517">
        <v>80</v>
      </c>
      <c r="D517">
        <v>78.848045349000003</v>
      </c>
      <c r="E517">
        <v>50</v>
      </c>
      <c r="F517">
        <v>49.654254913000003</v>
      </c>
      <c r="G517">
        <v>1300.4649658000001</v>
      </c>
      <c r="H517">
        <v>1288.2045897999999</v>
      </c>
      <c r="I517">
        <v>1409.2872314000001</v>
      </c>
      <c r="J517">
        <v>1389.0336914</v>
      </c>
      <c r="K517">
        <v>0</v>
      </c>
      <c r="L517">
        <v>2400</v>
      </c>
      <c r="M517">
        <v>2400</v>
      </c>
      <c r="N517">
        <v>0</v>
      </c>
    </row>
    <row r="518" spans="1:14" x14ac:dyDescent="0.25">
      <c r="A518">
        <v>188.41256000000001</v>
      </c>
      <c r="B518" s="1">
        <f>DATE(2010,11,5) + TIME(9,54,5)</f>
        <v>40487.412557870368</v>
      </c>
      <c r="C518">
        <v>80</v>
      </c>
      <c r="D518">
        <v>78.797660828000005</v>
      </c>
      <c r="E518">
        <v>50</v>
      </c>
      <c r="F518">
        <v>49.717239380000002</v>
      </c>
      <c r="G518">
        <v>1300.4541016000001</v>
      </c>
      <c r="H518">
        <v>1288.1917725000001</v>
      </c>
      <c r="I518">
        <v>1409.0449219</v>
      </c>
      <c r="J518">
        <v>1388.8150635</v>
      </c>
      <c r="K518">
        <v>0</v>
      </c>
      <c r="L518">
        <v>2400</v>
      </c>
      <c r="M518">
        <v>2400</v>
      </c>
      <c r="N518">
        <v>0</v>
      </c>
    </row>
    <row r="519" spans="1:14" x14ac:dyDescent="0.25">
      <c r="A519">
        <v>188.65842499999999</v>
      </c>
      <c r="B519" s="1">
        <f>DATE(2010,11,5) + TIME(15,48,7)</f>
        <v>40487.658414351848</v>
      </c>
      <c r="C519">
        <v>80</v>
      </c>
      <c r="D519">
        <v>78.745971679999997</v>
      </c>
      <c r="E519">
        <v>50</v>
      </c>
      <c r="F519">
        <v>49.767013550000001</v>
      </c>
      <c r="G519">
        <v>1300.4422606999999</v>
      </c>
      <c r="H519">
        <v>1288.1781006000001</v>
      </c>
      <c r="I519">
        <v>1408.8046875</v>
      </c>
      <c r="J519">
        <v>1388.5946045000001</v>
      </c>
      <c r="K519">
        <v>0</v>
      </c>
      <c r="L519">
        <v>2400</v>
      </c>
      <c r="M519">
        <v>2400</v>
      </c>
      <c r="N519">
        <v>0</v>
      </c>
    </row>
    <row r="520" spans="1:14" x14ac:dyDescent="0.25">
      <c r="A520">
        <v>188.90601100000001</v>
      </c>
      <c r="B520" s="1">
        <f>DATE(2010,11,5) + TIME(21,44,39)</f>
        <v>40487.906006944446</v>
      </c>
      <c r="C520">
        <v>80</v>
      </c>
      <c r="D520">
        <v>78.693832396999994</v>
      </c>
      <c r="E520">
        <v>50</v>
      </c>
      <c r="F520">
        <v>49.805545807000001</v>
      </c>
      <c r="G520">
        <v>1300.4300536999999</v>
      </c>
      <c r="H520">
        <v>1288.1639404</v>
      </c>
      <c r="I520">
        <v>1408.5732422000001</v>
      </c>
      <c r="J520">
        <v>1388.3796387</v>
      </c>
      <c r="K520">
        <v>0</v>
      </c>
      <c r="L520">
        <v>2400</v>
      </c>
      <c r="M520">
        <v>2400</v>
      </c>
      <c r="N520">
        <v>0</v>
      </c>
    </row>
    <row r="521" spans="1:14" x14ac:dyDescent="0.25">
      <c r="A521">
        <v>189.15667199999999</v>
      </c>
      <c r="B521" s="1">
        <f>DATE(2010,11,6) + TIME(3,45,36)</f>
        <v>40488.156666666669</v>
      </c>
      <c r="C521">
        <v>80</v>
      </c>
      <c r="D521">
        <v>78.641136169000006</v>
      </c>
      <c r="E521">
        <v>50</v>
      </c>
      <c r="F521">
        <v>49.835494994999998</v>
      </c>
      <c r="G521">
        <v>1300.4178466999999</v>
      </c>
      <c r="H521">
        <v>1288.1497803</v>
      </c>
      <c r="I521">
        <v>1408.3537598</v>
      </c>
      <c r="J521">
        <v>1388.1740723</v>
      </c>
      <c r="K521">
        <v>0</v>
      </c>
      <c r="L521">
        <v>2400</v>
      </c>
      <c r="M521">
        <v>2400</v>
      </c>
      <c r="N521">
        <v>0</v>
      </c>
    </row>
    <row r="522" spans="1:14" x14ac:dyDescent="0.25">
      <c r="A522">
        <v>189.411269</v>
      </c>
      <c r="B522" s="1">
        <f>DATE(2010,11,6) + TIME(9,52,13)</f>
        <v>40488.411261574074</v>
      </c>
      <c r="C522">
        <v>80</v>
      </c>
      <c r="D522">
        <v>78.587799071999996</v>
      </c>
      <c r="E522">
        <v>50</v>
      </c>
      <c r="F522">
        <v>49.858806610000002</v>
      </c>
      <c r="G522">
        <v>1300.4053954999999</v>
      </c>
      <c r="H522">
        <v>1288.135376</v>
      </c>
      <c r="I522">
        <v>1408.1435547000001</v>
      </c>
      <c r="J522">
        <v>1387.9758300999999</v>
      </c>
      <c r="K522">
        <v>0</v>
      </c>
      <c r="L522">
        <v>2400</v>
      </c>
      <c r="M522">
        <v>2400</v>
      </c>
      <c r="N522">
        <v>0</v>
      </c>
    </row>
    <row r="523" spans="1:14" x14ac:dyDescent="0.25">
      <c r="A523">
        <v>189.67095900000001</v>
      </c>
      <c r="B523" s="1">
        <f>DATE(2010,11,6) + TIME(16,6,10)</f>
        <v>40488.670949074076</v>
      </c>
      <c r="C523">
        <v>80</v>
      </c>
      <c r="D523">
        <v>78.533683776999993</v>
      </c>
      <c r="E523">
        <v>50</v>
      </c>
      <c r="F523">
        <v>49.876983643000003</v>
      </c>
      <c r="G523">
        <v>1300.3927002</v>
      </c>
      <c r="H523">
        <v>1288.1206055</v>
      </c>
      <c r="I523">
        <v>1407.9411620999999</v>
      </c>
      <c r="J523">
        <v>1387.7840576000001</v>
      </c>
      <c r="K523">
        <v>0</v>
      </c>
      <c r="L523">
        <v>2400</v>
      </c>
      <c r="M523">
        <v>2400</v>
      </c>
      <c r="N523">
        <v>0</v>
      </c>
    </row>
    <row r="524" spans="1:14" x14ac:dyDescent="0.25">
      <c r="A524">
        <v>189.93686400000001</v>
      </c>
      <c r="B524" s="1">
        <f>DATE(2010,11,6) + TIME(22,29,5)</f>
        <v>40488.936863425923</v>
      </c>
      <c r="C524">
        <v>80</v>
      </c>
      <c r="D524">
        <v>78.478645325000002</v>
      </c>
      <c r="E524">
        <v>50</v>
      </c>
      <c r="F524">
        <v>49.891174315999997</v>
      </c>
      <c r="G524">
        <v>1300.3797606999999</v>
      </c>
      <c r="H524">
        <v>1288.1055908000001</v>
      </c>
      <c r="I524">
        <v>1407.7451172000001</v>
      </c>
      <c r="J524">
        <v>1387.5972899999999</v>
      </c>
      <c r="K524">
        <v>0</v>
      </c>
      <c r="L524">
        <v>2400</v>
      </c>
      <c r="M524">
        <v>2400</v>
      </c>
      <c r="N524">
        <v>0</v>
      </c>
    </row>
    <row r="525" spans="1:14" x14ac:dyDescent="0.25">
      <c r="A525">
        <v>190.21007399999999</v>
      </c>
      <c r="B525" s="1">
        <f>DATE(2010,11,7) + TIME(5,2,30)</f>
        <v>40489.210069444445</v>
      </c>
      <c r="C525">
        <v>80</v>
      </c>
      <c r="D525">
        <v>78.422515868999994</v>
      </c>
      <c r="E525">
        <v>50</v>
      </c>
      <c r="F525">
        <v>49.902248383</v>
      </c>
      <c r="G525">
        <v>1300.3664550999999</v>
      </c>
      <c r="H525">
        <v>1288.0902100000001</v>
      </c>
      <c r="I525">
        <v>1407.5539550999999</v>
      </c>
      <c r="J525">
        <v>1387.4145507999999</v>
      </c>
      <c r="K525">
        <v>0</v>
      </c>
      <c r="L525">
        <v>2400</v>
      </c>
      <c r="M525">
        <v>2400</v>
      </c>
      <c r="N525">
        <v>0</v>
      </c>
    </row>
    <row r="526" spans="1:14" x14ac:dyDescent="0.25">
      <c r="A526">
        <v>190.49170000000001</v>
      </c>
      <c r="B526" s="1">
        <f>DATE(2010,11,7) + TIME(11,48,2)</f>
        <v>40489.491689814815</v>
      </c>
      <c r="C526">
        <v>80</v>
      </c>
      <c r="D526">
        <v>78.365135193</v>
      </c>
      <c r="E526">
        <v>50</v>
      </c>
      <c r="F526">
        <v>49.910892486999998</v>
      </c>
      <c r="G526">
        <v>1300.3529053</v>
      </c>
      <c r="H526">
        <v>1288.0744629000001</v>
      </c>
      <c r="I526">
        <v>1407.3668213000001</v>
      </c>
      <c r="J526">
        <v>1387.2351074000001</v>
      </c>
      <c r="K526">
        <v>0</v>
      </c>
      <c r="L526">
        <v>2400</v>
      </c>
      <c r="M526">
        <v>2400</v>
      </c>
      <c r="N526">
        <v>0</v>
      </c>
    </row>
    <row r="527" spans="1:14" x14ac:dyDescent="0.25">
      <c r="A527">
        <v>190.78293500000001</v>
      </c>
      <c r="B527" s="1">
        <f>DATE(2010,11,7) + TIME(18,47,25)</f>
        <v>40489.78292824074</v>
      </c>
      <c r="C527">
        <v>80</v>
      </c>
      <c r="D527">
        <v>78.306327820000007</v>
      </c>
      <c r="E527">
        <v>50</v>
      </c>
      <c r="F527">
        <v>49.917640685999999</v>
      </c>
      <c r="G527">
        <v>1300.3387451000001</v>
      </c>
      <c r="H527">
        <v>1288.0581055</v>
      </c>
      <c r="I527">
        <v>1407.1826172000001</v>
      </c>
      <c r="J527">
        <v>1387.0583495999999</v>
      </c>
      <c r="K527">
        <v>0</v>
      </c>
      <c r="L527">
        <v>2400</v>
      </c>
      <c r="M527">
        <v>2400</v>
      </c>
      <c r="N527">
        <v>0</v>
      </c>
    </row>
    <row r="528" spans="1:14" x14ac:dyDescent="0.25">
      <c r="A528">
        <v>191.08500599999999</v>
      </c>
      <c r="B528" s="1">
        <f>DATE(2010,11,8) + TIME(2,2,24)</f>
        <v>40490.084999999999</v>
      </c>
      <c r="C528">
        <v>80</v>
      </c>
      <c r="D528">
        <v>78.245903014999996</v>
      </c>
      <c r="E528">
        <v>50</v>
      </c>
      <c r="F528">
        <v>49.922901154000002</v>
      </c>
      <c r="G528">
        <v>1300.3242187999999</v>
      </c>
      <c r="H528">
        <v>1288.0411377</v>
      </c>
      <c r="I528">
        <v>1407.0007324000001</v>
      </c>
      <c r="J528">
        <v>1386.8833007999999</v>
      </c>
      <c r="K528">
        <v>0</v>
      </c>
      <c r="L528">
        <v>2400</v>
      </c>
      <c r="M528">
        <v>2400</v>
      </c>
      <c r="N528">
        <v>0</v>
      </c>
    </row>
    <row r="529" spans="1:14" x14ac:dyDescent="0.25">
      <c r="A529">
        <v>191.39944</v>
      </c>
      <c r="B529" s="1">
        <f>DATE(2010,11,8) + TIME(9,35,11)</f>
        <v>40490.39943287037</v>
      </c>
      <c r="C529">
        <v>80</v>
      </c>
      <c r="D529">
        <v>78.183631896999998</v>
      </c>
      <c r="E529">
        <v>50</v>
      </c>
      <c r="F529">
        <v>49.927009583</v>
      </c>
      <c r="G529">
        <v>1300.309082</v>
      </c>
      <c r="H529">
        <v>1288.0235596</v>
      </c>
      <c r="I529">
        <v>1406.8203125</v>
      </c>
      <c r="J529">
        <v>1386.7097168</v>
      </c>
      <c r="K529">
        <v>0</v>
      </c>
      <c r="L529">
        <v>2400</v>
      </c>
      <c r="M529">
        <v>2400</v>
      </c>
      <c r="N529">
        <v>0</v>
      </c>
    </row>
    <row r="530" spans="1:14" x14ac:dyDescent="0.25">
      <c r="A530">
        <v>191.72828200000001</v>
      </c>
      <c r="B530" s="1">
        <f>DATE(2010,11,8) + TIME(17,28,43)</f>
        <v>40490.728275462963</v>
      </c>
      <c r="C530">
        <v>80</v>
      </c>
      <c r="D530">
        <v>78.119201660000002</v>
      </c>
      <c r="E530">
        <v>50</v>
      </c>
      <c r="F530">
        <v>49.930217743</v>
      </c>
      <c r="G530">
        <v>1300.2932129000001</v>
      </c>
      <c r="H530">
        <v>1288.005249</v>
      </c>
      <c r="I530">
        <v>1406.6407471</v>
      </c>
      <c r="J530">
        <v>1386.5367432</v>
      </c>
      <c r="K530">
        <v>0</v>
      </c>
      <c r="L530">
        <v>2400</v>
      </c>
      <c r="M530">
        <v>2400</v>
      </c>
      <c r="N530">
        <v>0</v>
      </c>
    </row>
    <row r="531" spans="1:14" x14ac:dyDescent="0.25">
      <c r="A531">
        <v>192.07391699999999</v>
      </c>
      <c r="B531" s="1">
        <f>DATE(2010,11,9) + TIME(1,46,26)</f>
        <v>40491.073912037034</v>
      </c>
      <c r="C531">
        <v>80</v>
      </c>
      <c r="D531">
        <v>78.052253723000007</v>
      </c>
      <c r="E531">
        <v>50</v>
      </c>
      <c r="F531">
        <v>49.932735442999999</v>
      </c>
      <c r="G531">
        <v>1300.2767334</v>
      </c>
      <c r="H531">
        <v>1287.9860839999999</v>
      </c>
      <c r="I531">
        <v>1406.4611815999999</v>
      </c>
      <c r="J531">
        <v>1386.3636475000001</v>
      </c>
      <c r="K531">
        <v>0</v>
      </c>
      <c r="L531">
        <v>2400</v>
      </c>
      <c r="M531">
        <v>2400</v>
      </c>
      <c r="N531">
        <v>0</v>
      </c>
    </row>
    <row r="532" spans="1:14" x14ac:dyDescent="0.25">
      <c r="A532">
        <v>192.43919299999999</v>
      </c>
      <c r="B532" s="1">
        <f>DATE(2010,11,9) + TIME(10,32,26)</f>
        <v>40491.439189814817</v>
      </c>
      <c r="C532">
        <v>80</v>
      </c>
      <c r="D532">
        <v>77.982368468999994</v>
      </c>
      <c r="E532">
        <v>50</v>
      </c>
      <c r="F532">
        <v>49.934711456000002</v>
      </c>
      <c r="G532">
        <v>1300.2592772999999</v>
      </c>
      <c r="H532">
        <v>1287.9659423999999</v>
      </c>
      <c r="I532">
        <v>1406.2806396000001</v>
      </c>
      <c r="J532">
        <v>1386.1896973</v>
      </c>
      <c r="K532">
        <v>0</v>
      </c>
      <c r="L532">
        <v>2400</v>
      </c>
      <c r="M532">
        <v>2400</v>
      </c>
      <c r="N532">
        <v>0</v>
      </c>
    </row>
    <row r="533" spans="1:14" x14ac:dyDescent="0.25">
      <c r="A533">
        <v>192.823891</v>
      </c>
      <c r="B533" s="1">
        <f>DATE(2010,11,9) + TIME(19,46,24)</f>
        <v>40491.823888888888</v>
      </c>
      <c r="C533">
        <v>80</v>
      </c>
      <c r="D533">
        <v>77.909523010000001</v>
      </c>
      <c r="E533">
        <v>50</v>
      </c>
      <c r="F533">
        <v>49.936264037999997</v>
      </c>
      <c r="G533">
        <v>1300.2407227000001</v>
      </c>
      <c r="H533">
        <v>1287.9445800999999</v>
      </c>
      <c r="I533">
        <v>1406.0982666</v>
      </c>
      <c r="J533">
        <v>1386.0139160000001</v>
      </c>
      <c r="K533">
        <v>0</v>
      </c>
      <c r="L533">
        <v>2400</v>
      </c>
      <c r="M533">
        <v>2400</v>
      </c>
      <c r="N533">
        <v>0</v>
      </c>
    </row>
    <row r="534" spans="1:14" x14ac:dyDescent="0.25">
      <c r="A534">
        <v>193.219493</v>
      </c>
      <c r="B534" s="1">
        <f>DATE(2010,11,10) + TIME(5,16,4)</f>
        <v>40492.219490740739</v>
      </c>
      <c r="C534">
        <v>80</v>
      </c>
      <c r="D534">
        <v>77.834793090999995</v>
      </c>
      <c r="E534">
        <v>50</v>
      </c>
      <c r="F534">
        <v>49.937458038000003</v>
      </c>
      <c r="G534">
        <v>1300.2211914</v>
      </c>
      <c r="H534">
        <v>1287.9219971</v>
      </c>
      <c r="I534">
        <v>1405.9146728999999</v>
      </c>
      <c r="J534">
        <v>1385.8371582</v>
      </c>
      <c r="K534">
        <v>0</v>
      </c>
      <c r="L534">
        <v>2400</v>
      </c>
      <c r="M534">
        <v>2400</v>
      </c>
      <c r="N534">
        <v>0</v>
      </c>
    </row>
    <row r="535" spans="1:14" x14ac:dyDescent="0.25">
      <c r="A535">
        <v>193.61756800000001</v>
      </c>
      <c r="B535" s="1">
        <f>DATE(2010,11,10) + TIME(14,49,17)</f>
        <v>40492.61755787037</v>
      </c>
      <c r="C535">
        <v>80</v>
      </c>
      <c r="D535">
        <v>77.759384155000006</v>
      </c>
      <c r="E535">
        <v>50</v>
      </c>
      <c r="F535">
        <v>49.938373566000003</v>
      </c>
      <c r="G535">
        <v>1300.2008057</v>
      </c>
      <c r="H535">
        <v>1287.8988036999999</v>
      </c>
      <c r="I535">
        <v>1405.734375</v>
      </c>
      <c r="J535">
        <v>1385.6634521000001</v>
      </c>
      <c r="K535">
        <v>0</v>
      </c>
      <c r="L535">
        <v>2400</v>
      </c>
      <c r="M535">
        <v>2400</v>
      </c>
      <c r="N535">
        <v>0</v>
      </c>
    </row>
    <row r="536" spans="1:14" x14ac:dyDescent="0.25">
      <c r="A536">
        <v>194.01978</v>
      </c>
      <c r="B536" s="1">
        <f>DATE(2010,11,11) + TIME(0,28,28)</f>
        <v>40493.019768518519</v>
      </c>
      <c r="C536">
        <v>80</v>
      </c>
      <c r="D536">
        <v>77.683349609000004</v>
      </c>
      <c r="E536">
        <v>50</v>
      </c>
      <c r="F536">
        <v>49.939083099000001</v>
      </c>
      <c r="G536">
        <v>1300.1804199000001</v>
      </c>
      <c r="H536">
        <v>1287.8753661999999</v>
      </c>
      <c r="I536">
        <v>1405.5606689000001</v>
      </c>
      <c r="J536">
        <v>1385.4964600000001</v>
      </c>
      <c r="K536">
        <v>0</v>
      </c>
      <c r="L536">
        <v>2400</v>
      </c>
      <c r="M536">
        <v>2400</v>
      </c>
      <c r="N536">
        <v>0</v>
      </c>
    </row>
    <row r="537" spans="1:14" x14ac:dyDescent="0.25">
      <c r="A537">
        <v>194.42774800000001</v>
      </c>
      <c r="B537" s="1">
        <f>DATE(2010,11,11) + TIME(10,15,57)</f>
        <v>40493.427743055552</v>
      </c>
      <c r="C537">
        <v>80</v>
      </c>
      <c r="D537">
        <v>77.606620789000004</v>
      </c>
      <c r="E537">
        <v>50</v>
      </c>
      <c r="F537">
        <v>49.939647675000003</v>
      </c>
      <c r="G537">
        <v>1300.159668</v>
      </c>
      <c r="H537">
        <v>1287.8515625</v>
      </c>
      <c r="I537">
        <v>1405.3927002</v>
      </c>
      <c r="J537">
        <v>1385.3349608999999</v>
      </c>
      <c r="K537">
        <v>0</v>
      </c>
      <c r="L537">
        <v>2400</v>
      </c>
      <c r="M537">
        <v>2400</v>
      </c>
      <c r="N537">
        <v>0</v>
      </c>
    </row>
    <row r="538" spans="1:14" x14ac:dyDescent="0.25">
      <c r="A538">
        <v>194.843198</v>
      </c>
      <c r="B538" s="1">
        <f>DATE(2010,11,11) + TIME(20,14,12)</f>
        <v>40493.843194444446</v>
      </c>
      <c r="C538">
        <v>80</v>
      </c>
      <c r="D538">
        <v>77.529067992999998</v>
      </c>
      <c r="E538">
        <v>50</v>
      </c>
      <c r="F538">
        <v>49.940101624</v>
      </c>
      <c r="G538">
        <v>1300.1386719</v>
      </c>
      <c r="H538">
        <v>1287.8273925999999</v>
      </c>
      <c r="I538">
        <v>1405.2294922000001</v>
      </c>
      <c r="J538">
        <v>1385.1781006000001</v>
      </c>
      <c r="K538">
        <v>0</v>
      </c>
      <c r="L538">
        <v>2400</v>
      </c>
      <c r="M538">
        <v>2400</v>
      </c>
      <c r="N538">
        <v>0</v>
      </c>
    </row>
    <row r="539" spans="1:14" x14ac:dyDescent="0.25">
      <c r="A539">
        <v>195.26757000000001</v>
      </c>
      <c r="B539" s="1">
        <f>DATE(2010,11,12) + TIME(6,25,18)</f>
        <v>40494.267569444448</v>
      </c>
      <c r="C539">
        <v>80</v>
      </c>
      <c r="D539">
        <v>77.450538635000001</v>
      </c>
      <c r="E539">
        <v>50</v>
      </c>
      <c r="F539">
        <v>49.940471649000003</v>
      </c>
      <c r="G539">
        <v>1300.1171875</v>
      </c>
      <c r="H539">
        <v>1287.8027344</v>
      </c>
      <c r="I539">
        <v>1405.0698242000001</v>
      </c>
      <c r="J539">
        <v>1385.0247803</v>
      </c>
      <c r="K539">
        <v>0</v>
      </c>
      <c r="L539">
        <v>2400</v>
      </c>
      <c r="M539">
        <v>2400</v>
      </c>
      <c r="N539">
        <v>0</v>
      </c>
    </row>
    <row r="540" spans="1:14" x14ac:dyDescent="0.25">
      <c r="A540">
        <v>195.70245</v>
      </c>
      <c r="B540" s="1">
        <f>DATE(2010,11,12) + TIME(16,51,31)</f>
        <v>40494.70244212963</v>
      </c>
      <c r="C540">
        <v>80</v>
      </c>
      <c r="D540">
        <v>77.370834350999999</v>
      </c>
      <c r="E540">
        <v>50</v>
      </c>
      <c r="F540">
        <v>49.940776825</v>
      </c>
      <c r="G540">
        <v>1300.0952147999999</v>
      </c>
      <c r="H540">
        <v>1287.7774658000001</v>
      </c>
      <c r="I540">
        <v>1404.9133300999999</v>
      </c>
      <c r="J540">
        <v>1384.8746338000001</v>
      </c>
      <c r="K540">
        <v>0</v>
      </c>
      <c r="L540">
        <v>2400</v>
      </c>
      <c r="M540">
        <v>2400</v>
      </c>
      <c r="N540">
        <v>0</v>
      </c>
    </row>
    <row r="541" spans="1:14" x14ac:dyDescent="0.25">
      <c r="A541">
        <v>196.14988</v>
      </c>
      <c r="B541" s="1">
        <f>DATE(2010,11,13) + TIME(3,35,49)</f>
        <v>40495.149872685186</v>
      </c>
      <c r="C541">
        <v>80</v>
      </c>
      <c r="D541">
        <v>77.28968811</v>
      </c>
      <c r="E541">
        <v>50</v>
      </c>
      <c r="F541">
        <v>49.941032409999998</v>
      </c>
      <c r="G541">
        <v>1300.0726318</v>
      </c>
      <c r="H541">
        <v>1287.7514647999999</v>
      </c>
      <c r="I541">
        <v>1404.7591553</v>
      </c>
      <c r="J541">
        <v>1384.7268065999999</v>
      </c>
      <c r="K541">
        <v>0</v>
      </c>
      <c r="L541">
        <v>2400</v>
      </c>
      <c r="M541">
        <v>2400</v>
      </c>
      <c r="N541">
        <v>0</v>
      </c>
    </row>
    <row r="542" spans="1:14" x14ac:dyDescent="0.25">
      <c r="A542">
        <v>196.61234899999999</v>
      </c>
      <c r="B542" s="1">
        <f>DATE(2010,11,13) + TIME(14,41,46)</f>
        <v>40495.612337962964</v>
      </c>
      <c r="C542">
        <v>80</v>
      </c>
      <c r="D542">
        <v>77.206787109000004</v>
      </c>
      <c r="E542">
        <v>50</v>
      </c>
      <c r="F542">
        <v>49.941249847000002</v>
      </c>
      <c r="G542">
        <v>1300.0493164</v>
      </c>
      <c r="H542">
        <v>1287.7246094</v>
      </c>
      <c r="I542">
        <v>1404.6066894999999</v>
      </c>
      <c r="J542">
        <v>1384.5806885</v>
      </c>
      <c r="K542">
        <v>0</v>
      </c>
      <c r="L542">
        <v>2400</v>
      </c>
      <c r="M542">
        <v>2400</v>
      </c>
      <c r="N542">
        <v>0</v>
      </c>
    </row>
    <row r="543" spans="1:14" x14ac:dyDescent="0.25">
      <c r="A543">
        <v>197.09264099999999</v>
      </c>
      <c r="B543" s="1">
        <f>DATE(2010,11,14) + TIME(2,13,24)</f>
        <v>40496.092638888891</v>
      </c>
      <c r="C543">
        <v>80</v>
      </c>
      <c r="D543">
        <v>77.121749878000003</v>
      </c>
      <c r="E543">
        <v>50</v>
      </c>
      <c r="F543">
        <v>49.941436768000003</v>
      </c>
      <c r="G543">
        <v>1300.0251464999999</v>
      </c>
      <c r="H543">
        <v>1287.6967772999999</v>
      </c>
      <c r="I543">
        <v>1404.4553223</v>
      </c>
      <c r="J543">
        <v>1384.4356689000001</v>
      </c>
      <c r="K543">
        <v>0</v>
      </c>
      <c r="L543">
        <v>2400</v>
      </c>
      <c r="M543">
        <v>2400</v>
      </c>
      <c r="N543">
        <v>0</v>
      </c>
    </row>
    <row r="544" spans="1:14" x14ac:dyDescent="0.25">
      <c r="A544">
        <v>197.59396000000001</v>
      </c>
      <c r="B544" s="1">
        <f>DATE(2010,11,14) + TIME(14,15,18)</f>
        <v>40496.593958333331</v>
      </c>
      <c r="C544">
        <v>80</v>
      </c>
      <c r="D544">
        <v>77.034133910999998</v>
      </c>
      <c r="E544">
        <v>50</v>
      </c>
      <c r="F544">
        <v>49.941600800000003</v>
      </c>
      <c r="G544">
        <v>1300</v>
      </c>
      <c r="H544">
        <v>1287.6677245999999</v>
      </c>
      <c r="I544">
        <v>1404.3040771000001</v>
      </c>
      <c r="J544">
        <v>1384.2910156</v>
      </c>
      <c r="K544">
        <v>0</v>
      </c>
      <c r="L544">
        <v>2400</v>
      </c>
      <c r="M544">
        <v>2400</v>
      </c>
      <c r="N544">
        <v>0</v>
      </c>
    </row>
    <row r="545" spans="1:14" x14ac:dyDescent="0.25">
      <c r="A545">
        <v>198.120059</v>
      </c>
      <c r="B545" s="1">
        <f>DATE(2010,11,15) + TIME(2,52,53)</f>
        <v>40497.120057870372</v>
      </c>
      <c r="C545">
        <v>80</v>
      </c>
      <c r="D545">
        <v>76.943450928000004</v>
      </c>
      <c r="E545">
        <v>50</v>
      </c>
      <c r="F545">
        <v>49.941745758000003</v>
      </c>
      <c r="G545">
        <v>1299.9736327999999</v>
      </c>
      <c r="H545">
        <v>1287.6374512</v>
      </c>
      <c r="I545">
        <v>1404.1523437999999</v>
      </c>
      <c r="J545">
        <v>1384.1459961</v>
      </c>
      <c r="K545">
        <v>0</v>
      </c>
      <c r="L545">
        <v>2400</v>
      </c>
      <c r="M545">
        <v>2400</v>
      </c>
      <c r="N545">
        <v>0</v>
      </c>
    </row>
    <row r="546" spans="1:14" x14ac:dyDescent="0.25">
      <c r="A546">
        <v>198.66180600000001</v>
      </c>
      <c r="B546" s="1">
        <f>DATE(2010,11,15) + TIME(15,53,0)</f>
        <v>40497.661805555559</v>
      </c>
      <c r="C546">
        <v>80</v>
      </c>
      <c r="D546">
        <v>76.850532532000003</v>
      </c>
      <c r="E546">
        <v>50</v>
      </c>
      <c r="F546">
        <v>49.941867827999999</v>
      </c>
      <c r="G546">
        <v>1299.9458007999999</v>
      </c>
      <c r="H546">
        <v>1287.6054687999999</v>
      </c>
      <c r="I546">
        <v>1403.9992675999999</v>
      </c>
      <c r="J546">
        <v>1383.9997559000001</v>
      </c>
      <c r="K546">
        <v>0</v>
      </c>
      <c r="L546">
        <v>2400</v>
      </c>
      <c r="M546">
        <v>2400</v>
      </c>
      <c r="N546">
        <v>0</v>
      </c>
    </row>
    <row r="547" spans="1:14" x14ac:dyDescent="0.25">
      <c r="A547">
        <v>199.206459</v>
      </c>
      <c r="B547" s="1">
        <f>DATE(2010,11,16) + TIME(4,57,18)</f>
        <v>40498.206458333334</v>
      </c>
      <c r="C547">
        <v>80</v>
      </c>
      <c r="D547">
        <v>76.756881714000002</v>
      </c>
      <c r="E547">
        <v>50</v>
      </c>
      <c r="F547">
        <v>49.941978454999997</v>
      </c>
      <c r="G547">
        <v>1299.9168701000001</v>
      </c>
      <c r="H547">
        <v>1287.5725098</v>
      </c>
      <c r="I547">
        <v>1403.8479004000001</v>
      </c>
      <c r="J547">
        <v>1383.8552245999999</v>
      </c>
      <c r="K547">
        <v>0</v>
      </c>
      <c r="L547">
        <v>2400</v>
      </c>
      <c r="M547">
        <v>2400</v>
      </c>
      <c r="N547">
        <v>0</v>
      </c>
    </row>
    <row r="548" spans="1:14" x14ac:dyDescent="0.25">
      <c r="A548">
        <v>199.75646499999999</v>
      </c>
      <c r="B548" s="1">
        <f>DATE(2010,11,16) + TIME(18,9,18)</f>
        <v>40498.756458333337</v>
      </c>
      <c r="C548">
        <v>80</v>
      </c>
      <c r="D548">
        <v>76.662658691000004</v>
      </c>
      <c r="E548">
        <v>50</v>
      </c>
      <c r="F548">
        <v>49.942073821999998</v>
      </c>
      <c r="G548">
        <v>1299.8876952999999</v>
      </c>
      <c r="H548">
        <v>1287.5390625</v>
      </c>
      <c r="I548">
        <v>1403.7015381000001</v>
      </c>
      <c r="J548">
        <v>1383.7155762</v>
      </c>
      <c r="K548">
        <v>0</v>
      </c>
      <c r="L548">
        <v>2400</v>
      </c>
      <c r="M548">
        <v>2400</v>
      </c>
      <c r="N548">
        <v>0</v>
      </c>
    </row>
    <row r="549" spans="1:14" x14ac:dyDescent="0.25">
      <c r="A549">
        <v>200.313964</v>
      </c>
      <c r="B549" s="1">
        <f>DATE(2010,11,17) + TIME(7,32,6)</f>
        <v>40499.313958333332</v>
      </c>
      <c r="C549">
        <v>80</v>
      </c>
      <c r="D549">
        <v>76.567855835000003</v>
      </c>
      <c r="E549">
        <v>50</v>
      </c>
      <c r="F549">
        <v>49.942157745000003</v>
      </c>
      <c r="G549">
        <v>1299.8581543</v>
      </c>
      <c r="H549">
        <v>1287.5051269999999</v>
      </c>
      <c r="I549">
        <v>1403.5594481999999</v>
      </c>
      <c r="J549">
        <v>1383.5800781</v>
      </c>
      <c r="K549">
        <v>0</v>
      </c>
      <c r="L549">
        <v>2400</v>
      </c>
      <c r="M549">
        <v>2400</v>
      </c>
      <c r="N549">
        <v>0</v>
      </c>
    </row>
    <row r="550" spans="1:14" x14ac:dyDescent="0.25">
      <c r="A550">
        <v>200.88119800000001</v>
      </c>
      <c r="B550" s="1">
        <f>DATE(2010,11,17) + TIME(21,8,55)</f>
        <v>40499.881192129629</v>
      </c>
      <c r="C550">
        <v>80</v>
      </c>
      <c r="D550">
        <v>76.472305297999995</v>
      </c>
      <c r="E550">
        <v>50</v>
      </c>
      <c r="F550">
        <v>49.942234038999999</v>
      </c>
      <c r="G550">
        <v>1299.828125</v>
      </c>
      <c r="H550">
        <v>1287.4705810999999</v>
      </c>
      <c r="I550">
        <v>1403.4206543</v>
      </c>
      <c r="J550">
        <v>1383.447876</v>
      </c>
      <c r="K550">
        <v>0</v>
      </c>
      <c r="L550">
        <v>2400</v>
      </c>
      <c r="M550">
        <v>2400</v>
      </c>
      <c r="N550">
        <v>0</v>
      </c>
    </row>
    <row r="551" spans="1:14" x14ac:dyDescent="0.25">
      <c r="A551">
        <v>201.46032099999999</v>
      </c>
      <c r="B551" s="1">
        <f>DATE(2010,11,18) + TIME(11,2,51)</f>
        <v>40500.460312499999</v>
      </c>
      <c r="C551">
        <v>80</v>
      </c>
      <c r="D551">
        <v>76.375816345000004</v>
      </c>
      <c r="E551">
        <v>50</v>
      </c>
      <c r="F551">
        <v>49.942306518999999</v>
      </c>
      <c r="G551">
        <v>1299.7973632999999</v>
      </c>
      <c r="H551">
        <v>1287.4351807</v>
      </c>
      <c r="I551">
        <v>1403.2845459</v>
      </c>
      <c r="J551">
        <v>1383.3182373</v>
      </c>
      <c r="K551">
        <v>0</v>
      </c>
      <c r="L551">
        <v>2400</v>
      </c>
      <c r="M551">
        <v>2400</v>
      </c>
      <c r="N551">
        <v>0</v>
      </c>
    </row>
    <row r="552" spans="1:14" x14ac:dyDescent="0.25">
      <c r="A552">
        <v>202.05326099999999</v>
      </c>
      <c r="B552" s="1">
        <f>DATE(2010,11,19) + TIME(1,16,41)</f>
        <v>40501.053252314814</v>
      </c>
      <c r="C552">
        <v>80</v>
      </c>
      <c r="D552">
        <v>76.278152465999995</v>
      </c>
      <c r="E552">
        <v>50</v>
      </c>
      <c r="F552">
        <v>49.942375183000003</v>
      </c>
      <c r="G552">
        <v>1299.7658690999999</v>
      </c>
      <c r="H552">
        <v>1287.3988036999999</v>
      </c>
      <c r="I552">
        <v>1403.1506348</v>
      </c>
      <c r="J552">
        <v>1383.190918</v>
      </c>
      <c r="K552">
        <v>0</v>
      </c>
      <c r="L552">
        <v>2400</v>
      </c>
      <c r="M552">
        <v>2400</v>
      </c>
      <c r="N552">
        <v>0</v>
      </c>
    </row>
    <row r="553" spans="1:14" x14ac:dyDescent="0.25">
      <c r="A553">
        <v>202.66240099999999</v>
      </c>
      <c r="B553" s="1">
        <f>DATE(2010,11,19) + TIME(15,53,51)</f>
        <v>40501.662395833337</v>
      </c>
      <c r="C553">
        <v>80</v>
      </c>
      <c r="D553">
        <v>76.179039001000007</v>
      </c>
      <c r="E553">
        <v>50</v>
      </c>
      <c r="F553">
        <v>49.942440032999997</v>
      </c>
      <c r="G553">
        <v>1299.7333983999999</v>
      </c>
      <c r="H553">
        <v>1287.3614502</v>
      </c>
      <c r="I553">
        <v>1403.0184326000001</v>
      </c>
      <c r="J553">
        <v>1383.0650635</v>
      </c>
      <c r="K553">
        <v>0</v>
      </c>
      <c r="L553">
        <v>2400</v>
      </c>
      <c r="M553">
        <v>2400</v>
      </c>
      <c r="N553">
        <v>0</v>
      </c>
    </row>
    <row r="554" spans="1:14" x14ac:dyDescent="0.25">
      <c r="A554">
        <v>203.29025799999999</v>
      </c>
      <c r="B554" s="1">
        <f>DATE(2010,11,20) + TIME(6,57,58)</f>
        <v>40502.290254629632</v>
      </c>
      <c r="C554">
        <v>80</v>
      </c>
      <c r="D554">
        <v>76.078163146999998</v>
      </c>
      <c r="E554">
        <v>50</v>
      </c>
      <c r="F554">
        <v>49.942504882999998</v>
      </c>
      <c r="G554">
        <v>1299.6999512</v>
      </c>
      <c r="H554">
        <v>1287.322876</v>
      </c>
      <c r="I554">
        <v>1402.8873291</v>
      </c>
      <c r="J554">
        <v>1382.9405518000001</v>
      </c>
      <c r="K554">
        <v>0</v>
      </c>
      <c r="L554">
        <v>2400</v>
      </c>
      <c r="M554">
        <v>2400</v>
      </c>
      <c r="N554">
        <v>0</v>
      </c>
    </row>
    <row r="555" spans="1:14" x14ac:dyDescent="0.25">
      <c r="A555">
        <v>203.94026299999999</v>
      </c>
      <c r="B555" s="1">
        <f>DATE(2010,11,20) + TIME(22,33,58)</f>
        <v>40502.940254629626</v>
      </c>
      <c r="C555">
        <v>80</v>
      </c>
      <c r="D555">
        <v>75.975120544000006</v>
      </c>
      <c r="E555">
        <v>50</v>
      </c>
      <c r="F555">
        <v>49.942569732999999</v>
      </c>
      <c r="G555">
        <v>1299.6651611</v>
      </c>
      <c r="H555">
        <v>1287.2827147999999</v>
      </c>
      <c r="I555">
        <v>1402.7570800999999</v>
      </c>
      <c r="J555">
        <v>1382.8167725000001</v>
      </c>
      <c r="K555">
        <v>0</v>
      </c>
      <c r="L555">
        <v>2400</v>
      </c>
      <c r="M555">
        <v>2400</v>
      </c>
      <c r="N555">
        <v>0</v>
      </c>
    </row>
    <row r="556" spans="1:14" x14ac:dyDescent="0.25">
      <c r="A556">
        <v>204.61664099999999</v>
      </c>
      <c r="B556" s="1">
        <f>DATE(2010,11,21) + TIME(14,47,57)</f>
        <v>40503.616631944446</v>
      </c>
      <c r="C556">
        <v>80</v>
      </c>
      <c r="D556">
        <v>75.869430542000003</v>
      </c>
      <c r="E556">
        <v>50</v>
      </c>
      <c r="F556">
        <v>49.942630768000001</v>
      </c>
      <c r="G556">
        <v>1299.6290283000001</v>
      </c>
      <c r="H556">
        <v>1287.2409668</v>
      </c>
      <c r="I556">
        <v>1402.6268310999999</v>
      </c>
      <c r="J556">
        <v>1382.6932373</v>
      </c>
      <c r="K556">
        <v>0</v>
      </c>
      <c r="L556">
        <v>2400</v>
      </c>
      <c r="M556">
        <v>2400</v>
      </c>
      <c r="N556">
        <v>0</v>
      </c>
    </row>
    <row r="557" spans="1:14" x14ac:dyDescent="0.25">
      <c r="A557">
        <v>205.32430299999999</v>
      </c>
      <c r="B557" s="1">
        <f>DATE(2010,11,22) + TIME(7,46,59)</f>
        <v>40504.324293981481</v>
      </c>
      <c r="C557">
        <v>80</v>
      </c>
      <c r="D557">
        <v>75.760520935000002</v>
      </c>
      <c r="E557">
        <v>50</v>
      </c>
      <c r="F557">
        <v>49.942695618000002</v>
      </c>
      <c r="G557">
        <v>1299.5910644999999</v>
      </c>
      <c r="H557">
        <v>1287.1971435999999</v>
      </c>
      <c r="I557">
        <v>1402.4960937999999</v>
      </c>
      <c r="J557">
        <v>1382.5692139</v>
      </c>
      <c r="K557">
        <v>0</v>
      </c>
      <c r="L557">
        <v>2400</v>
      </c>
      <c r="M557">
        <v>2400</v>
      </c>
      <c r="N557">
        <v>0</v>
      </c>
    </row>
    <row r="558" spans="1:14" x14ac:dyDescent="0.25">
      <c r="A558">
        <v>206.034978</v>
      </c>
      <c r="B558" s="1">
        <f>DATE(2010,11,23) + TIME(0,50,22)</f>
        <v>40505.03497685185</v>
      </c>
      <c r="C558">
        <v>80</v>
      </c>
      <c r="D558">
        <v>75.650588988999999</v>
      </c>
      <c r="E558">
        <v>50</v>
      </c>
      <c r="F558">
        <v>49.942760468000003</v>
      </c>
      <c r="G558">
        <v>1299.5509033000001</v>
      </c>
      <c r="H558">
        <v>1287.1511230000001</v>
      </c>
      <c r="I558">
        <v>1402.3641356999999</v>
      </c>
      <c r="J558">
        <v>1382.4440918</v>
      </c>
      <c r="K558">
        <v>0</v>
      </c>
      <c r="L558">
        <v>2400</v>
      </c>
      <c r="M558">
        <v>2400</v>
      </c>
      <c r="N558">
        <v>0</v>
      </c>
    </row>
    <row r="559" spans="1:14" x14ac:dyDescent="0.25">
      <c r="A559">
        <v>206.75114600000001</v>
      </c>
      <c r="B559" s="1">
        <f>DATE(2010,11,23) + TIME(18,1,39)</f>
        <v>40505.751145833332</v>
      </c>
      <c r="C559">
        <v>80</v>
      </c>
      <c r="D559">
        <v>75.540191649999997</v>
      </c>
      <c r="E559">
        <v>50</v>
      </c>
      <c r="F559">
        <v>49.942821502999998</v>
      </c>
      <c r="G559">
        <v>1299.510376</v>
      </c>
      <c r="H559">
        <v>1287.1042480000001</v>
      </c>
      <c r="I559">
        <v>1402.2364502</v>
      </c>
      <c r="J559">
        <v>1382.3229980000001</v>
      </c>
      <c r="K559">
        <v>0</v>
      </c>
      <c r="L559">
        <v>2400</v>
      </c>
      <c r="M559">
        <v>2400</v>
      </c>
      <c r="N559">
        <v>0</v>
      </c>
    </row>
    <row r="560" spans="1:14" x14ac:dyDescent="0.25">
      <c r="A560">
        <v>207.475829</v>
      </c>
      <c r="B560" s="1">
        <f>DATE(2010,11,24) + TIME(11,25,11)</f>
        <v>40506.475821759261</v>
      </c>
      <c r="C560">
        <v>80</v>
      </c>
      <c r="D560">
        <v>75.429435729999994</v>
      </c>
      <c r="E560">
        <v>50</v>
      </c>
      <c r="F560">
        <v>49.942882537999999</v>
      </c>
      <c r="G560">
        <v>1299.4692382999999</v>
      </c>
      <c r="H560">
        <v>1287.0566406</v>
      </c>
      <c r="I560">
        <v>1402.1121826000001</v>
      </c>
      <c r="J560">
        <v>1382.2053223</v>
      </c>
      <c r="K560">
        <v>0</v>
      </c>
      <c r="L560">
        <v>2400</v>
      </c>
      <c r="M560">
        <v>2400</v>
      </c>
      <c r="N560">
        <v>0</v>
      </c>
    </row>
    <row r="561" spans="1:14" x14ac:dyDescent="0.25">
      <c r="A561">
        <v>208.211353</v>
      </c>
      <c r="B561" s="1">
        <f>DATE(2010,11,25) + TIME(5,4,20)</f>
        <v>40507.211342592593</v>
      </c>
      <c r="C561">
        <v>80</v>
      </c>
      <c r="D561">
        <v>75.318229674999998</v>
      </c>
      <c r="E561">
        <v>50</v>
      </c>
      <c r="F561">
        <v>49.942947388</v>
      </c>
      <c r="G561">
        <v>1299.4272461</v>
      </c>
      <c r="H561">
        <v>1287.0080565999999</v>
      </c>
      <c r="I561">
        <v>1401.9907227000001</v>
      </c>
      <c r="J561">
        <v>1382.0904541</v>
      </c>
      <c r="K561">
        <v>0</v>
      </c>
      <c r="L561">
        <v>2400</v>
      </c>
      <c r="M561">
        <v>2400</v>
      </c>
      <c r="N561">
        <v>0</v>
      </c>
    </row>
    <row r="562" spans="1:14" x14ac:dyDescent="0.25">
      <c r="A562">
        <v>208.960238</v>
      </c>
      <c r="B562" s="1">
        <f>DATE(2010,11,25) + TIME(23,2,44)</f>
        <v>40507.960231481484</v>
      </c>
      <c r="C562">
        <v>80</v>
      </c>
      <c r="D562">
        <v>75.206390381000006</v>
      </c>
      <c r="E562">
        <v>50</v>
      </c>
      <c r="F562">
        <v>49.943012238000001</v>
      </c>
      <c r="G562">
        <v>1299.3842772999999</v>
      </c>
      <c r="H562">
        <v>1286.9582519999999</v>
      </c>
      <c r="I562">
        <v>1401.871582</v>
      </c>
      <c r="J562">
        <v>1381.9777832</v>
      </c>
      <c r="K562">
        <v>0</v>
      </c>
      <c r="L562">
        <v>2400</v>
      </c>
      <c r="M562">
        <v>2400</v>
      </c>
      <c r="N562">
        <v>0</v>
      </c>
    </row>
    <row r="563" spans="1:14" x14ac:dyDescent="0.25">
      <c r="A563">
        <v>209.72600700000001</v>
      </c>
      <c r="B563" s="1">
        <f>DATE(2010,11,26) + TIME(17,25,27)</f>
        <v>40508.726006944446</v>
      </c>
      <c r="C563">
        <v>80</v>
      </c>
      <c r="D563">
        <v>75.093574524000005</v>
      </c>
      <c r="E563">
        <v>50</v>
      </c>
      <c r="F563">
        <v>49.943077086999999</v>
      </c>
      <c r="G563">
        <v>1299.3402100000001</v>
      </c>
      <c r="H563">
        <v>1286.9069824000001</v>
      </c>
      <c r="I563">
        <v>1401.7543945</v>
      </c>
      <c r="J563">
        <v>1381.8669434000001</v>
      </c>
      <c r="K563">
        <v>0</v>
      </c>
      <c r="L563">
        <v>2400</v>
      </c>
      <c r="M563">
        <v>2400</v>
      </c>
      <c r="N563">
        <v>0</v>
      </c>
    </row>
    <row r="564" spans="1:14" x14ac:dyDescent="0.25">
      <c r="A564">
        <v>210.51173299999999</v>
      </c>
      <c r="B564" s="1">
        <f>DATE(2010,11,27) + TIME(12,16,53)</f>
        <v>40509.511724537035</v>
      </c>
      <c r="C564">
        <v>80</v>
      </c>
      <c r="D564">
        <v>74.979454040999997</v>
      </c>
      <c r="E564">
        <v>50</v>
      </c>
      <c r="F564">
        <v>49.943141937</v>
      </c>
      <c r="G564">
        <v>1299.2947998</v>
      </c>
      <c r="H564">
        <v>1286.854126</v>
      </c>
      <c r="I564">
        <v>1401.6384277</v>
      </c>
      <c r="J564">
        <v>1381.7574463000001</v>
      </c>
      <c r="K564">
        <v>0</v>
      </c>
      <c r="L564">
        <v>2400</v>
      </c>
      <c r="M564">
        <v>2400</v>
      </c>
      <c r="N564">
        <v>0</v>
      </c>
    </row>
    <row r="565" spans="1:14" x14ac:dyDescent="0.25">
      <c r="A565">
        <v>211.32122699999999</v>
      </c>
      <c r="B565" s="1">
        <f>DATE(2010,11,28) + TIME(7,42,33)</f>
        <v>40510.321215277778</v>
      </c>
      <c r="C565">
        <v>80</v>
      </c>
      <c r="D565">
        <v>74.863510132000002</v>
      </c>
      <c r="E565">
        <v>50</v>
      </c>
      <c r="F565">
        <v>49.943210602000001</v>
      </c>
      <c r="G565">
        <v>1299.2478027</v>
      </c>
      <c r="H565">
        <v>1286.7993164</v>
      </c>
      <c r="I565">
        <v>1401.5234375</v>
      </c>
      <c r="J565">
        <v>1381.6488036999999</v>
      </c>
      <c r="K565">
        <v>0</v>
      </c>
      <c r="L565">
        <v>2400</v>
      </c>
      <c r="M565">
        <v>2400</v>
      </c>
      <c r="N565">
        <v>0</v>
      </c>
    </row>
    <row r="566" spans="1:14" x14ac:dyDescent="0.25">
      <c r="A566">
        <v>212.15945400000001</v>
      </c>
      <c r="B566" s="1">
        <f>DATE(2010,11,29) + TIME(3,49,36)</f>
        <v>40511.159444444442</v>
      </c>
      <c r="C566">
        <v>80</v>
      </c>
      <c r="D566">
        <v>74.745292664000004</v>
      </c>
      <c r="E566">
        <v>50</v>
      </c>
      <c r="F566">
        <v>49.943283080999997</v>
      </c>
      <c r="G566">
        <v>1299.1988524999999</v>
      </c>
      <c r="H566">
        <v>1286.7421875</v>
      </c>
      <c r="I566">
        <v>1401.4086914</v>
      </c>
      <c r="J566">
        <v>1381.5405272999999</v>
      </c>
      <c r="K566">
        <v>0</v>
      </c>
      <c r="L566">
        <v>2400</v>
      </c>
      <c r="M566">
        <v>2400</v>
      </c>
      <c r="N566">
        <v>0</v>
      </c>
    </row>
    <row r="567" spans="1:14" x14ac:dyDescent="0.25">
      <c r="A567">
        <v>213.03208699999999</v>
      </c>
      <c r="B567" s="1">
        <f>DATE(2010,11,30) + TIME(0,46,12)</f>
        <v>40512.032083333332</v>
      </c>
      <c r="C567">
        <v>80</v>
      </c>
      <c r="D567">
        <v>74.624198914000004</v>
      </c>
      <c r="E567">
        <v>50</v>
      </c>
      <c r="F567">
        <v>49.943355560000001</v>
      </c>
      <c r="G567">
        <v>1299.1477050999999</v>
      </c>
      <c r="H567">
        <v>1286.6823730000001</v>
      </c>
      <c r="I567">
        <v>1401.2939452999999</v>
      </c>
      <c r="J567">
        <v>1381.432251</v>
      </c>
      <c r="K567">
        <v>0</v>
      </c>
      <c r="L567">
        <v>2400</v>
      </c>
      <c r="M567">
        <v>2400</v>
      </c>
      <c r="N567">
        <v>0</v>
      </c>
    </row>
    <row r="568" spans="1:14" x14ac:dyDescent="0.25">
      <c r="A568">
        <v>213.92058900000001</v>
      </c>
      <c r="B568" s="1">
        <f>DATE(2010,11,30) + TIME(22,5,38)</f>
        <v>40512.920578703706</v>
      </c>
      <c r="C568">
        <v>80</v>
      </c>
      <c r="D568">
        <v>74.501258849999999</v>
      </c>
      <c r="E568">
        <v>50</v>
      </c>
      <c r="F568">
        <v>49.943431854000004</v>
      </c>
      <c r="G568">
        <v>1299.0938721</v>
      </c>
      <c r="H568">
        <v>1286.6195068</v>
      </c>
      <c r="I568">
        <v>1401.1783447</v>
      </c>
      <c r="J568">
        <v>1381.3232422000001</v>
      </c>
      <c r="K568">
        <v>0</v>
      </c>
      <c r="L568">
        <v>2400</v>
      </c>
      <c r="M568">
        <v>2400</v>
      </c>
      <c r="N568">
        <v>0</v>
      </c>
    </row>
    <row r="569" spans="1:14" x14ac:dyDescent="0.25">
      <c r="A569">
        <v>214</v>
      </c>
      <c r="B569" s="1">
        <f>DATE(2010,12,1) + TIME(0,0,0)</f>
        <v>40513</v>
      </c>
      <c r="C569">
        <v>80</v>
      </c>
      <c r="D569">
        <v>74.481025696000003</v>
      </c>
      <c r="E569">
        <v>50</v>
      </c>
      <c r="F569">
        <v>49.943424225000001</v>
      </c>
      <c r="G569">
        <v>1299.036499</v>
      </c>
      <c r="H569">
        <v>1286.5634766000001</v>
      </c>
      <c r="I569">
        <v>1401.0655518000001</v>
      </c>
      <c r="J569">
        <v>1381.2169189000001</v>
      </c>
      <c r="K569">
        <v>0</v>
      </c>
      <c r="L569">
        <v>2400</v>
      </c>
      <c r="M569">
        <v>2400</v>
      </c>
      <c r="N569">
        <v>0</v>
      </c>
    </row>
    <row r="570" spans="1:14" x14ac:dyDescent="0.25">
      <c r="A570">
        <v>214.89352299999999</v>
      </c>
      <c r="B570" s="1">
        <f>DATE(2010,12,1) + TIME(21,26,40)</f>
        <v>40513.893518518518</v>
      </c>
      <c r="C570">
        <v>80</v>
      </c>
      <c r="D570">
        <v>74.362190247000001</v>
      </c>
      <c r="E570">
        <v>50</v>
      </c>
      <c r="F570">
        <v>49.943511962999999</v>
      </c>
      <c r="G570">
        <v>1299.0330810999999</v>
      </c>
      <c r="H570">
        <v>1286.5477295000001</v>
      </c>
      <c r="I570">
        <v>1401.0543213000001</v>
      </c>
      <c r="J570">
        <v>1381.2062988</v>
      </c>
      <c r="K570">
        <v>0</v>
      </c>
      <c r="L570">
        <v>2400</v>
      </c>
      <c r="M570">
        <v>2400</v>
      </c>
      <c r="N570">
        <v>0</v>
      </c>
    </row>
    <row r="571" spans="1:14" x14ac:dyDescent="0.25">
      <c r="A571">
        <v>215.797483</v>
      </c>
      <c r="B571" s="1">
        <f>DATE(2010,12,2) + TIME(19,8,22)</f>
        <v>40514.797476851854</v>
      </c>
      <c r="C571">
        <v>80</v>
      </c>
      <c r="D571">
        <v>74.240798949999999</v>
      </c>
      <c r="E571">
        <v>50</v>
      </c>
      <c r="F571">
        <v>49.943592072000001</v>
      </c>
      <c r="G571">
        <v>1298.9768065999999</v>
      </c>
      <c r="H571">
        <v>1286.4819336</v>
      </c>
      <c r="I571">
        <v>1400.9440918</v>
      </c>
      <c r="J571">
        <v>1381.1025391000001</v>
      </c>
      <c r="K571">
        <v>0</v>
      </c>
      <c r="L571">
        <v>2400</v>
      </c>
      <c r="M571">
        <v>2400</v>
      </c>
      <c r="N571">
        <v>0</v>
      </c>
    </row>
    <row r="572" spans="1:14" x14ac:dyDescent="0.25">
      <c r="A572">
        <v>216.71448799999999</v>
      </c>
      <c r="B572" s="1">
        <f>DATE(2010,12,3) + TIME(17,8,51)</f>
        <v>40515.714479166665</v>
      </c>
      <c r="C572">
        <v>80</v>
      </c>
      <c r="D572">
        <v>74.117935181000007</v>
      </c>
      <c r="E572">
        <v>50</v>
      </c>
      <c r="F572">
        <v>49.943668365000001</v>
      </c>
      <c r="G572">
        <v>1298.9189452999999</v>
      </c>
      <c r="H572">
        <v>1286.4139404</v>
      </c>
      <c r="I572">
        <v>1400.8360596</v>
      </c>
      <c r="J572">
        <v>1381.0007324000001</v>
      </c>
      <c r="K572">
        <v>0</v>
      </c>
      <c r="L572">
        <v>2400</v>
      </c>
      <c r="M572">
        <v>2400</v>
      </c>
      <c r="N572">
        <v>0</v>
      </c>
    </row>
    <row r="573" spans="1:14" x14ac:dyDescent="0.25">
      <c r="A573">
        <v>217.647659</v>
      </c>
      <c r="B573" s="1">
        <f>DATE(2010,12,4) + TIME(15,32,37)</f>
        <v>40516.647650462961</v>
      </c>
      <c r="C573">
        <v>80</v>
      </c>
      <c r="D573">
        <v>73.993988036999994</v>
      </c>
      <c r="E573">
        <v>50</v>
      </c>
      <c r="F573">
        <v>49.943748474000003</v>
      </c>
      <c r="G573">
        <v>1298.8596190999999</v>
      </c>
      <c r="H573">
        <v>1286.3438721</v>
      </c>
      <c r="I573">
        <v>1400.7298584</v>
      </c>
      <c r="J573">
        <v>1380.9007568</v>
      </c>
      <c r="K573">
        <v>0</v>
      </c>
      <c r="L573">
        <v>2400</v>
      </c>
      <c r="M573">
        <v>2400</v>
      </c>
      <c r="N573">
        <v>0</v>
      </c>
    </row>
    <row r="574" spans="1:14" x14ac:dyDescent="0.25">
      <c r="A574">
        <v>218.60019199999999</v>
      </c>
      <c r="B574" s="1">
        <f>DATE(2010,12,5) + TIME(14,24,16)</f>
        <v>40517.600185185183</v>
      </c>
      <c r="C574">
        <v>80</v>
      </c>
      <c r="D574">
        <v>73.868927002000007</v>
      </c>
      <c r="E574">
        <v>50</v>
      </c>
      <c r="F574">
        <v>49.943828582999998</v>
      </c>
      <c r="G574">
        <v>1298.7984618999999</v>
      </c>
      <c r="H574">
        <v>1286.2714844</v>
      </c>
      <c r="I574">
        <v>1400.6251221</v>
      </c>
      <c r="J574">
        <v>1380.8022461</v>
      </c>
      <c r="K574">
        <v>0</v>
      </c>
      <c r="L574">
        <v>2400</v>
      </c>
      <c r="M574">
        <v>2400</v>
      </c>
      <c r="N574">
        <v>0</v>
      </c>
    </row>
    <row r="575" spans="1:14" x14ac:dyDescent="0.25">
      <c r="A575">
        <v>219.57512399999999</v>
      </c>
      <c r="B575" s="1">
        <f>DATE(2010,12,6) + TIME(13,48,10)</f>
        <v>40518.575115740743</v>
      </c>
      <c r="C575">
        <v>80</v>
      </c>
      <c r="D575">
        <v>73.742576599000003</v>
      </c>
      <c r="E575">
        <v>50</v>
      </c>
      <c r="F575">
        <v>49.943912505999997</v>
      </c>
      <c r="G575">
        <v>1298.7352295000001</v>
      </c>
      <c r="H575">
        <v>1286.1964111</v>
      </c>
      <c r="I575">
        <v>1400.5216064000001</v>
      </c>
      <c r="J575">
        <v>1380.7049560999999</v>
      </c>
      <c r="K575">
        <v>0</v>
      </c>
      <c r="L575">
        <v>2400</v>
      </c>
      <c r="M575">
        <v>2400</v>
      </c>
      <c r="N575">
        <v>0</v>
      </c>
    </row>
    <row r="576" spans="1:14" x14ac:dyDescent="0.25">
      <c r="A576">
        <v>220.57782</v>
      </c>
      <c r="B576" s="1">
        <f>DATE(2010,12,7) + TIME(13,52,3)</f>
        <v>40519.5778125</v>
      </c>
      <c r="C576">
        <v>80</v>
      </c>
      <c r="D576">
        <v>73.614555358999993</v>
      </c>
      <c r="E576">
        <v>50</v>
      </c>
      <c r="F576">
        <v>49.944000244000001</v>
      </c>
      <c r="G576">
        <v>1298.6696777</v>
      </c>
      <c r="H576">
        <v>1286.1184082</v>
      </c>
      <c r="I576">
        <v>1400.4188231999999</v>
      </c>
      <c r="J576">
        <v>1380.6083983999999</v>
      </c>
      <c r="K576">
        <v>0</v>
      </c>
      <c r="L576">
        <v>2400</v>
      </c>
      <c r="M576">
        <v>2400</v>
      </c>
      <c r="N576">
        <v>0</v>
      </c>
    </row>
    <row r="577" spans="1:14" x14ac:dyDescent="0.25">
      <c r="A577">
        <v>221.61425700000001</v>
      </c>
      <c r="B577" s="1">
        <f>DATE(2010,12,8) + TIME(14,44,31)</f>
        <v>40520.614247685182</v>
      </c>
      <c r="C577">
        <v>80</v>
      </c>
      <c r="D577">
        <v>73.484306334999999</v>
      </c>
      <c r="E577">
        <v>50</v>
      </c>
      <c r="F577">
        <v>49.944087981999999</v>
      </c>
      <c r="G577">
        <v>1298.6013184000001</v>
      </c>
      <c r="H577">
        <v>1286.0368652</v>
      </c>
      <c r="I577">
        <v>1400.3165283000001</v>
      </c>
      <c r="J577">
        <v>1380.5120850000001</v>
      </c>
      <c r="K577">
        <v>0</v>
      </c>
      <c r="L577">
        <v>2400</v>
      </c>
      <c r="M577">
        <v>2400</v>
      </c>
      <c r="N577">
        <v>0</v>
      </c>
    </row>
    <row r="578" spans="1:14" x14ac:dyDescent="0.25">
      <c r="A578">
        <v>222.67948000000001</v>
      </c>
      <c r="B578" s="1">
        <f>DATE(2010,12,9) + TIME(16,18,27)</f>
        <v>40521.679479166669</v>
      </c>
      <c r="C578">
        <v>80</v>
      </c>
      <c r="D578">
        <v>73.351875304999993</v>
      </c>
      <c r="E578">
        <v>50</v>
      </c>
      <c r="F578">
        <v>49.944179535000004</v>
      </c>
      <c r="G578">
        <v>1298.5296631000001</v>
      </c>
      <c r="H578">
        <v>1285.9511719</v>
      </c>
      <c r="I578">
        <v>1400.2139893000001</v>
      </c>
      <c r="J578">
        <v>1380.4157714999999</v>
      </c>
      <c r="K578">
        <v>0</v>
      </c>
      <c r="L578">
        <v>2400</v>
      </c>
      <c r="M578">
        <v>2400</v>
      </c>
      <c r="N578">
        <v>0</v>
      </c>
    </row>
    <row r="579" spans="1:14" x14ac:dyDescent="0.25">
      <c r="A579">
        <v>223.74977200000001</v>
      </c>
      <c r="B579" s="1">
        <f>DATE(2010,12,10) + TIME(17,59,40)</f>
        <v>40522.749768518515</v>
      </c>
      <c r="C579">
        <v>80</v>
      </c>
      <c r="D579">
        <v>73.218681334999999</v>
      </c>
      <c r="E579">
        <v>50</v>
      </c>
      <c r="F579">
        <v>49.944271088000001</v>
      </c>
      <c r="G579">
        <v>1298.4548339999999</v>
      </c>
      <c r="H579">
        <v>1285.8616943</v>
      </c>
      <c r="I579">
        <v>1400.1118164</v>
      </c>
      <c r="J579">
        <v>1380.3198242000001</v>
      </c>
      <c r="K579">
        <v>0</v>
      </c>
      <c r="L579">
        <v>2400</v>
      </c>
      <c r="M579">
        <v>2400</v>
      </c>
      <c r="N579">
        <v>0</v>
      </c>
    </row>
    <row r="580" spans="1:14" x14ac:dyDescent="0.25">
      <c r="A580">
        <v>224.82948400000001</v>
      </c>
      <c r="B580" s="1">
        <f>DATE(2010,12,11) + TIME(19,54,27)</f>
        <v>40523.829479166663</v>
      </c>
      <c r="C580">
        <v>80</v>
      </c>
      <c r="D580">
        <v>73.085395813000005</v>
      </c>
      <c r="E580">
        <v>50</v>
      </c>
      <c r="F580">
        <v>49.944366455000001</v>
      </c>
      <c r="G580">
        <v>1298.3785399999999</v>
      </c>
      <c r="H580">
        <v>1285.7698975000001</v>
      </c>
      <c r="I580">
        <v>1400.0123291</v>
      </c>
      <c r="J580">
        <v>1380.2264404</v>
      </c>
      <c r="K580">
        <v>0</v>
      </c>
      <c r="L580">
        <v>2400</v>
      </c>
      <c r="M580">
        <v>2400</v>
      </c>
      <c r="N580">
        <v>0</v>
      </c>
    </row>
    <row r="581" spans="1:14" x14ac:dyDescent="0.25">
      <c r="A581">
        <v>225.922538</v>
      </c>
      <c r="B581" s="1">
        <f>DATE(2010,12,12) + TIME(22,8,27)</f>
        <v>40524.922534722224</v>
      </c>
      <c r="C581">
        <v>80</v>
      </c>
      <c r="D581">
        <v>72.952049255000006</v>
      </c>
      <c r="E581">
        <v>50</v>
      </c>
      <c r="F581">
        <v>49.944458007999998</v>
      </c>
      <c r="G581">
        <v>1298.300293</v>
      </c>
      <c r="H581">
        <v>1285.6754149999999</v>
      </c>
      <c r="I581">
        <v>1399.9149170000001</v>
      </c>
      <c r="J581">
        <v>1380.1351318</v>
      </c>
      <c r="K581">
        <v>0</v>
      </c>
      <c r="L581">
        <v>2400</v>
      </c>
      <c r="M581">
        <v>2400</v>
      </c>
      <c r="N581">
        <v>0</v>
      </c>
    </row>
    <row r="582" spans="1:14" x14ac:dyDescent="0.25">
      <c r="A582">
        <v>227.03281100000001</v>
      </c>
      <c r="B582" s="1">
        <f>DATE(2010,12,14) + TIME(0,47,14)</f>
        <v>40526.032800925925</v>
      </c>
      <c r="C582">
        <v>80</v>
      </c>
      <c r="D582">
        <v>72.818405150999993</v>
      </c>
      <c r="E582">
        <v>50</v>
      </c>
      <c r="F582">
        <v>49.944553374999998</v>
      </c>
      <c r="G582">
        <v>1298.2197266000001</v>
      </c>
      <c r="H582">
        <v>1285.5780029</v>
      </c>
      <c r="I582">
        <v>1399.8193358999999</v>
      </c>
      <c r="J582">
        <v>1380.0454102000001</v>
      </c>
      <c r="K582">
        <v>0</v>
      </c>
      <c r="L582">
        <v>2400</v>
      </c>
      <c r="M582">
        <v>2400</v>
      </c>
      <c r="N582">
        <v>0</v>
      </c>
    </row>
    <row r="583" spans="1:14" x14ac:dyDescent="0.25">
      <c r="A583">
        <v>228.163962</v>
      </c>
      <c r="B583" s="1">
        <f>DATE(2010,12,15) + TIME(3,56,6)</f>
        <v>40527.163958333331</v>
      </c>
      <c r="C583">
        <v>80</v>
      </c>
      <c r="D583">
        <v>72.684120178000001</v>
      </c>
      <c r="E583">
        <v>50</v>
      </c>
      <c r="F583">
        <v>49.944652556999998</v>
      </c>
      <c r="G583">
        <v>1298.1367187999999</v>
      </c>
      <c r="H583">
        <v>1285.4771728999999</v>
      </c>
      <c r="I583">
        <v>1399.7250977000001</v>
      </c>
      <c r="J583">
        <v>1379.9570312000001</v>
      </c>
      <c r="K583">
        <v>0</v>
      </c>
      <c r="L583">
        <v>2400</v>
      </c>
      <c r="M583">
        <v>2400</v>
      </c>
      <c r="N583">
        <v>0</v>
      </c>
    </row>
    <row r="584" spans="1:14" x14ac:dyDescent="0.25">
      <c r="A584">
        <v>229.32076599999999</v>
      </c>
      <c r="B584" s="1">
        <f>DATE(2010,12,16) + TIME(7,41,54)</f>
        <v>40528.320763888885</v>
      </c>
      <c r="C584">
        <v>80</v>
      </c>
      <c r="D584">
        <v>72.548767089999998</v>
      </c>
      <c r="E584">
        <v>50</v>
      </c>
      <c r="F584">
        <v>49.944751740000001</v>
      </c>
      <c r="G584">
        <v>1298.0507812000001</v>
      </c>
      <c r="H584">
        <v>1285.3724365</v>
      </c>
      <c r="I584">
        <v>1399.6319579999999</v>
      </c>
      <c r="J584">
        <v>1379.8696289</v>
      </c>
      <c r="K584">
        <v>0</v>
      </c>
      <c r="L584">
        <v>2400</v>
      </c>
      <c r="M584">
        <v>2400</v>
      </c>
      <c r="N584">
        <v>0</v>
      </c>
    </row>
    <row r="585" spans="1:14" x14ac:dyDescent="0.25">
      <c r="A585">
        <v>230.509759</v>
      </c>
      <c r="B585" s="1">
        <f>DATE(2010,12,17) + TIME(12,14,3)</f>
        <v>40529.509756944448</v>
      </c>
      <c r="C585">
        <v>80</v>
      </c>
      <c r="D585">
        <v>72.411766052000004</v>
      </c>
      <c r="E585">
        <v>50</v>
      </c>
      <c r="F585">
        <v>49.944854736000003</v>
      </c>
      <c r="G585">
        <v>1297.9613036999999</v>
      </c>
      <c r="H585">
        <v>1285.2630615</v>
      </c>
      <c r="I585">
        <v>1399.5394286999999</v>
      </c>
      <c r="J585">
        <v>1379.7829589999999</v>
      </c>
      <c r="K585">
        <v>0</v>
      </c>
      <c r="L585">
        <v>2400</v>
      </c>
      <c r="M585">
        <v>2400</v>
      </c>
      <c r="N585">
        <v>0</v>
      </c>
    </row>
    <row r="586" spans="1:14" x14ac:dyDescent="0.25">
      <c r="A586">
        <v>231.738181</v>
      </c>
      <c r="B586" s="1">
        <f>DATE(2010,12,18) + TIME(17,42,58)</f>
        <v>40530.738171296296</v>
      </c>
      <c r="C586">
        <v>80</v>
      </c>
      <c r="D586">
        <v>72.272438049000002</v>
      </c>
      <c r="E586">
        <v>50</v>
      </c>
      <c r="F586">
        <v>49.944961548000002</v>
      </c>
      <c r="G586">
        <v>1297.8677978999999</v>
      </c>
      <c r="H586">
        <v>1285.1484375</v>
      </c>
      <c r="I586">
        <v>1399.4470214999999</v>
      </c>
      <c r="J586">
        <v>1379.6964111</v>
      </c>
      <c r="K586">
        <v>0</v>
      </c>
      <c r="L586">
        <v>2400</v>
      </c>
      <c r="M586">
        <v>2400</v>
      </c>
      <c r="N586">
        <v>0</v>
      </c>
    </row>
    <row r="587" spans="1:14" x14ac:dyDescent="0.25">
      <c r="A587">
        <v>233.00087600000001</v>
      </c>
      <c r="B587" s="1">
        <f>DATE(2010,12,20) + TIME(0,1,15)</f>
        <v>40532.000868055555</v>
      </c>
      <c r="C587">
        <v>80</v>
      </c>
      <c r="D587">
        <v>72.130653381000002</v>
      </c>
      <c r="E587">
        <v>50</v>
      </c>
      <c r="F587">
        <v>49.945068358999997</v>
      </c>
      <c r="G587">
        <v>1297.7695312000001</v>
      </c>
      <c r="H587">
        <v>1285.0274658000001</v>
      </c>
      <c r="I587">
        <v>1399.3544922000001</v>
      </c>
      <c r="J587">
        <v>1379.6096190999999</v>
      </c>
      <c r="K587">
        <v>0</v>
      </c>
      <c r="L587">
        <v>2400</v>
      </c>
      <c r="M587">
        <v>2400</v>
      </c>
      <c r="N587">
        <v>0</v>
      </c>
    </row>
    <row r="588" spans="1:14" x14ac:dyDescent="0.25">
      <c r="A588">
        <v>234.269676</v>
      </c>
      <c r="B588" s="1">
        <f>DATE(2010,12,21) + TIME(6,28,20)</f>
        <v>40533.269675925927</v>
      </c>
      <c r="C588">
        <v>80</v>
      </c>
      <c r="D588">
        <v>71.987747192</v>
      </c>
      <c r="E588">
        <v>50</v>
      </c>
      <c r="F588">
        <v>49.945178986000002</v>
      </c>
      <c r="G588">
        <v>1297.6665039</v>
      </c>
      <c r="H588">
        <v>1284.9006348</v>
      </c>
      <c r="I588">
        <v>1399.2619629000001</v>
      </c>
      <c r="J588">
        <v>1379.5230713000001</v>
      </c>
      <c r="K588">
        <v>0</v>
      </c>
      <c r="L588">
        <v>2400</v>
      </c>
      <c r="M588">
        <v>2400</v>
      </c>
      <c r="N588">
        <v>0</v>
      </c>
    </row>
    <row r="589" spans="1:14" x14ac:dyDescent="0.25">
      <c r="A589">
        <v>235.54878199999999</v>
      </c>
      <c r="B589" s="1">
        <f>DATE(2010,12,22) + TIME(13,10,14)</f>
        <v>40534.548773148148</v>
      </c>
      <c r="C589">
        <v>80</v>
      </c>
      <c r="D589">
        <v>71.844627380000006</v>
      </c>
      <c r="E589">
        <v>50</v>
      </c>
      <c r="F589">
        <v>49.945289612000003</v>
      </c>
      <c r="G589">
        <v>1297.5610352000001</v>
      </c>
      <c r="H589">
        <v>1284.7700195</v>
      </c>
      <c r="I589">
        <v>1399.171875</v>
      </c>
      <c r="J589">
        <v>1379.4385986</v>
      </c>
      <c r="K589">
        <v>0</v>
      </c>
      <c r="L589">
        <v>2400</v>
      </c>
      <c r="M589">
        <v>2400</v>
      </c>
      <c r="N589">
        <v>0</v>
      </c>
    </row>
    <row r="590" spans="1:14" x14ac:dyDescent="0.25">
      <c r="A590">
        <v>236.84319300000001</v>
      </c>
      <c r="B590" s="1">
        <f>DATE(2010,12,23) + TIME(20,14,11)</f>
        <v>40535.843182870369</v>
      </c>
      <c r="C590">
        <v>80</v>
      </c>
      <c r="D590">
        <v>71.701316833000007</v>
      </c>
      <c r="E590">
        <v>50</v>
      </c>
      <c r="F590">
        <v>49.945400237999998</v>
      </c>
      <c r="G590">
        <v>1297.4525146000001</v>
      </c>
      <c r="H590">
        <v>1284.6351318</v>
      </c>
      <c r="I590">
        <v>1399.0836182</v>
      </c>
      <c r="J590">
        <v>1379.355957</v>
      </c>
      <c r="K590">
        <v>0</v>
      </c>
      <c r="L590">
        <v>2400</v>
      </c>
      <c r="M590">
        <v>2400</v>
      </c>
      <c r="N590">
        <v>0</v>
      </c>
    </row>
    <row r="591" spans="1:14" x14ac:dyDescent="0.25">
      <c r="A591">
        <v>238.15765099999999</v>
      </c>
      <c r="B591" s="1">
        <f>DATE(2010,12,25) + TIME(3,47,1)</f>
        <v>40537.157650462963</v>
      </c>
      <c r="C591">
        <v>80</v>
      </c>
      <c r="D591">
        <v>71.557495117000002</v>
      </c>
      <c r="E591">
        <v>50</v>
      </c>
      <c r="F591">
        <v>49.945510863999999</v>
      </c>
      <c r="G591">
        <v>1297.3406981999999</v>
      </c>
      <c r="H591">
        <v>1284.4956055</v>
      </c>
      <c r="I591">
        <v>1398.9968262</v>
      </c>
      <c r="J591">
        <v>1379.2747803</v>
      </c>
      <c r="K591">
        <v>0</v>
      </c>
      <c r="L591">
        <v>2400</v>
      </c>
      <c r="M591">
        <v>2400</v>
      </c>
      <c r="N591">
        <v>0</v>
      </c>
    </row>
    <row r="592" spans="1:14" x14ac:dyDescent="0.25">
      <c r="A592">
        <v>239.496937</v>
      </c>
      <c r="B592" s="1">
        <f>DATE(2010,12,26) + TIME(11,55,35)</f>
        <v>40538.496932870374</v>
      </c>
      <c r="C592">
        <v>80</v>
      </c>
      <c r="D592">
        <v>71.412696838000002</v>
      </c>
      <c r="E592">
        <v>50</v>
      </c>
      <c r="F592">
        <v>49.945625305</v>
      </c>
      <c r="G592">
        <v>1297.2249756000001</v>
      </c>
      <c r="H592">
        <v>1284.3505858999999</v>
      </c>
      <c r="I592">
        <v>1398.9111327999999</v>
      </c>
      <c r="J592">
        <v>1379.1945800999999</v>
      </c>
      <c r="K592">
        <v>0</v>
      </c>
      <c r="L592">
        <v>2400</v>
      </c>
      <c r="M592">
        <v>2400</v>
      </c>
      <c r="N592">
        <v>0</v>
      </c>
    </row>
    <row r="593" spans="1:14" x14ac:dyDescent="0.25">
      <c r="A593">
        <v>240.86845600000001</v>
      </c>
      <c r="B593" s="1">
        <f>DATE(2010,12,27) + TIME(20,50,34)</f>
        <v>40539.868449074071</v>
      </c>
      <c r="C593">
        <v>80</v>
      </c>
      <c r="D593">
        <v>71.266296386999997</v>
      </c>
      <c r="E593">
        <v>50</v>
      </c>
      <c r="F593">
        <v>49.945743561</v>
      </c>
      <c r="G593">
        <v>1297.1048584</v>
      </c>
      <c r="H593">
        <v>1284.1994629000001</v>
      </c>
      <c r="I593">
        <v>1398.8262939000001</v>
      </c>
      <c r="J593">
        <v>1379.1152344</v>
      </c>
      <c r="K593">
        <v>0</v>
      </c>
      <c r="L593">
        <v>2400</v>
      </c>
      <c r="M593">
        <v>2400</v>
      </c>
      <c r="N593">
        <v>0</v>
      </c>
    </row>
    <row r="594" spans="1:14" x14ac:dyDescent="0.25">
      <c r="A594">
        <v>242.275282</v>
      </c>
      <c r="B594" s="1">
        <f>DATE(2010,12,29) + TIME(6,36,24)</f>
        <v>40541.275277777779</v>
      </c>
      <c r="C594">
        <v>80</v>
      </c>
      <c r="D594">
        <v>71.117729186999995</v>
      </c>
      <c r="E594">
        <v>50</v>
      </c>
      <c r="F594">
        <v>49.945865630999997</v>
      </c>
      <c r="G594">
        <v>1296.9793701000001</v>
      </c>
      <c r="H594">
        <v>1284.0411377</v>
      </c>
      <c r="I594">
        <v>1398.7418213000001</v>
      </c>
      <c r="J594">
        <v>1379.0362548999999</v>
      </c>
      <c r="K594">
        <v>0</v>
      </c>
      <c r="L594">
        <v>2400</v>
      </c>
      <c r="M594">
        <v>2400</v>
      </c>
      <c r="N594">
        <v>0</v>
      </c>
    </row>
    <row r="595" spans="1:14" x14ac:dyDescent="0.25">
      <c r="A595">
        <v>243.721555</v>
      </c>
      <c r="B595" s="1">
        <f>DATE(2010,12,30) + TIME(17,19,2)</f>
        <v>40542.721550925926</v>
      </c>
      <c r="C595">
        <v>80</v>
      </c>
      <c r="D595">
        <v>70.966514587000006</v>
      </c>
      <c r="E595">
        <v>50</v>
      </c>
      <c r="F595">
        <v>49.945987701</v>
      </c>
      <c r="G595">
        <v>1296.8480225000001</v>
      </c>
      <c r="H595">
        <v>1283.8748779</v>
      </c>
      <c r="I595">
        <v>1398.6575928</v>
      </c>
      <c r="J595">
        <v>1378.9573975000001</v>
      </c>
      <c r="K595">
        <v>0</v>
      </c>
      <c r="L595">
        <v>2400</v>
      </c>
      <c r="M595">
        <v>2400</v>
      </c>
      <c r="N595">
        <v>0</v>
      </c>
    </row>
    <row r="596" spans="1:14" x14ac:dyDescent="0.25">
      <c r="A596">
        <v>245</v>
      </c>
      <c r="B596" s="1">
        <f>DATE(2011,1,1) + TIME(0,0,0)</f>
        <v>40544</v>
      </c>
      <c r="C596">
        <v>80</v>
      </c>
      <c r="D596">
        <v>70.821189880000006</v>
      </c>
      <c r="E596">
        <v>50</v>
      </c>
      <c r="F596">
        <v>49.946094512999998</v>
      </c>
      <c r="G596">
        <v>1296.7104492000001</v>
      </c>
      <c r="H596">
        <v>1283.7016602000001</v>
      </c>
      <c r="I596">
        <v>1398.5731201000001</v>
      </c>
      <c r="J596">
        <v>1378.878418</v>
      </c>
      <c r="K596">
        <v>0</v>
      </c>
      <c r="L596">
        <v>2400</v>
      </c>
      <c r="M596">
        <v>2400</v>
      </c>
      <c r="N596">
        <v>0</v>
      </c>
    </row>
    <row r="597" spans="1:14" x14ac:dyDescent="0.25">
      <c r="A597">
        <v>246.46203299999999</v>
      </c>
      <c r="B597" s="1">
        <f>DATE(2011,1,2) + TIME(11,5,19)</f>
        <v>40545.462025462963</v>
      </c>
      <c r="C597">
        <v>80</v>
      </c>
      <c r="D597">
        <v>70.674331664999997</v>
      </c>
      <c r="E597">
        <v>50</v>
      </c>
      <c r="F597">
        <v>49.946220398000001</v>
      </c>
      <c r="G597">
        <v>1296.5849608999999</v>
      </c>
      <c r="H597">
        <v>1283.5393065999999</v>
      </c>
      <c r="I597">
        <v>1398.5008545000001</v>
      </c>
      <c r="J597">
        <v>1378.8109131000001</v>
      </c>
      <c r="K597">
        <v>0</v>
      </c>
      <c r="L597">
        <v>2400</v>
      </c>
      <c r="M597">
        <v>2400</v>
      </c>
      <c r="N597">
        <v>0</v>
      </c>
    </row>
    <row r="598" spans="1:14" x14ac:dyDescent="0.25">
      <c r="A598">
        <v>247.948489</v>
      </c>
      <c r="B598" s="1">
        <f>DATE(2011,1,3) + TIME(22,45,49)</f>
        <v>40546.948483796295</v>
      </c>
      <c r="C598">
        <v>80</v>
      </c>
      <c r="D598">
        <v>70.522293090999995</v>
      </c>
      <c r="E598">
        <v>50</v>
      </c>
      <c r="F598">
        <v>49.946346282999997</v>
      </c>
      <c r="G598">
        <v>1296.4406738</v>
      </c>
      <c r="H598">
        <v>1283.3551024999999</v>
      </c>
      <c r="I598">
        <v>1398.4200439000001</v>
      </c>
      <c r="J598">
        <v>1378.7353516000001</v>
      </c>
      <c r="K598">
        <v>0</v>
      </c>
      <c r="L598">
        <v>2400</v>
      </c>
      <c r="M598">
        <v>2400</v>
      </c>
      <c r="N598">
        <v>0</v>
      </c>
    </row>
    <row r="599" spans="1:14" x14ac:dyDescent="0.25">
      <c r="A599">
        <v>249.45510400000001</v>
      </c>
      <c r="B599" s="1">
        <f>DATE(2011,1,5) + TIME(10,55,20)</f>
        <v>40548.455092592594</v>
      </c>
      <c r="C599">
        <v>80</v>
      </c>
      <c r="D599">
        <v>70.367233275999993</v>
      </c>
      <c r="E599">
        <v>50</v>
      </c>
      <c r="F599">
        <v>49.946472168</v>
      </c>
      <c r="G599">
        <v>1296.2905272999999</v>
      </c>
      <c r="H599">
        <v>1283.1625977000001</v>
      </c>
      <c r="I599">
        <v>1398.3400879000001</v>
      </c>
      <c r="J599">
        <v>1378.6606445</v>
      </c>
      <c r="K599">
        <v>0</v>
      </c>
      <c r="L599">
        <v>2400</v>
      </c>
      <c r="M599">
        <v>2400</v>
      </c>
      <c r="N599">
        <v>0</v>
      </c>
    </row>
    <row r="600" spans="1:14" x14ac:dyDescent="0.25">
      <c r="A600">
        <v>250.98764800000001</v>
      </c>
      <c r="B600" s="1">
        <f>DATE(2011,1,6) + TIME(23,42,12)</f>
        <v>40549.987638888888</v>
      </c>
      <c r="C600">
        <v>80</v>
      </c>
      <c r="D600">
        <v>70.209808350000003</v>
      </c>
      <c r="E600">
        <v>50</v>
      </c>
      <c r="F600">
        <v>49.946601868000002</v>
      </c>
      <c r="G600">
        <v>1296.1350098</v>
      </c>
      <c r="H600">
        <v>1282.9620361</v>
      </c>
      <c r="I600">
        <v>1398.2613524999999</v>
      </c>
      <c r="J600">
        <v>1378.5870361</v>
      </c>
      <c r="K600">
        <v>0</v>
      </c>
      <c r="L600">
        <v>2400</v>
      </c>
      <c r="M600">
        <v>2400</v>
      </c>
      <c r="N600">
        <v>0</v>
      </c>
    </row>
    <row r="601" spans="1:14" x14ac:dyDescent="0.25">
      <c r="A601">
        <v>252.55076800000001</v>
      </c>
      <c r="B601" s="1">
        <f>DATE(2011,1,8) + TIME(13,13,6)</f>
        <v>40551.550763888888</v>
      </c>
      <c r="C601">
        <v>80</v>
      </c>
      <c r="D601">
        <v>70.049888611</v>
      </c>
      <c r="E601">
        <v>50</v>
      </c>
      <c r="F601">
        <v>49.946731567</v>
      </c>
      <c r="G601">
        <v>1295.9735106999999</v>
      </c>
      <c r="H601">
        <v>1282.7530518000001</v>
      </c>
      <c r="I601">
        <v>1398.1832274999999</v>
      </c>
      <c r="J601">
        <v>1378.5141602000001</v>
      </c>
      <c r="K601">
        <v>0</v>
      </c>
      <c r="L601">
        <v>2400</v>
      </c>
      <c r="M601">
        <v>2400</v>
      </c>
      <c r="N601">
        <v>0</v>
      </c>
    </row>
    <row r="602" spans="1:14" x14ac:dyDescent="0.25">
      <c r="A602">
        <v>254.15022500000001</v>
      </c>
      <c r="B602" s="1">
        <f>DATE(2011,1,10) + TIME(3,36,19)</f>
        <v>40553.150219907409</v>
      </c>
      <c r="C602">
        <v>80</v>
      </c>
      <c r="D602">
        <v>69.886840820000003</v>
      </c>
      <c r="E602">
        <v>50</v>
      </c>
      <c r="F602">
        <v>49.946865082000002</v>
      </c>
      <c r="G602">
        <v>1295.8054199000001</v>
      </c>
      <c r="H602">
        <v>1282.5345459</v>
      </c>
      <c r="I602">
        <v>1398.1057129000001</v>
      </c>
      <c r="J602">
        <v>1378.4417725000001</v>
      </c>
      <c r="K602">
        <v>0</v>
      </c>
      <c r="L602">
        <v>2400</v>
      </c>
      <c r="M602">
        <v>2400</v>
      </c>
      <c r="N602">
        <v>0</v>
      </c>
    </row>
    <row r="603" spans="1:14" x14ac:dyDescent="0.25">
      <c r="A603">
        <v>255.79355100000001</v>
      </c>
      <c r="B603" s="1">
        <f>DATE(2011,1,11) + TIME(19,2,42)</f>
        <v>40554.793541666666</v>
      </c>
      <c r="C603">
        <v>80</v>
      </c>
      <c r="D603">
        <v>69.719947814999998</v>
      </c>
      <c r="E603">
        <v>50</v>
      </c>
      <c r="F603">
        <v>49.947002411</v>
      </c>
      <c r="G603">
        <v>1295.6298827999999</v>
      </c>
      <c r="H603">
        <v>1282.3055420000001</v>
      </c>
      <c r="I603">
        <v>1398.0285644999999</v>
      </c>
      <c r="J603">
        <v>1378.3696289</v>
      </c>
      <c r="K603">
        <v>0</v>
      </c>
      <c r="L603">
        <v>2400</v>
      </c>
      <c r="M603">
        <v>2400</v>
      </c>
      <c r="N603">
        <v>0</v>
      </c>
    </row>
    <row r="604" spans="1:14" x14ac:dyDescent="0.25">
      <c r="A604">
        <v>257.45817799999998</v>
      </c>
      <c r="B604" s="1">
        <f>DATE(2011,1,13) + TIME(10,59,46)</f>
        <v>40556.458171296297</v>
      </c>
      <c r="C604">
        <v>80</v>
      </c>
      <c r="D604">
        <v>69.549392699999999</v>
      </c>
      <c r="E604">
        <v>50</v>
      </c>
      <c r="F604">
        <v>49.947143554999997</v>
      </c>
      <c r="G604">
        <v>1295.4456786999999</v>
      </c>
      <c r="H604">
        <v>1282.0648193</v>
      </c>
      <c r="I604">
        <v>1397.9512939000001</v>
      </c>
      <c r="J604">
        <v>1378.2974853999999</v>
      </c>
      <c r="K604">
        <v>0</v>
      </c>
      <c r="L604">
        <v>2400</v>
      </c>
      <c r="M604">
        <v>2400</v>
      </c>
      <c r="N604">
        <v>0</v>
      </c>
    </row>
    <row r="605" spans="1:14" x14ac:dyDescent="0.25">
      <c r="A605">
        <v>259.13483600000001</v>
      </c>
      <c r="B605" s="1">
        <f>DATE(2011,1,15) + TIME(3,14,9)</f>
        <v>40558.134826388887</v>
      </c>
      <c r="C605">
        <v>80</v>
      </c>
      <c r="D605">
        <v>69.376091002999999</v>
      </c>
      <c r="E605">
        <v>50</v>
      </c>
      <c r="F605">
        <v>49.947280884000001</v>
      </c>
      <c r="G605">
        <v>1295.2551269999999</v>
      </c>
      <c r="H605">
        <v>1281.8144531</v>
      </c>
      <c r="I605">
        <v>1397.8751221</v>
      </c>
      <c r="J605">
        <v>1378.2263184000001</v>
      </c>
      <c r="K605">
        <v>0</v>
      </c>
      <c r="L605">
        <v>2400</v>
      </c>
      <c r="M605">
        <v>2400</v>
      </c>
      <c r="N605">
        <v>0</v>
      </c>
    </row>
    <row r="606" spans="1:14" x14ac:dyDescent="0.25">
      <c r="A606">
        <v>260.82851499999998</v>
      </c>
      <c r="B606" s="1">
        <f>DATE(2011,1,16) + TIME(19,53,3)</f>
        <v>40559.828506944446</v>
      </c>
      <c r="C606">
        <v>80</v>
      </c>
      <c r="D606">
        <v>69.200325011999993</v>
      </c>
      <c r="E606">
        <v>50</v>
      </c>
      <c r="F606">
        <v>49.947422027999998</v>
      </c>
      <c r="G606">
        <v>1295.0588379000001</v>
      </c>
      <c r="H606">
        <v>1281.5557861</v>
      </c>
      <c r="I606">
        <v>1397.8004149999999</v>
      </c>
      <c r="J606">
        <v>1378.1564940999999</v>
      </c>
      <c r="K606">
        <v>0</v>
      </c>
      <c r="L606">
        <v>2400</v>
      </c>
      <c r="M606">
        <v>2400</v>
      </c>
      <c r="N606">
        <v>0</v>
      </c>
    </row>
    <row r="607" spans="1:14" x14ac:dyDescent="0.25">
      <c r="A607">
        <v>262.54628500000001</v>
      </c>
      <c r="B607" s="1">
        <f>DATE(2011,1,18) + TIME(13,6,39)</f>
        <v>40561.546284722222</v>
      </c>
      <c r="C607">
        <v>80</v>
      </c>
      <c r="D607">
        <v>69.021598815999994</v>
      </c>
      <c r="E607">
        <v>50</v>
      </c>
      <c r="F607">
        <v>49.947563170999999</v>
      </c>
      <c r="G607">
        <v>1294.8565673999999</v>
      </c>
      <c r="H607">
        <v>1281.2878418</v>
      </c>
      <c r="I607">
        <v>1397.7268065999999</v>
      </c>
      <c r="J607">
        <v>1378.0877685999999</v>
      </c>
      <c r="K607">
        <v>0</v>
      </c>
      <c r="L607">
        <v>2400</v>
      </c>
      <c r="M607">
        <v>2400</v>
      </c>
      <c r="N607">
        <v>0</v>
      </c>
    </row>
    <row r="608" spans="1:14" x14ac:dyDescent="0.25">
      <c r="A608">
        <v>264.29348199999998</v>
      </c>
      <c r="B608" s="1">
        <f>DATE(2011,1,20) + TIME(7,2,36)</f>
        <v>40563.29347222222</v>
      </c>
      <c r="C608">
        <v>80</v>
      </c>
      <c r="D608">
        <v>68.839118958</v>
      </c>
      <c r="E608">
        <v>50</v>
      </c>
      <c r="F608">
        <v>49.947704315000003</v>
      </c>
      <c r="G608">
        <v>1294.6472168</v>
      </c>
      <c r="H608">
        <v>1281.0096435999999</v>
      </c>
      <c r="I608">
        <v>1397.6540527</v>
      </c>
      <c r="J608">
        <v>1378.0198975000001</v>
      </c>
      <c r="K608">
        <v>0</v>
      </c>
      <c r="L608">
        <v>2400</v>
      </c>
      <c r="M608">
        <v>2400</v>
      </c>
      <c r="N608">
        <v>0</v>
      </c>
    </row>
    <row r="609" spans="1:14" x14ac:dyDescent="0.25">
      <c r="A609">
        <v>266.07689900000003</v>
      </c>
      <c r="B609" s="1">
        <f>DATE(2011,1,22) + TIME(1,50,44)</f>
        <v>40565.076898148145</v>
      </c>
      <c r="C609">
        <v>80</v>
      </c>
      <c r="D609">
        <v>68.651954650999997</v>
      </c>
      <c r="E609">
        <v>50</v>
      </c>
      <c r="F609">
        <v>49.947849273999999</v>
      </c>
      <c r="G609">
        <v>1294.4299315999999</v>
      </c>
      <c r="H609">
        <v>1280.7198486</v>
      </c>
      <c r="I609">
        <v>1397.5819091999999</v>
      </c>
      <c r="J609">
        <v>1377.9526367000001</v>
      </c>
      <c r="K609">
        <v>0</v>
      </c>
      <c r="L609">
        <v>2400</v>
      </c>
      <c r="M609">
        <v>2400</v>
      </c>
      <c r="N609">
        <v>0</v>
      </c>
    </row>
    <row r="610" spans="1:14" x14ac:dyDescent="0.25">
      <c r="A610">
        <v>267.902446</v>
      </c>
      <c r="B610" s="1">
        <f>DATE(2011,1,23) + TIME(21,39,31)</f>
        <v>40566.902442129627</v>
      </c>
      <c r="C610">
        <v>80</v>
      </c>
      <c r="D610">
        <v>68.459091186999999</v>
      </c>
      <c r="E610">
        <v>50</v>
      </c>
      <c r="F610">
        <v>49.947998046999999</v>
      </c>
      <c r="G610">
        <v>1294.2037353999999</v>
      </c>
      <c r="H610">
        <v>1280.4171143000001</v>
      </c>
      <c r="I610">
        <v>1397.5101318</v>
      </c>
      <c r="J610">
        <v>1377.8856201000001</v>
      </c>
      <c r="K610">
        <v>0</v>
      </c>
      <c r="L610">
        <v>2400</v>
      </c>
      <c r="M610">
        <v>2400</v>
      </c>
      <c r="N610">
        <v>0</v>
      </c>
    </row>
    <row r="611" spans="1:14" x14ac:dyDescent="0.25">
      <c r="A611">
        <v>269.77889800000003</v>
      </c>
      <c r="B611" s="1">
        <f>DATE(2011,1,25) + TIME(18,41,36)</f>
        <v>40568.77888888889</v>
      </c>
      <c r="C611">
        <v>80</v>
      </c>
      <c r="D611">
        <v>68.259361267000003</v>
      </c>
      <c r="E611">
        <v>50</v>
      </c>
      <c r="F611">
        <v>49.948150634999998</v>
      </c>
      <c r="G611">
        <v>1293.9676514</v>
      </c>
      <c r="H611">
        <v>1280.0998535000001</v>
      </c>
      <c r="I611">
        <v>1397.4384766000001</v>
      </c>
      <c r="J611">
        <v>1377.8187256000001</v>
      </c>
      <c r="K611">
        <v>0</v>
      </c>
      <c r="L611">
        <v>2400</v>
      </c>
      <c r="M611">
        <v>2400</v>
      </c>
      <c r="N611">
        <v>0</v>
      </c>
    </row>
    <row r="612" spans="1:14" x14ac:dyDescent="0.25">
      <c r="A612">
        <v>271.66490700000003</v>
      </c>
      <c r="B612" s="1">
        <f>DATE(2011,1,27) + TIME(15,57,27)</f>
        <v>40570.664895833332</v>
      </c>
      <c r="C612">
        <v>80</v>
      </c>
      <c r="D612">
        <v>68.053062439000001</v>
      </c>
      <c r="E612">
        <v>50</v>
      </c>
      <c r="F612">
        <v>49.948303223000003</v>
      </c>
      <c r="G612">
        <v>1293.7203368999999</v>
      </c>
      <c r="H612">
        <v>1279.7668457</v>
      </c>
      <c r="I612">
        <v>1397.3666992000001</v>
      </c>
      <c r="J612">
        <v>1377.7517089999999</v>
      </c>
      <c r="K612">
        <v>0</v>
      </c>
      <c r="L612">
        <v>2400</v>
      </c>
      <c r="M612">
        <v>2400</v>
      </c>
      <c r="N612">
        <v>0</v>
      </c>
    </row>
    <row r="613" spans="1:14" x14ac:dyDescent="0.25">
      <c r="A613">
        <v>273.56428399999999</v>
      </c>
      <c r="B613" s="1">
        <f>DATE(2011,1,29) + TIME(13,32,34)</f>
        <v>40572.564282407409</v>
      </c>
      <c r="C613">
        <v>80</v>
      </c>
      <c r="D613">
        <v>67.841545104999994</v>
      </c>
      <c r="E613">
        <v>50</v>
      </c>
      <c r="F613">
        <v>49.948451996000003</v>
      </c>
      <c r="G613">
        <v>1293.4663086</v>
      </c>
      <c r="H613">
        <v>1279.4230957</v>
      </c>
      <c r="I613">
        <v>1397.2961425999999</v>
      </c>
      <c r="J613">
        <v>1377.6859131000001</v>
      </c>
      <c r="K613">
        <v>0</v>
      </c>
      <c r="L613">
        <v>2400</v>
      </c>
      <c r="M613">
        <v>2400</v>
      </c>
      <c r="N613">
        <v>0</v>
      </c>
    </row>
    <row r="614" spans="1:14" x14ac:dyDescent="0.25">
      <c r="A614">
        <v>275.48732100000001</v>
      </c>
      <c r="B614" s="1">
        <f>DATE(2011,1,31) + TIME(11,41,44)</f>
        <v>40574.487314814818</v>
      </c>
      <c r="C614">
        <v>80</v>
      </c>
      <c r="D614">
        <v>67.624427795000003</v>
      </c>
      <c r="E614">
        <v>50</v>
      </c>
      <c r="F614">
        <v>49.948608397999998</v>
      </c>
      <c r="G614">
        <v>1293.2054443</v>
      </c>
      <c r="H614">
        <v>1279.0684814000001</v>
      </c>
      <c r="I614">
        <v>1397.2269286999999</v>
      </c>
      <c r="J614">
        <v>1377.6213379000001</v>
      </c>
      <c r="K614">
        <v>0</v>
      </c>
      <c r="L614">
        <v>2400</v>
      </c>
      <c r="M614">
        <v>2400</v>
      </c>
      <c r="N614">
        <v>0</v>
      </c>
    </row>
    <row r="615" spans="1:14" x14ac:dyDescent="0.25">
      <c r="A615">
        <v>276</v>
      </c>
      <c r="B615" s="1">
        <f>DATE(2011,2,1) + TIME(0,0,0)</f>
        <v>40575</v>
      </c>
      <c r="C615">
        <v>80</v>
      </c>
      <c r="D615">
        <v>67.503936768000003</v>
      </c>
      <c r="E615">
        <v>50</v>
      </c>
      <c r="F615">
        <v>49.948638916</v>
      </c>
      <c r="G615">
        <v>1292.9492187999999</v>
      </c>
      <c r="H615">
        <v>1278.7432861</v>
      </c>
      <c r="I615">
        <v>1397.1572266000001</v>
      </c>
      <c r="J615">
        <v>1377.5561522999999</v>
      </c>
      <c r="K615">
        <v>0</v>
      </c>
      <c r="L615">
        <v>2400</v>
      </c>
      <c r="M615">
        <v>2400</v>
      </c>
      <c r="N615">
        <v>0</v>
      </c>
    </row>
    <row r="616" spans="1:14" x14ac:dyDescent="0.25">
      <c r="A616">
        <v>277.94928299999998</v>
      </c>
      <c r="B616" s="1">
        <f>DATE(2011,2,2) + TIME(22,46,58)</f>
        <v>40576.949282407404</v>
      </c>
      <c r="C616">
        <v>80</v>
      </c>
      <c r="D616">
        <v>67.321258545000006</v>
      </c>
      <c r="E616">
        <v>50</v>
      </c>
      <c r="F616">
        <v>49.948802948000001</v>
      </c>
      <c r="G616">
        <v>1292.8521728999999</v>
      </c>
      <c r="H616">
        <v>1278.5794678</v>
      </c>
      <c r="I616">
        <v>1397.1405029</v>
      </c>
      <c r="J616">
        <v>1377.5405272999999</v>
      </c>
      <c r="K616">
        <v>0</v>
      </c>
      <c r="L616">
        <v>2400</v>
      </c>
      <c r="M616">
        <v>2400</v>
      </c>
      <c r="N616">
        <v>0</v>
      </c>
    </row>
    <row r="617" spans="1:14" x14ac:dyDescent="0.25">
      <c r="A617">
        <v>279.94456100000002</v>
      </c>
      <c r="B617" s="1">
        <f>DATE(2011,2,4) + TIME(22,40,10)</f>
        <v>40578.944560185184</v>
      </c>
      <c r="C617">
        <v>80</v>
      </c>
      <c r="D617">
        <v>67.101135253999999</v>
      </c>
      <c r="E617">
        <v>50</v>
      </c>
      <c r="F617">
        <v>49.948959350999999</v>
      </c>
      <c r="G617">
        <v>1292.5809326000001</v>
      </c>
      <c r="H617">
        <v>1278.2125243999999</v>
      </c>
      <c r="I617">
        <v>1397.0732422000001</v>
      </c>
      <c r="J617">
        <v>1377.4777832</v>
      </c>
      <c r="K617">
        <v>0</v>
      </c>
      <c r="L617">
        <v>2400</v>
      </c>
      <c r="M617">
        <v>2400</v>
      </c>
      <c r="N617">
        <v>0</v>
      </c>
    </row>
    <row r="618" spans="1:14" x14ac:dyDescent="0.25">
      <c r="A618">
        <v>281.98236500000002</v>
      </c>
      <c r="B618" s="1">
        <f>DATE(2011,2,6) + TIME(23,34,36)</f>
        <v>40580.982361111113</v>
      </c>
      <c r="C618">
        <v>80</v>
      </c>
      <c r="D618">
        <v>66.861946106000005</v>
      </c>
      <c r="E618">
        <v>50</v>
      </c>
      <c r="F618">
        <v>49.949119568</v>
      </c>
      <c r="G618">
        <v>1292.2926024999999</v>
      </c>
      <c r="H618">
        <v>1277.8173827999999</v>
      </c>
      <c r="I618">
        <v>1397.0057373</v>
      </c>
      <c r="J618">
        <v>1377.4149170000001</v>
      </c>
      <c r="K618">
        <v>0</v>
      </c>
      <c r="L618">
        <v>2400</v>
      </c>
      <c r="M618">
        <v>2400</v>
      </c>
      <c r="N618">
        <v>0</v>
      </c>
    </row>
    <row r="619" spans="1:14" x14ac:dyDescent="0.25">
      <c r="A619">
        <v>284.06823500000002</v>
      </c>
      <c r="B619" s="1">
        <f>DATE(2011,2,9) + TIME(1,38,15)</f>
        <v>40583.068229166667</v>
      </c>
      <c r="C619">
        <v>80</v>
      </c>
      <c r="D619">
        <v>66.608901978000006</v>
      </c>
      <c r="E619">
        <v>50</v>
      </c>
      <c r="F619">
        <v>49.949279785000002</v>
      </c>
      <c r="G619">
        <v>1291.9910889</v>
      </c>
      <c r="H619">
        <v>1277.4017334</v>
      </c>
      <c r="I619">
        <v>1396.9385986</v>
      </c>
      <c r="J619">
        <v>1377.3521728999999</v>
      </c>
      <c r="K619">
        <v>0</v>
      </c>
      <c r="L619">
        <v>2400</v>
      </c>
      <c r="M619">
        <v>2400</v>
      </c>
      <c r="N619">
        <v>0</v>
      </c>
    </row>
    <row r="620" spans="1:14" x14ac:dyDescent="0.25">
      <c r="A620">
        <v>286.16294399999998</v>
      </c>
      <c r="B620" s="1">
        <f>DATE(2011,2,11) + TIME(3,54,38)</f>
        <v>40585.162939814814</v>
      </c>
      <c r="C620">
        <v>80</v>
      </c>
      <c r="D620">
        <v>66.344139099000003</v>
      </c>
      <c r="E620">
        <v>50</v>
      </c>
      <c r="F620">
        <v>49.949443817000002</v>
      </c>
      <c r="G620">
        <v>1291.6768798999999</v>
      </c>
      <c r="H620">
        <v>1276.9669189000001</v>
      </c>
      <c r="I620">
        <v>1396.8712158000001</v>
      </c>
      <c r="J620">
        <v>1377.2894286999999</v>
      </c>
      <c r="K620">
        <v>0</v>
      </c>
      <c r="L620">
        <v>2400</v>
      </c>
      <c r="M620">
        <v>2400</v>
      </c>
      <c r="N620">
        <v>0</v>
      </c>
    </row>
    <row r="621" spans="1:14" x14ac:dyDescent="0.25">
      <c r="A621">
        <v>288.27683999999999</v>
      </c>
      <c r="B621" s="1">
        <f>DATE(2011,2,13) + TIME(6,38,38)</f>
        <v>40587.276828703703</v>
      </c>
      <c r="C621">
        <v>80</v>
      </c>
      <c r="D621">
        <v>66.069580078000001</v>
      </c>
      <c r="E621">
        <v>50</v>
      </c>
      <c r="F621">
        <v>49.949607849000003</v>
      </c>
      <c r="G621">
        <v>1291.3551024999999</v>
      </c>
      <c r="H621">
        <v>1276.5194091999999</v>
      </c>
      <c r="I621">
        <v>1396.8050536999999</v>
      </c>
      <c r="J621">
        <v>1377.2276611</v>
      </c>
      <c r="K621">
        <v>0</v>
      </c>
      <c r="L621">
        <v>2400</v>
      </c>
      <c r="M621">
        <v>2400</v>
      </c>
      <c r="N621">
        <v>0</v>
      </c>
    </row>
    <row r="622" spans="1:14" x14ac:dyDescent="0.25">
      <c r="A622">
        <v>290.41328299999998</v>
      </c>
      <c r="B622" s="1">
        <f>DATE(2011,2,15) + TIME(9,55,7)</f>
        <v>40589.413275462961</v>
      </c>
      <c r="C622">
        <v>80</v>
      </c>
      <c r="D622">
        <v>65.784675598000007</v>
      </c>
      <c r="E622">
        <v>50</v>
      </c>
      <c r="F622">
        <v>49.949768065999997</v>
      </c>
      <c r="G622">
        <v>1291.0250243999999</v>
      </c>
      <c r="H622">
        <v>1276.0584716999999</v>
      </c>
      <c r="I622">
        <v>1396.7398682</v>
      </c>
      <c r="J622">
        <v>1377.1667480000001</v>
      </c>
      <c r="K622">
        <v>0</v>
      </c>
      <c r="L622">
        <v>2400</v>
      </c>
      <c r="M622">
        <v>2400</v>
      </c>
      <c r="N622">
        <v>0</v>
      </c>
    </row>
    <row r="623" spans="1:14" x14ac:dyDescent="0.25">
      <c r="A623">
        <v>292.582426</v>
      </c>
      <c r="B623" s="1">
        <f>DATE(2011,2,17) + TIME(13,58,41)</f>
        <v>40591.582418981481</v>
      </c>
      <c r="C623">
        <v>80</v>
      </c>
      <c r="D623">
        <v>65.488197326999995</v>
      </c>
      <c r="E623">
        <v>50</v>
      </c>
      <c r="F623">
        <v>49.949935912999997</v>
      </c>
      <c r="G623">
        <v>1290.6861572</v>
      </c>
      <c r="H623">
        <v>1275.583374</v>
      </c>
      <c r="I623">
        <v>1396.6751709</v>
      </c>
      <c r="J623">
        <v>1377.1065673999999</v>
      </c>
      <c r="K623">
        <v>0</v>
      </c>
      <c r="L623">
        <v>2400</v>
      </c>
      <c r="M623">
        <v>2400</v>
      </c>
      <c r="N623">
        <v>0</v>
      </c>
    </row>
    <row r="624" spans="1:14" x14ac:dyDescent="0.25">
      <c r="A624">
        <v>294.78967</v>
      </c>
      <c r="B624" s="1">
        <f>DATE(2011,2,19) + TIME(18,57,7)</f>
        <v>40593.789664351854</v>
      </c>
      <c r="C624">
        <v>80</v>
      </c>
      <c r="D624">
        <v>65.178390503000003</v>
      </c>
      <c r="E624">
        <v>50</v>
      </c>
      <c r="F624">
        <v>49.950099944999998</v>
      </c>
      <c r="G624">
        <v>1290.3369141000001</v>
      </c>
      <c r="H624">
        <v>1275.0919189000001</v>
      </c>
      <c r="I624">
        <v>1396.6109618999999</v>
      </c>
      <c r="J624">
        <v>1377.0465088000001</v>
      </c>
      <c r="K624">
        <v>0</v>
      </c>
      <c r="L624">
        <v>2400</v>
      </c>
      <c r="M624">
        <v>2400</v>
      </c>
      <c r="N624">
        <v>0</v>
      </c>
    </row>
    <row r="625" spans="1:14" x14ac:dyDescent="0.25">
      <c r="A625">
        <v>297.04286500000001</v>
      </c>
      <c r="B625" s="1">
        <f>DATE(2011,2,22) + TIME(1,1,43)</f>
        <v>40596.042858796296</v>
      </c>
      <c r="C625">
        <v>80</v>
      </c>
      <c r="D625">
        <v>64.853576660000002</v>
      </c>
      <c r="E625">
        <v>50</v>
      </c>
      <c r="F625">
        <v>49.950271606000001</v>
      </c>
      <c r="G625">
        <v>1289.9764404</v>
      </c>
      <c r="H625">
        <v>1274.5826416</v>
      </c>
      <c r="I625">
        <v>1396.546875</v>
      </c>
      <c r="J625">
        <v>1376.9868164</v>
      </c>
      <c r="K625">
        <v>0</v>
      </c>
      <c r="L625">
        <v>2400</v>
      </c>
      <c r="M625">
        <v>2400</v>
      </c>
      <c r="N625">
        <v>0</v>
      </c>
    </row>
    <row r="626" spans="1:14" x14ac:dyDescent="0.25">
      <c r="A626">
        <v>299.34804300000002</v>
      </c>
      <c r="B626" s="1">
        <f>DATE(2011,2,24) + TIME(8,21,10)</f>
        <v>40598.348032407404</v>
      </c>
      <c r="C626">
        <v>80</v>
      </c>
      <c r="D626">
        <v>64.511871338000006</v>
      </c>
      <c r="E626">
        <v>50</v>
      </c>
      <c r="F626">
        <v>49.950443268000001</v>
      </c>
      <c r="G626">
        <v>1289.6033935999999</v>
      </c>
      <c r="H626">
        <v>1274.0535889</v>
      </c>
      <c r="I626">
        <v>1396.4827881000001</v>
      </c>
      <c r="J626">
        <v>1376.9270019999999</v>
      </c>
      <c r="K626">
        <v>0</v>
      </c>
      <c r="L626">
        <v>2400</v>
      </c>
      <c r="M626">
        <v>2400</v>
      </c>
      <c r="N626">
        <v>0</v>
      </c>
    </row>
    <row r="627" spans="1:14" x14ac:dyDescent="0.25">
      <c r="A627">
        <v>301.66901999999999</v>
      </c>
      <c r="B627" s="1">
        <f>DATE(2011,2,26) + TIME(16,3,23)</f>
        <v>40600.669016203705</v>
      </c>
      <c r="C627">
        <v>80</v>
      </c>
      <c r="D627">
        <v>64.152931213000002</v>
      </c>
      <c r="E627">
        <v>50</v>
      </c>
      <c r="F627">
        <v>49.950614928999997</v>
      </c>
      <c r="G627">
        <v>1289.2166748</v>
      </c>
      <c r="H627">
        <v>1273.503418</v>
      </c>
      <c r="I627">
        <v>1396.4183350000001</v>
      </c>
      <c r="J627">
        <v>1376.8668213000001</v>
      </c>
      <c r="K627">
        <v>0</v>
      </c>
      <c r="L627">
        <v>2400</v>
      </c>
      <c r="M627">
        <v>2400</v>
      </c>
      <c r="N627">
        <v>0</v>
      </c>
    </row>
    <row r="628" spans="1:14" x14ac:dyDescent="0.25">
      <c r="A628">
        <v>304</v>
      </c>
      <c r="B628" s="1">
        <f>DATE(2011,3,1) + TIME(0,0,0)</f>
        <v>40603</v>
      </c>
      <c r="C628">
        <v>80</v>
      </c>
      <c r="D628">
        <v>63.779121398999997</v>
      </c>
      <c r="E628">
        <v>50</v>
      </c>
      <c r="F628">
        <v>49.950786591000004</v>
      </c>
      <c r="G628">
        <v>1288.8217772999999</v>
      </c>
      <c r="H628">
        <v>1272.9389647999999</v>
      </c>
      <c r="I628">
        <v>1396.3547363</v>
      </c>
      <c r="J628">
        <v>1376.8074951000001</v>
      </c>
      <c r="K628">
        <v>0</v>
      </c>
      <c r="L628">
        <v>2400</v>
      </c>
      <c r="M628">
        <v>2400</v>
      </c>
      <c r="N628">
        <v>0</v>
      </c>
    </row>
    <row r="629" spans="1:14" x14ac:dyDescent="0.25">
      <c r="A629">
        <v>306.33851299999998</v>
      </c>
      <c r="B629" s="1">
        <f>DATE(2011,3,3) + TIME(8,7,27)</f>
        <v>40605.338506944441</v>
      </c>
      <c r="C629">
        <v>80</v>
      </c>
      <c r="D629">
        <v>63.391300201</v>
      </c>
      <c r="E629">
        <v>50</v>
      </c>
      <c r="F629">
        <v>49.950958252</v>
      </c>
      <c r="G629">
        <v>1288.4199219</v>
      </c>
      <c r="H629">
        <v>1272.3620605000001</v>
      </c>
      <c r="I629">
        <v>1396.2919922000001</v>
      </c>
      <c r="J629">
        <v>1376.7489014</v>
      </c>
      <c r="K629">
        <v>0</v>
      </c>
      <c r="L629">
        <v>2400</v>
      </c>
      <c r="M629">
        <v>2400</v>
      </c>
      <c r="N629">
        <v>0</v>
      </c>
    </row>
    <row r="630" spans="1:14" x14ac:dyDescent="0.25">
      <c r="A630">
        <v>308.73786699999999</v>
      </c>
      <c r="B630" s="1">
        <f>DATE(2011,3,5) + TIME(17,42,31)</f>
        <v>40607.737858796296</v>
      </c>
      <c r="C630">
        <v>80</v>
      </c>
      <c r="D630">
        <v>62.987358092999997</v>
      </c>
      <c r="E630">
        <v>50</v>
      </c>
      <c r="F630">
        <v>49.951129913000003</v>
      </c>
      <c r="G630">
        <v>1288.0119629000001</v>
      </c>
      <c r="H630">
        <v>1271.7731934000001</v>
      </c>
      <c r="I630">
        <v>1396.2302245999999</v>
      </c>
      <c r="J630">
        <v>1376.6911620999999</v>
      </c>
      <c r="K630">
        <v>0</v>
      </c>
      <c r="L630">
        <v>2400</v>
      </c>
      <c r="M630">
        <v>2400</v>
      </c>
      <c r="N630">
        <v>0</v>
      </c>
    </row>
    <row r="631" spans="1:14" x14ac:dyDescent="0.25">
      <c r="A631">
        <v>311.15653800000001</v>
      </c>
      <c r="B631" s="1">
        <f>DATE(2011,3,8) + TIME(3,45,24)</f>
        <v>40610.156527777777</v>
      </c>
      <c r="C631">
        <v>80</v>
      </c>
      <c r="D631">
        <v>62.563457489000001</v>
      </c>
      <c r="E631">
        <v>50</v>
      </c>
      <c r="F631">
        <v>49.951305388999998</v>
      </c>
      <c r="G631">
        <v>1287.5899658000001</v>
      </c>
      <c r="H631">
        <v>1271.1625977000001</v>
      </c>
      <c r="I631">
        <v>1396.1677245999999</v>
      </c>
      <c r="J631">
        <v>1376.6328125</v>
      </c>
      <c r="K631">
        <v>0</v>
      </c>
      <c r="L631">
        <v>2400</v>
      </c>
      <c r="M631">
        <v>2400</v>
      </c>
      <c r="N631">
        <v>0</v>
      </c>
    </row>
    <row r="632" spans="1:14" x14ac:dyDescent="0.25">
      <c r="A632">
        <v>313.590396</v>
      </c>
      <c r="B632" s="1">
        <f>DATE(2011,3,10) + TIME(14,10,10)</f>
        <v>40612.59039351852</v>
      </c>
      <c r="C632">
        <v>80</v>
      </c>
      <c r="D632">
        <v>62.122001648000001</v>
      </c>
      <c r="E632">
        <v>50</v>
      </c>
      <c r="F632">
        <v>49.951480865000001</v>
      </c>
      <c r="G632">
        <v>1287.1597899999999</v>
      </c>
      <c r="H632">
        <v>1270.5372314000001</v>
      </c>
      <c r="I632">
        <v>1396.1058350000001</v>
      </c>
      <c r="J632">
        <v>1376.5750731999999</v>
      </c>
      <c r="K632">
        <v>0</v>
      </c>
      <c r="L632">
        <v>2400</v>
      </c>
      <c r="M632">
        <v>2400</v>
      </c>
      <c r="N632">
        <v>0</v>
      </c>
    </row>
    <row r="633" spans="1:14" x14ac:dyDescent="0.25">
      <c r="A633">
        <v>316.04419200000001</v>
      </c>
      <c r="B633" s="1">
        <f>DATE(2011,3,13) + TIME(1,3,38)</f>
        <v>40615.044189814813</v>
      </c>
      <c r="C633">
        <v>80</v>
      </c>
      <c r="D633">
        <v>61.663593292000002</v>
      </c>
      <c r="E633">
        <v>50</v>
      </c>
      <c r="F633">
        <v>49.951652527</v>
      </c>
      <c r="G633">
        <v>1286.7227783000001</v>
      </c>
      <c r="H633">
        <v>1269.8989257999999</v>
      </c>
      <c r="I633">
        <v>1396.0444336</v>
      </c>
      <c r="J633">
        <v>1376.5177002</v>
      </c>
      <c r="K633">
        <v>0</v>
      </c>
      <c r="L633">
        <v>2400</v>
      </c>
      <c r="M633">
        <v>2400</v>
      </c>
      <c r="N633">
        <v>0</v>
      </c>
    </row>
    <row r="634" spans="1:14" x14ac:dyDescent="0.25">
      <c r="A634">
        <v>318.511662</v>
      </c>
      <c r="B634" s="1">
        <f>DATE(2011,3,15) + TIME(12,16,47)</f>
        <v>40617.511655092596</v>
      </c>
      <c r="C634">
        <v>80</v>
      </c>
      <c r="D634">
        <v>61.188117980999998</v>
      </c>
      <c r="E634">
        <v>50</v>
      </c>
      <c r="F634">
        <v>49.951828003000003</v>
      </c>
      <c r="G634">
        <v>1286.2785644999999</v>
      </c>
      <c r="H634">
        <v>1269.2474365</v>
      </c>
      <c r="I634">
        <v>1395.9833983999999</v>
      </c>
      <c r="J634">
        <v>1376.4606934000001</v>
      </c>
      <c r="K634">
        <v>0</v>
      </c>
      <c r="L634">
        <v>2400</v>
      </c>
      <c r="M634">
        <v>2400</v>
      </c>
      <c r="N634">
        <v>0</v>
      </c>
    </row>
    <row r="635" spans="1:14" x14ac:dyDescent="0.25">
      <c r="A635">
        <v>320.99545999999998</v>
      </c>
      <c r="B635" s="1">
        <f>DATE(2011,3,17) + TIME(23,53,27)</f>
        <v>40619.995451388888</v>
      </c>
      <c r="C635">
        <v>80</v>
      </c>
      <c r="D635">
        <v>60.696186066000003</v>
      </c>
      <c r="E635">
        <v>50</v>
      </c>
      <c r="F635">
        <v>49.951999663999999</v>
      </c>
      <c r="G635">
        <v>1285.8286132999999</v>
      </c>
      <c r="H635">
        <v>1268.5842285000001</v>
      </c>
      <c r="I635">
        <v>1395.9229736</v>
      </c>
      <c r="J635">
        <v>1376.4041748</v>
      </c>
      <c r="K635">
        <v>0</v>
      </c>
      <c r="L635">
        <v>2400</v>
      </c>
      <c r="M635">
        <v>2400</v>
      </c>
      <c r="N635">
        <v>0</v>
      </c>
    </row>
    <row r="636" spans="1:14" x14ac:dyDescent="0.25">
      <c r="A636">
        <v>323.50090999999998</v>
      </c>
      <c r="B636" s="1">
        <f>DATE(2011,3,20) + TIME(12,1,18)</f>
        <v>40622.500902777778</v>
      </c>
      <c r="C636">
        <v>80</v>
      </c>
      <c r="D636">
        <v>60.187328338999997</v>
      </c>
      <c r="E636">
        <v>50</v>
      </c>
      <c r="F636">
        <v>49.952175140000001</v>
      </c>
      <c r="G636">
        <v>1285.3726807</v>
      </c>
      <c r="H636">
        <v>1267.9094238</v>
      </c>
      <c r="I636">
        <v>1395.8629149999999</v>
      </c>
      <c r="J636">
        <v>1376.3479004000001</v>
      </c>
      <c r="K636">
        <v>0</v>
      </c>
      <c r="L636">
        <v>2400</v>
      </c>
      <c r="M636">
        <v>2400</v>
      </c>
      <c r="N636">
        <v>0</v>
      </c>
    </row>
    <row r="637" spans="1:14" x14ac:dyDescent="0.25">
      <c r="A637">
        <v>326.02042999999998</v>
      </c>
      <c r="B637" s="1">
        <f>DATE(2011,3,23) + TIME(0,29,25)</f>
        <v>40625.020428240743</v>
      </c>
      <c r="C637">
        <v>80</v>
      </c>
      <c r="D637">
        <v>59.660720824999999</v>
      </c>
      <c r="E637">
        <v>50</v>
      </c>
      <c r="F637">
        <v>49.952346802000001</v>
      </c>
      <c r="G637">
        <v>1284.9105225000001</v>
      </c>
      <c r="H637">
        <v>1267.2222899999999</v>
      </c>
      <c r="I637">
        <v>1395.8029785000001</v>
      </c>
      <c r="J637">
        <v>1376.2918701000001</v>
      </c>
      <c r="K637">
        <v>0</v>
      </c>
      <c r="L637">
        <v>2400</v>
      </c>
      <c r="M637">
        <v>2400</v>
      </c>
      <c r="N637">
        <v>0</v>
      </c>
    </row>
    <row r="638" spans="1:14" x14ac:dyDescent="0.25">
      <c r="A638">
        <v>328.55859299999997</v>
      </c>
      <c r="B638" s="1">
        <f>DATE(2011,3,25) + TIME(13,24,22)</f>
        <v>40627.558587962965</v>
      </c>
      <c r="C638">
        <v>80</v>
      </c>
      <c r="D638">
        <v>59.117248535000002</v>
      </c>
      <c r="E638">
        <v>50</v>
      </c>
      <c r="F638">
        <v>49.952522278000004</v>
      </c>
      <c r="G638">
        <v>1284.4437256000001</v>
      </c>
      <c r="H638">
        <v>1266.5246582</v>
      </c>
      <c r="I638">
        <v>1395.7434082</v>
      </c>
      <c r="J638">
        <v>1376.2360839999999</v>
      </c>
      <c r="K638">
        <v>0</v>
      </c>
      <c r="L638">
        <v>2400</v>
      </c>
      <c r="M638">
        <v>2400</v>
      </c>
      <c r="N638">
        <v>0</v>
      </c>
    </row>
    <row r="639" spans="1:14" x14ac:dyDescent="0.25">
      <c r="A639">
        <v>331.122049</v>
      </c>
      <c r="B639" s="1">
        <f>DATE(2011,3,28) + TIME(2,55,45)</f>
        <v>40630.122048611112</v>
      </c>
      <c r="C639">
        <v>80</v>
      </c>
      <c r="D639">
        <v>58.556785583</v>
      </c>
      <c r="E639">
        <v>50</v>
      </c>
      <c r="F639">
        <v>49.952693939</v>
      </c>
      <c r="G639">
        <v>1283.9718018000001</v>
      </c>
      <c r="H639">
        <v>1265.8161620999999</v>
      </c>
      <c r="I639">
        <v>1395.684082</v>
      </c>
      <c r="J639">
        <v>1376.1805420000001</v>
      </c>
      <c r="K639">
        <v>0</v>
      </c>
      <c r="L639">
        <v>2400</v>
      </c>
      <c r="M639">
        <v>2400</v>
      </c>
      <c r="N639">
        <v>0</v>
      </c>
    </row>
    <row r="640" spans="1:14" x14ac:dyDescent="0.25">
      <c r="A640">
        <v>333.70720899999998</v>
      </c>
      <c r="B640" s="1">
        <f>DATE(2011,3,30) + TIME(16,58,22)</f>
        <v>40632.707199074073</v>
      </c>
      <c r="C640">
        <v>80</v>
      </c>
      <c r="D640">
        <v>57.978763579999999</v>
      </c>
      <c r="E640">
        <v>50</v>
      </c>
      <c r="F640">
        <v>49.952869415000002</v>
      </c>
      <c r="G640">
        <v>1283.4942627</v>
      </c>
      <c r="H640">
        <v>1265.0960693</v>
      </c>
      <c r="I640">
        <v>1395.6248779</v>
      </c>
      <c r="J640">
        <v>1376.125</v>
      </c>
      <c r="K640">
        <v>0</v>
      </c>
      <c r="L640">
        <v>2400</v>
      </c>
      <c r="M640">
        <v>2400</v>
      </c>
      <c r="N640">
        <v>0</v>
      </c>
    </row>
    <row r="641" spans="1:14" x14ac:dyDescent="0.25">
      <c r="A641">
        <v>335</v>
      </c>
      <c r="B641" s="1">
        <f>DATE(2011,4,1) + TIME(0,0,0)</f>
        <v>40634</v>
      </c>
      <c r="C641">
        <v>80</v>
      </c>
      <c r="D641">
        <v>57.495067595999998</v>
      </c>
      <c r="E641">
        <v>50</v>
      </c>
      <c r="F641">
        <v>49.952953338999997</v>
      </c>
      <c r="G641">
        <v>1283.0201416</v>
      </c>
      <c r="H641">
        <v>1264.4123535000001</v>
      </c>
      <c r="I641">
        <v>1395.5648193</v>
      </c>
      <c r="J641">
        <v>1376.0687256000001</v>
      </c>
      <c r="K641">
        <v>0</v>
      </c>
      <c r="L641">
        <v>2400</v>
      </c>
      <c r="M641">
        <v>2400</v>
      </c>
      <c r="N641">
        <v>0</v>
      </c>
    </row>
    <row r="642" spans="1:14" x14ac:dyDescent="0.25">
      <c r="A642">
        <v>337.60849100000001</v>
      </c>
      <c r="B642" s="1">
        <f>DATE(2011,4,3) + TIME(14,36,13)</f>
        <v>40636.608483796299</v>
      </c>
      <c r="C642">
        <v>80</v>
      </c>
      <c r="D642">
        <v>57.038253783999998</v>
      </c>
      <c r="E642">
        <v>50</v>
      </c>
      <c r="F642">
        <v>49.953128814999999</v>
      </c>
      <c r="G642">
        <v>1282.7532959</v>
      </c>
      <c r="H642">
        <v>1263.9554443</v>
      </c>
      <c r="I642">
        <v>1395.5361327999999</v>
      </c>
      <c r="J642">
        <v>1376.0417480000001</v>
      </c>
      <c r="K642">
        <v>0</v>
      </c>
      <c r="L642">
        <v>2400</v>
      </c>
      <c r="M642">
        <v>2400</v>
      </c>
      <c r="N642">
        <v>0</v>
      </c>
    </row>
    <row r="643" spans="1:14" x14ac:dyDescent="0.25">
      <c r="A643">
        <v>340.25518099999999</v>
      </c>
      <c r="B643" s="1">
        <f>DATE(2011,4,6) + TIME(6,7,27)</f>
        <v>40639.255173611113</v>
      </c>
      <c r="C643">
        <v>80</v>
      </c>
      <c r="D643">
        <v>56.453384399000001</v>
      </c>
      <c r="E643">
        <v>50</v>
      </c>
      <c r="F643">
        <v>49.953304291000002</v>
      </c>
      <c r="G643">
        <v>1282.2807617000001</v>
      </c>
      <c r="H643">
        <v>1263.2462158000001</v>
      </c>
      <c r="I643">
        <v>1395.4770507999999</v>
      </c>
      <c r="J643">
        <v>1375.9863281</v>
      </c>
      <c r="K643">
        <v>0</v>
      </c>
      <c r="L643">
        <v>2400</v>
      </c>
      <c r="M643">
        <v>2400</v>
      </c>
      <c r="N643">
        <v>0</v>
      </c>
    </row>
    <row r="644" spans="1:14" x14ac:dyDescent="0.25">
      <c r="A644">
        <v>342.92801600000001</v>
      </c>
      <c r="B644" s="1">
        <f>DATE(2011,4,8) + TIME(22,16,20)</f>
        <v>40641.92800925926</v>
      </c>
      <c r="C644">
        <v>80</v>
      </c>
      <c r="D644">
        <v>55.825428008999999</v>
      </c>
      <c r="E644">
        <v>50</v>
      </c>
      <c r="F644">
        <v>49.953479766999997</v>
      </c>
      <c r="G644">
        <v>1281.7917480000001</v>
      </c>
      <c r="H644">
        <v>1262.4987793</v>
      </c>
      <c r="I644">
        <v>1395.4176024999999</v>
      </c>
      <c r="J644">
        <v>1375.9305420000001</v>
      </c>
      <c r="K644">
        <v>0</v>
      </c>
      <c r="L644">
        <v>2400</v>
      </c>
      <c r="M644">
        <v>2400</v>
      </c>
      <c r="N644">
        <v>0</v>
      </c>
    </row>
    <row r="645" spans="1:14" x14ac:dyDescent="0.25">
      <c r="A645">
        <v>345.63357100000002</v>
      </c>
      <c r="B645" s="1">
        <f>DATE(2011,4,11) + TIME(15,12,20)</f>
        <v>40644.633564814816</v>
      </c>
      <c r="C645">
        <v>80</v>
      </c>
      <c r="D645">
        <v>55.175884246999999</v>
      </c>
      <c r="E645">
        <v>50</v>
      </c>
      <c r="F645">
        <v>49.953655243</v>
      </c>
      <c r="G645">
        <v>1281.2965088000001</v>
      </c>
      <c r="H645">
        <v>1261.7358397999999</v>
      </c>
      <c r="I645">
        <v>1395.3580322</v>
      </c>
      <c r="J645">
        <v>1375.8745117000001</v>
      </c>
      <c r="K645">
        <v>0</v>
      </c>
      <c r="L645">
        <v>2400</v>
      </c>
      <c r="M645">
        <v>2400</v>
      </c>
      <c r="N645">
        <v>0</v>
      </c>
    </row>
    <row r="646" spans="1:14" x14ac:dyDescent="0.25">
      <c r="A646">
        <v>348.36931800000002</v>
      </c>
      <c r="B646" s="1">
        <f>DATE(2011,4,14) + TIME(8,51,49)</f>
        <v>40647.369317129633</v>
      </c>
      <c r="C646">
        <v>80</v>
      </c>
      <c r="D646">
        <v>54.509544372999997</v>
      </c>
      <c r="E646">
        <v>50</v>
      </c>
      <c r="F646">
        <v>49.953830719000003</v>
      </c>
      <c r="G646">
        <v>1280.796875</v>
      </c>
      <c r="H646">
        <v>1260.9615478999999</v>
      </c>
      <c r="I646">
        <v>1395.2982178</v>
      </c>
      <c r="J646">
        <v>1375.8182373</v>
      </c>
      <c r="K646">
        <v>0</v>
      </c>
      <c r="L646">
        <v>2400</v>
      </c>
      <c r="M646">
        <v>2400</v>
      </c>
      <c r="N646">
        <v>0</v>
      </c>
    </row>
    <row r="647" spans="1:14" x14ac:dyDescent="0.25">
      <c r="A647">
        <v>351.13592199999999</v>
      </c>
      <c r="B647" s="1">
        <f>DATE(2011,4,17) + TIME(3,15,43)</f>
        <v>40650.135914351849</v>
      </c>
      <c r="C647">
        <v>80</v>
      </c>
      <c r="D647">
        <v>53.828674315999997</v>
      </c>
      <c r="E647">
        <v>50</v>
      </c>
      <c r="F647">
        <v>49.954006194999998</v>
      </c>
      <c r="G647">
        <v>1280.2944336</v>
      </c>
      <c r="H647">
        <v>1260.1785889</v>
      </c>
      <c r="I647">
        <v>1395.2379149999999</v>
      </c>
      <c r="J647">
        <v>1375.7615966999999</v>
      </c>
      <c r="K647">
        <v>0</v>
      </c>
      <c r="L647">
        <v>2400</v>
      </c>
      <c r="M647">
        <v>2400</v>
      </c>
      <c r="N647">
        <v>0</v>
      </c>
    </row>
    <row r="648" spans="1:14" x14ac:dyDescent="0.25">
      <c r="A648">
        <v>353.94016900000003</v>
      </c>
      <c r="B648" s="1">
        <f>DATE(2011,4,19) + TIME(22,33,50)</f>
        <v>40652.940162037034</v>
      </c>
      <c r="C648">
        <v>80</v>
      </c>
      <c r="D648">
        <v>53.134326934999997</v>
      </c>
      <c r="E648">
        <v>50</v>
      </c>
      <c r="F648">
        <v>49.954185486</v>
      </c>
      <c r="G648">
        <v>1279.7897949000001</v>
      </c>
      <c r="H648">
        <v>1259.3880615</v>
      </c>
      <c r="I648">
        <v>1395.1773682</v>
      </c>
      <c r="J648">
        <v>1375.7045897999999</v>
      </c>
      <c r="K648">
        <v>0</v>
      </c>
      <c r="L648">
        <v>2400</v>
      </c>
      <c r="M648">
        <v>2400</v>
      </c>
      <c r="N648">
        <v>0</v>
      </c>
    </row>
    <row r="649" spans="1:14" x14ac:dyDescent="0.25">
      <c r="A649">
        <v>356.7894</v>
      </c>
      <c r="B649" s="1">
        <f>DATE(2011,4,22) + TIME(18,56,44)</f>
        <v>40655.789398148147</v>
      </c>
      <c r="C649">
        <v>80</v>
      </c>
      <c r="D649">
        <v>52.426494597999998</v>
      </c>
      <c r="E649">
        <v>50</v>
      </c>
      <c r="F649">
        <v>49.954364777000002</v>
      </c>
      <c r="G649">
        <v>1279.2828368999999</v>
      </c>
      <c r="H649">
        <v>1258.5895995999999</v>
      </c>
      <c r="I649">
        <v>1395.1163329999999</v>
      </c>
      <c r="J649">
        <v>1375.6469727000001</v>
      </c>
      <c r="K649">
        <v>0</v>
      </c>
      <c r="L649">
        <v>2400</v>
      </c>
      <c r="M649">
        <v>2400</v>
      </c>
      <c r="N649">
        <v>0</v>
      </c>
    </row>
    <row r="650" spans="1:14" x14ac:dyDescent="0.25">
      <c r="A650">
        <v>359.68681199999997</v>
      </c>
      <c r="B650" s="1">
        <f>DATE(2011,4,25) + TIME(16,29,0)</f>
        <v>40658.686805555553</v>
      </c>
      <c r="C650">
        <v>80</v>
      </c>
      <c r="D650">
        <v>51.705307007000002</v>
      </c>
      <c r="E650">
        <v>50</v>
      </c>
      <c r="F650">
        <v>49.954544067</v>
      </c>
      <c r="G650">
        <v>1278.7731934000001</v>
      </c>
      <c r="H650">
        <v>1257.7825928</v>
      </c>
      <c r="I650">
        <v>1395.0545654</v>
      </c>
      <c r="J650">
        <v>1375.5887451000001</v>
      </c>
      <c r="K650">
        <v>0</v>
      </c>
      <c r="L650">
        <v>2400</v>
      </c>
      <c r="M650">
        <v>2400</v>
      </c>
      <c r="N650">
        <v>0</v>
      </c>
    </row>
    <row r="651" spans="1:14" x14ac:dyDescent="0.25">
      <c r="A651">
        <v>362.624685</v>
      </c>
      <c r="B651" s="1">
        <f>DATE(2011,4,28) + TIME(14,59,32)</f>
        <v>40661.624675925923</v>
      </c>
      <c r="C651">
        <v>80</v>
      </c>
      <c r="D651">
        <v>50.971740723000003</v>
      </c>
      <c r="E651">
        <v>50</v>
      </c>
      <c r="F651">
        <v>49.954727173000002</v>
      </c>
      <c r="G651">
        <v>1278.2612305</v>
      </c>
      <c r="H651">
        <v>1256.9677733999999</v>
      </c>
      <c r="I651">
        <v>1394.9920654</v>
      </c>
      <c r="J651">
        <v>1375.5296631000001</v>
      </c>
      <c r="K651">
        <v>0</v>
      </c>
      <c r="L651">
        <v>2400</v>
      </c>
      <c r="M651">
        <v>2400</v>
      </c>
      <c r="N651">
        <v>0</v>
      </c>
    </row>
    <row r="652" spans="1:14" x14ac:dyDescent="0.25">
      <c r="A652">
        <v>365</v>
      </c>
      <c r="B652" s="1">
        <f>DATE(2011,5,1) + TIME(0,0,0)</f>
        <v>40664</v>
      </c>
      <c r="C652">
        <v>80</v>
      </c>
      <c r="D652">
        <v>50.264396667</v>
      </c>
      <c r="E652">
        <v>50</v>
      </c>
      <c r="F652">
        <v>49.954868316999999</v>
      </c>
      <c r="G652">
        <v>1277.7507324000001</v>
      </c>
      <c r="H652">
        <v>1256.1639404</v>
      </c>
      <c r="I652">
        <v>1394.9287108999999</v>
      </c>
      <c r="J652">
        <v>1375.4697266000001</v>
      </c>
      <c r="K652">
        <v>0</v>
      </c>
      <c r="L652">
        <v>2400</v>
      </c>
      <c r="M652">
        <v>2400</v>
      </c>
      <c r="N652">
        <v>0</v>
      </c>
    </row>
    <row r="653" spans="1:14" x14ac:dyDescent="0.25">
      <c r="A653">
        <v>365.000001</v>
      </c>
      <c r="B653" s="1">
        <f>DATE(2011,5,1) + TIME(0,0,0)</f>
        <v>40664</v>
      </c>
      <c r="C653">
        <v>80</v>
      </c>
      <c r="D653">
        <v>50.264564514</v>
      </c>
      <c r="E653">
        <v>50</v>
      </c>
      <c r="F653">
        <v>49.954757690000001</v>
      </c>
      <c r="G653">
        <v>1301.0939940999999</v>
      </c>
      <c r="H653">
        <v>1278.7563477000001</v>
      </c>
      <c r="I653">
        <v>1374.5954589999999</v>
      </c>
      <c r="J653">
        <v>1355.7109375</v>
      </c>
      <c r="K653">
        <v>2400</v>
      </c>
      <c r="L653">
        <v>0</v>
      </c>
      <c r="M653">
        <v>0</v>
      </c>
      <c r="N653">
        <v>2400</v>
      </c>
    </row>
    <row r="654" spans="1:14" x14ac:dyDescent="0.25">
      <c r="A654">
        <v>365.00000399999999</v>
      </c>
      <c r="B654" s="1">
        <f>DATE(2011,5,1) + TIME(0,0,0)</f>
        <v>40664</v>
      </c>
      <c r="C654">
        <v>80</v>
      </c>
      <c r="D654">
        <v>50.265022278000004</v>
      </c>
      <c r="E654">
        <v>50</v>
      </c>
      <c r="F654">
        <v>49.954463959000002</v>
      </c>
      <c r="G654">
        <v>1303.4973144999999</v>
      </c>
      <c r="H654">
        <v>1281.4248047000001</v>
      </c>
      <c r="I654">
        <v>1372.2634277</v>
      </c>
      <c r="J654">
        <v>1353.3778076000001</v>
      </c>
      <c r="K654">
        <v>2400</v>
      </c>
      <c r="L654">
        <v>0</v>
      </c>
      <c r="M654">
        <v>0</v>
      </c>
      <c r="N654">
        <v>2400</v>
      </c>
    </row>
    <row r="655" spans="1:14" x14ac:dyDescent="0.25">
      <c r="A655">
        <v>365.00001300000002</v>
      </c>
      <c r="B655" s="1">
        <f>DATE(2011,5,1) + TIME(0,0,1)</f>
        <v>40664.000011574077</v>
      </c>
      <c r="C655">
        <v>80</v>
      </c>
      <c r="D655">
        <v>50.266128539999997</v>
      </c>
      <c r="E655">
        <v>50</v>
      </c>
      <c r="F655">
        <v>49.953804015999999</v>
      </c>
      <c r="G655">
        <v>1309.0318603999999</v>
      </c>
      <c r="H655">
        <v>1287.3603516000001</v>
      </c>
      <c r="I655">
        <v>1367.0317382999999</v>
      </c>
      <c r="J655">
        <v>1348.1444091999999</v>
      </c>
      <c r="K655">
        <v>2400</v>
      </c>
      <c r="L655">
        <v>0</v>
      </c>
      <c r="M655">
        <v>0</v>
      </c>
      <c r="N655">
        <v>2400</v>
      </c>
    </row>
    <row r="656" spans="1:14" x14ac:dyDescent="0.25">
      <c r="A656">
        <v>365.00004000000001</v>
      </c>
      <c r="B656" s="1">
        <f>DATE(2011,5,1) + TIME(0,0,3)</f>
        <v>40664.000034722223</v>
      </c>
      <c r="C656">
        <v>80</v>
      </c>
      <c r="D656">
        <v>50.268451691000003</v>
      </c>
      <c r="E656">
        <v>50</v>
      </c>
      <c r="F656">
        <v>49.952701568999998</v>
      </c>
      <c r="G656">
        <v>1318.6634521000001</v>
      </c>
      <c r="H656">
        <v>1297.2215576000001</v>
      </c>
      <c r="I656">
        <v>1358.2862548999999</v>
      </c>
      <c r="J656">
        <v>1339.4006348</v>
      </c>
      <c r="K656">
        <v>2400</v>
      </c>
      <c r="L656">
        <v>0</v>
      </c>
      <c r="M656">
        <v>0</v>
      </c>
      <c r="N656">
        <v>2400</v>
      </c>
    </row>
    <row r="657" spans="1:14" x14ac:dyDescent="0.25">
      <c r="A657">
        <v>365.00012099999998</v>
      </c>
      <c r="B657" s="1">
        <f>DATE(2011,5,1) + TIME(0,0,10)</f>
        <v>40664.000115740739</v>
      </c>
      <c r="C657">
        <v>80</v>
      </c>
      <c r="D657">
        <v>50.273235321000001</v>
      </c>
      <c r="E657">
        <v>50</v>
      </c>
      <c r="F657">
        <v>49.951343536000003</v>
      </c>
      <c r="G657">
        <v>1330.8778076000001</v>
      </c>
      <c r="H657">
        <v>1309.3504639</v>
      </c>
      <c r="I657">
        <v>1347.605957</v>
      </c>
      <c r="J657">
        <v>1328.7292480000001</v>
      </c>
      <c r="K657">
        <v>2400</v>
      </c>
      <c r="L657">
        <v>0</v>
      </c>
      <c r="M657">
        <v>0</v>
      </c>
      <c r="N657">
        <v>2400</v>
      </c>
    </row>
    <row r="658" spans="1:14" x14ac:dyDescent="0.25">
      <c r="A658">
        <v>365.00036399999999</v>
      </c>
      <c r="B658" s="1">
        <f>DATE(2011,5,1) + TIME(0,0,31)</f>
        <v>40664.000358796293</v>
      </c>
      <c r="C658">
        <v>80</v>
      </c>
      <c r="D658">
        <v>50.284671783</v>
      </c>
      <c r="E658">
        <v>50</v>
      </c>
      <c r="F658">
        <v>49.949909210000001</v>
      </c>
      <c r="G658">
        <v>1343.7944336</v>
      </c>
      <c r="H658">
        <v>1322.1109618999999</v>
      </c>
      <c r="I658">
        <v>1336.6035156</v>
      </c>
      <c r="J658">
        <v>1317.7436522999999</v>
      </c>
      <c r="K658">
        <v>2400</v>
      </c>
      <c r="L658">
        <v>0</v>
      </c>
      <c r="M658">
        <v>0</v>
      </c>
      <c r="N658">
        <v>2400</v>
      </c>
    </row>
    <row r="659" spans="1:14" x14ac:dyDescent="0.25">
      <c r="A659">
        <v>365.00109300000003</v>
      </c>
      <c r="B659" s="1">
        <f>DATE(2011,5,1) + TIME(0,1,34)</f>
        <v>40664.001087962963</v>
      </c>
      <c r="C659">
        <v>80</v>
      </c>
      <c r="D659">
        <v>50.315994263</v>
      </c>
      <c r="E659">
        <v>50</v>
      </c>
      <c r="F659">
        <v>49.948371887</v>
      </c>
      <c r="G659">
        <v>1357.1588135</v>
      </c>
      <c r="H659">
        <v>1335.3381348</v>
      </c>
      <c r="I659">
        <v>1325.5780029</v>
      </c>
      <c r="J659">
        <v>1306.7395019999999</v>
      </c>
      <c r="K659">
        <v>2400</v>
      </c>
      <c r="L659">
        <v>0</v>
      </c>
      <c r="M659">
        <v>0</v>
      </c>
      <c r="N659">
        <v>2400</v>
      </c>
    </row>
    <row r="660" spans="1:14" x14ac:dyDescent="0.25">
      <c r="A660">
        <v>365.00328000000002</v>
      </c>
      <c r="B660" s="1">
        <f>DATE(2011,5,1) + TIME(0,4,43)</f>
        <v>40664.003275462965</v>
      </c>
      <c r="C660">
        <v>80</v>
      </c>
      <c r="D660">
        <v>50.407051086000003</v>
      </c>
      <c r="E660">
        <v>50</v>
      </c>
      <c r="F660">
        <v>49.946498871000003</v>
      </c>
      <c r="G660">
        <v>1371.4045410000001</v>
      </c>
      <c r="H660">
        <v>1349.4729004000001</v>
      </c>
      <c r="I660">
        <v>1314.2576904</v>
      </c>
      <c r="J660">
        <v>1295.4180908000001</v>
      </c>
      <c r="K660">
        <v>2400</v>
      </c>
      <c r="L660">
        <v>0</v>
      </c>
      <c r="M660">
        <v>0</v>
      </c>
      <c r="N660">
        <v>2400</v>
      </c>
    </row>
    <row r="661" spans="1:14" x14ac:dyDescent="0.25">
      <c r="A661">
        <v>365.00984099999999</v>
      </c>
      <c r="B661" s="1">
        <f>DATE(2011,5,1) + TIME(0,14,10)</f>
        <v>40664.009837962964</v>
      </c>
      <c r="C661">
        <v>80</v>
      </c>
      <c r="D661">
        <v>50.675838470000002</v>
      </c>
      <c r="E661">
        <v>50</v>
      </c>
      <c r="F661">
        <v>49.943675995</v>
      </c>
      <c r="G661">
        <v>1385.8986815999999</v>
      </c>
      <c r="H661">
        <v>1363.9354248</v>
      </c>
      <c r="I661">
        <v>1302.5489502</v>
      </c>
      <c r="J661">
        <v>1283.6717529</v>
      </c>
      <c r="K661">
        <v>2400</v>
      </c>
      <c r="L661">
        <v>0</v>
      </c>
      <c r="M661">
        <v>0</v>
      </c>
      <c r="N661">
        <v>2400</v>
      </c>
    </row>
    <row r="662" spans="1:14" x14ac:dyDescent="0.25">
      <c r="A662">
        <v>365.02952399999998</v>
      </c>
      <c r="B662" s="1">
        <f>DATE(2011,5,1) + TIME(0,42,30)</f>
        <v>40664.029513888891</v>
      </c>
      <c r="C662">
        <v>80</v>
      </c>
      <c r="D662">
        <v>51.459911345999998</v>
      </c>
      <c r="E662">
        <v>50</v>
      </c>
      <c r="F662">
        <v>49.93844223</v>
      </c>
      <c r="G662">
        <v>1397.4812012</v>
      </c>
      <c r="H662">
        <v>1375.7148437999999</v>
      </c>
      <c r="I662">
        <v>1292.6602783000001</v>
      </c>
      <c r="J662">
        <v>1273.7478027</v>
      </c>
      <c r="K662">
        <v>2400</v>
      </c>
      <c r="L662">
        <v>0</v>
      </c>
      <c r="M662">
        <v>0</v>
      </c>
      <c r="N662">
        <v>2400</v>
      </c>
    </row>
    <row r="663" spans="1:14" x14ac:dyDescent="0.25">
      <c r="A663">
        <v>365.05155400000001</v>
      </c>
      <c r="B663" s="1">
        <f>DATE(2011,5,1) + TIME(1,14,14)</f>
        <v>40664.051550925928</v>
      </c>
      <c r="C663">
        <v>80</v>
      </c>
      <c r="D663">
        <v>52.312160491999997</v>
      </c>
      <c r="E663">
        <v>50</v>
      </c>
      <c r="F663">
        <v>49.933532714999998</v>
      </c>
      <c r="G663">
        <v>1401.7429199000001</v>
      </c>
      <c r="H663">
        <v>1380.2363281</v>
      </c>
      <c r="I663">
        <v>1288.979126</v>
      </c>
      <c r="J663">
        <v>1270.0552978999999</v>
      </c>
      <c r="K663">
        <v>2400</v>
      </c>
      <c r="L663">
        <v>0</v>
      </c>
      <c r="M663">
        <v>0</v>
      </c>
      <c r="N663">
        <v>2400</v>
      </c>
    </row>
    <row r="664" spans="1:14" x14ac:dyDescent="0.25">
      <c r="A664">
        <v>365.07406600000002</v>
      </c>
      <c r="B664" s="1">
        <f>DATE(2011,5,1) + TIME(1,46,39)</f>
        <v>40664.074062500003</v>
      </c>
      <c r="C664">
        <v>80</v>
      </c>
      <c r="D664">
        <v>53.157505035</v>
      </c>
      <c r="E664">
        <v>50</v>
      </c>
      <c r="F664">
        <v>49.928855896000002</v>
      </c>
      <c r="G664">
        <v>1403.2902832</v>
      </c>
      <c r="H664">
        <v>1382.0507812000001</v>
      </c>
      <c r="I664">
        <v>1287.6549072</v>
      </c>
      <c r="J664">
        <v>1268.7270507999999</v>
      </c>
      <c r="K664">
        <v>2400</v>
      </c>
      <c r="L664">
        <v>0</v>
      </c>
      <c r="M664">
        <v>0</v>
      </c>
      <c r="N664">
        <v>2400</v>
      </c>
    </row>
    <row r="665" spans="1:14" x14ac:dyDescent="0.25">
      <c r="A665">
        <v>365.097039</v>
      </c>
      <c r="B665" s="1">
        <f>DATE(2011,5,1) + TIME(2,19,44)</f>
        <v>40664.097037037034</v>
      </c>
      <c r="C665">
        <v>80</v>
      </c>
      <c r="D665">
        <v>53.994289397999999</v>
      </c>
      <c r="E665">
        <v>50</v>
      </c>
      <c r="F665">
        <v>49.924228667999998</v>
      </c>
      <c r="G665">
        <v>1403.7821045000001</v>
      </c>
      <c r="H665">
        <v>1382.8060303</v>
      </c>
      <c r="I665">
        <v>1287.1998291</v>
      </c>
      <c r="J665">
        <v>1268.2701416</v>
      </c>
      <c r="K665">
        <v>2400</v>
      </c>
      <c r="L665">
        <v>0</v>
      </c>
      <c r="M665">
        <v>0</v>
      </c>
      <c r="N665">
        <v>2400</v>
      </c>
    </row>
    <row r="666" spans="1:14" x14ac:dyDescent="0.25">
      <c r="A666">
        <v>365.12047100000001</v>
      </c>
      <c r="B666" s="1">
        <f>DATE(2011,5,1) + TIME(2,53,28)</f>
        <v>40664.120462962965</v>
      </c>
      <c r="C666">
        <v>80</v>
      </c>
      <c r="D666">
        <v>54.821598053000002</v>
      </c>
      <c r="E666">
        <v>50</v>
      </c>
      <c r="F666">
        <v>49.919589995999999</v>
      </c>
      <c r="G666">
        <v>1403.8225098</v>
      </c>
      <c r="H666">
        <v>1383.1022949000001</v>
      </c>
      <c r="I666">
        <v>1287.0689697</v>
      </c>
      <c r="J666">
        <v>1268.1383057</v>
      </c>
      <c r="K666">
        <v>2400</v>
      </c>
      <c r="L666">
        <v>0</v>
      </c>
      <c r="M666">
        <v>0</v>
      </c>
      <c r="N666">
        <v>2400</v>
      </c>
    </row>
    <row r="667" spans="1:14" x14ac:dyDescent="0.25">
      <c r="A667">
        <v>365.14434799999998</v>
      </c>
      <c r="B667" s="1">
        <f>DATE(2011,5,1) + TIME(3,27,51)</f>
        <v>40664.14434027778</v>
      </c>
      <c r="C667">
        <v>80</v>
      </c>
      <c r="D667">
        <v>55.638236999999997</v>
      </c>
      <c r="E667">
        <v>50</v>
      </c>
      <c r="F667">
        <v>49.914916992000002</v>
      </c>
      <c r="G667">
        <v>1403.6604004000001</v>
      </c>
      <c r="H667">
        <v>1383.1872559000001</v>
      </c>
      <c r="I667">
        <v>1287.052124</v>
      </c>
      <c r="J667">
        <v>1268.1207274999999</v>
      </c>
      <c r="K667">
        <v>2400</v>
      </c>
      <c r="L667">
        <v>0</v>
      </c>
      <c r="M667">
        <v>0</v>
      </c>
      <c r="N667">
        <v>2400</v>
      </c>
    </row>
    <row r="668" spans="1:14" x14ac:dyDescent="0.25">
      <c r="A668">
        <v>365.16868799999997</v>
      </c>
      <c r="B668" s="1">
        <f>DATE(2011,5,1) + TIME(4,2,54)</f>
        <v>40664.168680555558</v>
      </c>
      <c r="C668">
        <v>80</v>
      </c>
      <c r="D668">
        <v>56.444164276000002</v>
      </c>
      <c r="E668">
        <v>50</v>
      </c>
      <c r="F668">
        <v>49.910198211999997</v>
      </c>
      <c r="G668">
        <v>1403.4063721</v>
      </c>
      <c r="H668">
        <v>1383.1711425999999</v>
      </c>
      <c r="I668">
        <v>1287.0688477000001</v>
      </c>
      <c r="J668">
        <v>1268.1369629000001</v>
      </c>
      <c r="K668">
        <v>2400</v>
      </c>
      <c r="L668">
        <v>0</v>
      </c>
      <c r="M668">
        <v>0</v>
      </c>
      <c r="N668">
        <v>2400</v>
      </c>
    </row>
    <row r="669" spans="1:14" x14ac:dyDescent="0.25">
      <c r="A669">
        <v>365.19351399999999</v>
      </c>
      <c r="B669" s="1">
        <f>DATE(2011,5,1) + TIME(4,38,39)</f>
        <v>40664.193506944444</v>
      </c>
      <c r="C669">
        <v>80</v>
      </c>
      <c r="D669">
        <v>57.239379882999998</v>
      </c>
      <c r="E669">
        <v>50</v>
      </c>
      <c r="F669">
        <v>49.905426024999997</v>
      </c>
      <c r="G669">
        <v>1403.1116943</v>
      </c>
      <c r="H669">
        <v>1383.1058350000001</v>
      </c>
      <c r="I669">
        <v>1287.0906981999999</v>
      </c>
      <c r="J669">
        <v>1268.1583252</v>
      </c>
      <c r="K669">
        <v>2400</v>
      </c>
      <c r="L669">
        <v>0</v>
      </c>
      <c r="M669">
        <v>0</v>
      </c>
      <c r="N669">
        <v>2400</v>
      </c>
    </row>
    <row r="670" spans="1:14" x14ac:dyDescent="0.25">
      <c r="A670">
        <v>365.21884799999998</v>
      </c>
      <c r="B670" s="1">
        <f>DATE(2011,5,1) + TIME(5,15,8)</f>
        <v>40664.218842592592</v>
      </c>
      <c r="C670">
        <v>80</v>
      </c>
      <c r="D670">
        <v>58.023891448999997</v>
      </c>
      <c r="E670">
        <v>50</v>
      </c>
      <c r="F670">
        <v>49.900596618999998</v>
      </c>
      <c r="G670">
        <v>1402.8013916</v>
      </c>
      <c r="H670">
        <v>1383.0163574000001</v>
      </c>
      <c r="I670">
        <v>1287.1090088000001</v>
      </c>
      <c r="J670">
        <v>1268.1761475000001</v>
      </c>
      <c r="K670">
        <v>2400</v>
      </c>
      <c r="L670">
        <v>0</v>
      </c>
      <c r="M670">
        <v>0</v>
      </c>
      <c r="N670">
        <v>2400</v>
      </c>
    </row>
    <row r="671" spans="1:14" x14ac:dyDescent="0.25">
      <c r="A671">
        <v>365.24471699999998</v>
      </c>
      <c r="B671" s="1">
        <f>DATE(2011,5,1) + TIME(5,52,23)</f>
        <v>40664.244710648149</v>
      </c>
      <c r="C671">
        <v>80</v>
      </c>
      <c r="D671">
        <v>58.797702788999999</v>
      </c>
      <c r="E671">
        <v>50</v>
      </c>
      <c r="F671">
        <v>49.895706177000001</v>
      </c>
      <c r="G671">
        <v>1402.4876709</v>
      </c>
      <c r="H671">
        <v>1382.9154053</v>
      </c>
      <c r="I671">
        <v>1287.1221923999999</v>
      </c>
      <c r="J671">
        <v>1268.1888428</v>
      </c>
      <c r="K671">
        <v>2400</v>
      </c>
      <c r="L671">
        <v>0</v>
      </c>
      <c r="M671">
        <v>0</v>
      </c>
      <c r="N671">
        <v>2400</v>
      </c>
    </row>
    <row r="672" spans="1:14" x14ac:dyDescent="0.25">
      <c r="A672">
        <v>365.27114699999998</v>
      </c>
      <c r="B672" s="1">
        <f>DATE(2011,5,1) + TIME(6,30,27)</f>
        <v>40664.271145833336</v>
      </c>
      <c r="C672">
        <v>80</v>
      </c>
      <c r="D672">
        <v>59.560817718999999</v>
      </c>
      <c r="E672">
        <v>50</v>
      </c>
      <c r="F672">
        <v>49.890754700000002</v>
      </c>
      <c r="G672">
        <v>1402.1767577999999</v>
      </c>
      <c r="H672">
        <v>1382.8095702999999</v>
      </c>
      <c r="I672">
        <v>1287.1309814000001</v>
      </c>
      <c r="J672">
        <v>1268.1971435999999</v>
      </c>
      <c r="K672">
        <v>2400</v>
      </c>
      <c r="L672">
        <v>0</v>
      </c>
      <c r="M672">
        <v>0</v>
      </c>
      <c r="N672">
        <v>2400</v>
      </c>
    </row>
    <row r="673" spans="1:14" x14ac:dyDescent="0.25">
      <c r="A673">
        <v>365.29816899999997</v>
      </c>
      <c r="B673" s="1">
        <f>DATE(2011,5,1) + TIME(7,9,21)</f>
        <v>40664.298159722224</v>
      </c>
      <c r="C673">
        <v>80</v>
      </c>
      <c r="D673">
        <v>60.312995911000002</v>
      </c>
      <c r="E673">
        <v>50</v>
      </c>
      <c r="F673">
        <v>49.885730743000003</v>
      </c>
      <c r="G673">
        <v>1401.8720702999999</v>
      </c>
      <c r="H673">
        <v>1382.7022704999999</v>
      </c>
      <c r="I673">
        <v>1287.1365966999999</v>
      </c>
      <c r="J673">
        <v>1268.2022704999999</v>
      </c>
      <c r="K673">
        <v>2400</v>
      </c>
      <c r="L673">
        <v>0</v>
      </c>
      <c r="M673">
        <v>0</v>
      </c>
      <c r="N673">
        <v>2400</v>
      </c>
    </row>
    <row r="674" spans="1:14" x14ac:dyDescent="0.25">
      <c r="A674">
        <v>365.32581099999999</v>
      </c>
      <c r="B674" s="1">
        <f>DATE(2011,5,1) + TIME(7,49,10)</f>
        <v>40664.325810185182</v>
      </c>
      <c r="C674">
        <v>80</v>
      </c>
      <c r="D674">
        <v>61.054046630999999</v>
      </c>
      <c r="E674">
        <v>50</v>
      </c>
      <c r="F674">
        <v>49.880638122999997</v>
      </c>
      <c r="G674">
        <v>1401.5749512</v>
      </c>
      <c r="H674">
        <v>1382.5955810999999</v>
      </c>
      <c r="I674">
        <v>1287.1400146000001</v>
      </c>
      <c r="J674">
        <v>1268.2052002</v>
      </c>
      <c r="K674">
        <v>2400</v>
      </c>
      <c r="L674">
        <v>0</v>
      </c>
      <c r="M674">
        <v>0</v>
      </c>
      <c r="N674">
        <v>2400</v>
      </c>
    </row>
    <row r="675" spans="1:14" x14ac:dyDescent="0.25">
      <c r="A675">
        <v>365.354105</v>
      </c>
      <c r="B675" s="1">
        <f>DATE(2011,5,1) + TIME(8,29,54)</f>
        <v>40664.354097222225</v>
      </c>
      <c r="C675">
        <v>80</v>
      </c>
      <c r="D675">
        <v>61.784217834000003</v>
      </c>
      <c r="E675">
        <v>50</v>
      </c>
      <c r="F675">
        <v>49.875473022000001</v>
      </c>
      <c r="G675">
        <v>1401.2863769999999</v>
      </c>
      <c r="H675">
        <v>1382.4903564000001</v>
      </c>
      <c r="I675">
        <v>1287.1420897999999</v>
      </c>
      <c r="J675">
        <v>1268.2067870999999</v>
      </c>
      <c r="K675">
        <v>2400</v>
      </c>
      <c r="L675">
        <v>0</v>
      </c>
      <c r="M675">
        <v>0</v>
      </c>
      <c r="N675">
        <v>2400</v>
      </c>
    </row>
    <row r="676" spans="1:14" x14ac:dyDescent="0.25">
      <c r="A676">
        <v>365.38309099999998</v>
      </c>
      <c r="B676" s="1">
        <f>DATE(2011,5,1) + TIME(9,11,39)</f>
        <v>40664.383090277777</v>
      </c>
      <c r="C676">
        <v>80</v>
      </c>
      <c r="D676">
        <v>62.503559113000001</v>
      </c>
      <c r="E676">
        <v>50</v>
      </c>
      <c r="F676">
        <v>49.870223998999997</v>
      </c>
      <c r="G676">
        <v>1401.0063477000001</v>
      </c>
      <c r="H676">
        <v>1382.3873291</v>
      </c>
      <c r="I676">
        <v>1287.1433105000001</v>
      </c>
      <c r="J676">
        <v>1268.2075195</v>
      </c>
      <c r="K676">
        <v>2400</v>
      </c>
      <c r="L676">
        <v>0</v>
      </c>
      <c r="M676">
        <v>0</v>
      </c>
      <c r="N676">
        <v>2400</v>
      </c>
    </row>
    <row r="677" spans="1:14" x14ac:dyDescent="0.25">
      <c r="A677">
        <v>365.41280799999998</v>
      </c>
      <c r="B677" s="1">
        <f>DATE(2011,5,1) + TIME(9,54,26)</f>
        <v>40664.412800925929</v>
      </c>
      <c r="C677">
        <v>80</v>
      </c>
      <c r="D677">
        <v>63.212009430000002</v>
      </c>
      <c r="E677">
        <v>50</v>
      </c>
      <c r="F677">
        <v>49.864891051999997</v>
      </c>
      <c r="G677">
        <v>1400.7348632999999</v>
      </c>
      <c r="H677">
        <v>1382.286499</v>
      </c>
      <c r="I677">
        <v>1287.1439209</v>
      </c>
      <c r="J677">
        <v>1268.2075195</v>
      </c>
      <c r="K677">
        <v>2400</v>
      </c>
      <c r="L677">
        <v>0</v>
      </c>
      <c r="M677">
        <v>0</v>
      </c>
      <c r="N677">
        <v>2400</v>
      </c>
    </row>
    <row r="678" spans="1:14" x14ac:dyDescent="0.25">
      <c r="A678">
        <v>365.44329800000003</v>
      </c>
      <c r="B678" s="1">
        <f>DATE(2011,5,1) + TIME(10,38,20)</f>
        <v>40664.443287037036</v>
      </c>
      <c r="C678">
        <v>80</v>
      </c>
      <c r="D678">
        <v>63.909496306999998</v>
      </c>
      <c r="E678">
        <v>50</v>
      </c>
      <c r="F678">
        <v>49.859466552999997</v>
      </c>
      <c r="G678">
        <v>1400.4718018000001</v>
      </c>
      <c r="H678">
        <v>1382.1878661999999</v>
      </c>
      <c r="I678">
        <v>1287.1441649999999</v>
      </c>
      <c r="J678">
        <v>1268.2072754000001</v>
      </c>
      <c r="K678">
        <v>2400</v>
      </c>
      <c r="L678">
        <v>0</v>
      </c>
      <c r="M678">
        <v>0</v>
      </c>
      <c r="N678">
        <v>2400</v>
      </c>
    </row>
    <row r="679" spans="1:14" x14ac:dyDescent="0.25">
      <c r="A679">
        <v>365.47460699999999</v>
      </c>
      <c r="B679" s="1">
        <f>DATE(2011,5,1) + TIME(11,23,26)</f>
        <v>40664.474606481483</v>
      </c>
      <c r="C679">
        <v>80</v>
      </c>
      <c r="D679">
        <v>64.595932007000002</v>
      </c>
      <c r="E679">
        <v>50</v>
      </c>
      <c r="F679">
        <v>49.853946686</v>
      </c>
      <c r="G679">
        <v>1400.2166748</v>
      </c>
      <c r="H679">
        <v>1382.0916748</v>
      </c>
      <c r="I679">
        <v>1287.1441649999999</v>
      </c>
      <c r="J679">
        <v>1268.2066649999999</v>
      </c>
      <c r="K679">
        <v>2400</v>
      </c>
      <c r="L679">
        <v>0</v>
      </c>
      <c r="M679">
        <v>0</v>
      </c>
      <c r="N679">
        <v>2400</v>
      </c>
    </row>
    <row r="680" spans="1:14" x14ac:dyDescent="0.25">
      <c r="A680">
        <v>365.50678299999998</v>
      </c>
      <c r="B680" s="1">
        <f>DATE(2011,5,1) + TIME(12,9,46)</f>
        <v>40664.506782407407</v>
      </c>
      <c r="C680">
        <v>80</v>
      </c>
      <c r="D680">
        <v>65.271293639999996</v>
      </c>
      <c r="E680">
        <v>50</v>
      </c>
      <c r="F680">
        <v>49.848323821999998</v>
      </c>
      <c r="G680">
        <v>1399.9693603999999</v>
      </c>
      <c r="H680">
        <v>1381.9975586</v>
      </c>
      <c r="I680">
        <v>1287.1439209</v>
      </c>
      <c r="J680">
        <v>1268.2059326000001</v>
      </c>
      <c r="K680">
        <v>2400</v>
      </c>
      <c r="L680">
        <v>0</v>
      </c>
      <c r="M680">
        <v>0</v>
      </c>
      <c r="N680">
        <v>2400</v>
      </c>
    </row>
    <row r="681" spans="1:14" x14ac:dyDescent="0.25">
      <c r="A681">
        <v>365.53987999999998</v>
      </c>
      <c r="B681" s="1">
        <f>DATE(2011,5,1) + TIME(12,57,25)</f>
        <v>40664.539872685185</v>
      </c>
      <c r="C681">
        <v>80</v>
      </c>
      <c r="D681">
        <v>65.935493468999994</v>
      </c>
      <c r="E681">
        <v>50</v>
      </c>
      <c r="F681">
        <v>49.842590332</v>
      </c>
      <c r="G681">
        <v>1399.7294922000001</v>
      </c>
      <c r="H681">
        <v>1381.9053954999999</v>
      </c>
      <c r="I681">
        <v>1287.1435547000001</v>
      </c>
      <c r="J681">
        <v>1268.2050781</v>
      </c>
      <c r="K681">
        <v>2400</v>
      </c>
      <c r="L681">
        <v>0</v>
      </c>
      <c r="M681">
        <v>0</v>
      </c>
      <c r="N681">
        <v>2400</v>
      </c>
    </row>
    <row r="682" spans="1:14" x14ac:dyDescent="0.25">
      <c r="A682">
        <v>365.57395600000001</v>
      </c>
      <c r="B682" s="1">
        <f>DATE(2011,5,1) + TIME(13,46,29)</f>
        <v>40664.573946759258</v>
      </c>
      <c r="C682">
        <v>80</v>
      </c>
      <c r="D682">
        <v>66.588317871000001</v>
      </c>
      <c r="E682">
        <v>50</v>
      </c>
      <c r="F682">
        <v>49.836742401000002</v>
      </c>
      <c r="G682">
        <v>1399.4967041</v>
      </c>
      <c r="H682">
        <v>1381.8151855000001</v>
      </c>
      <c r="I682">
        <v>1287.1431885</v>
      </c>
      <c r="J682">
        <v>1268.2041016000001</v>
      </c>
      <c r="K682">
        <v>2400</v>
      </c>
      <c r="L682">
        <v>0</v>
      </c>
      <c r="M682">
        <v>0</v>
      </c>
      <c r="N682">
        <v>2400</v>
      </c>
    </row>
    <row r="683" spans="1:14" x14ac:dyDescent="0.25">
      <c r="A683">
        <v>365.60907500000002</v>
      </c>
      <c r="B683" s="1">
        <f>DATE(2011,5,1) + TIME(14,37,4)</f>
        <v>40664.609074074076</v>
      </c>
      <c r="C683">
        <v>80</v>
      </c>
      <c r="D683">
        <v>67.229629517000006</v>
      </c>
      <c r="E683">
        <v>50</v>
      </c>
      <c r="F683">
        <v>49.830768585000001</v>
      </c>
      <c r="G683">
        <v>1399.2705077999999</v>
      </c>
      <c r="H683">
        <v>1381.7266846</v>
      </c>
      <c r="I683">
        <v>1287.1427002</v>
      </c>
      <c r="J683">
        <v>1268.2030029</v>
      </c>
      <c r="K683">
        <v>2400</v>
      </c>
      <c r="L683">
        <v>0</v>
      </c>
      <c r="M683">
        <v>0</v>
      </c>
      <c r="N683">
        <v>2400</v>
      </c>
    </row>
    <row r="684" spans="1:14" x14ac:dyDescent="0.25">
      <c r="A684">
        <v>365.645308</v>
      </c>
      <c r="B684" s="1">
        <f>DATE(2011,5,1) + TIME(15,29,14)</f>
        <v>40664.645300925928</v>
      </c>
      <c r="C684">
        <v>80</v>
      </c>
      <c r="D684">
        <v>67.859321593999994</v>
      </c>
      <c r="E684">
        <v>50</v>
      </c>
      <c r="F684">
        <v>49.824661255000002</v>
      </c>
      <c r="G684">
        <v>1399.0507812000001</v>
      </c>
      <c r="H684">
        <v>1381.6397704999999</v>
      </c>
      <c r="I684">
        <v>1287.1420897999999</v>
      </c>
      <c r="J684">
        <v>1268.2019043</v>
      </c>
      <c r="K684">
        <v>2400</v>
      </c>
      <c r="L684">
        <v>0</v>
      </c>
      <c r="M684">
        <v>0</v>
      </c>
      <c r="N684">
        <v>2400</v>
      </c>
    </row>
    <row r="685" spans="1:14" x14ac:dyDescent="0.25">
      <c r="A685">
        <v>365.68274400000001</v>
      </c>
      <c r="B685" s="1">
        <f>DATE(2011,5,1) + TIME(16,23,9)</f>
        <v>40664.682743055557</v>
      </c>
      <c r="C685">
        <v>80</v>
      </c>
      <c r="D685">
        <v>68.477401732999994</v>
      </c>
      <c r="E685">
        <v>50</v>
      </c>
      <c r="F685">
        <v>49.818412780999999</v>
      </c>
      <c r="G685">
        <v>1398.8370361</v>
      </c>
      <c r="H685">
        <v>1381.5541992000001</v>
      </c>
      <c r="I685">
        <v>1287.1414795000001</v>
      </c>
      <c r="J685">
        <v>1268.2006836</v>
      </c>
      <c r="K685">
        <v>2400</v>
      </c>
      <c r="L685">
        <v>0</v>
      </c>
      <c r="M685">
        <v>0</v>
      </c>
      <c r="N685">
        <v>2400</v>
      </c>
    </row>
    <row r="686" spans="1:14" x14ac:dyDescent="0.25">
      <c r="A686">
        <v>365.72145399999999</v>
      </c>
      <c r="B686" s="1">
        <f>DATE(2011,5,1) + TIME(17,18,53)</f>
        <v>40664.721446759257</v>
      </c>
      <c r="C686">
        <v>80</v>
      </c>
      <c r="D686">
        <v>69.083473205999994</v>
      </c>
      <c r="E686">
        <v>50</v>
      </c>
      <c r="F686">
        <v>49.812007903999998</v>
      </c>
      <c r="G686">
        <v>1398.6289062000001</v>
      </c>
      <c r="H686">
        <v>1381.4697266000001</v>
      </c>
      <c r="I686">
        <v>1287.1408690999999</v>
      </c>
      <c r="J686">
        <v>1268.1993408000001</v>
      </c>
      <c r="K686">
        <v>2400</v>
      </c>
      <c r="L686">
        <v>0</v>
      </c>
      <c r="M686">
        <v>0</v>
      </c>
      <c r="N686">
        <v>2400</v>
      </c>
    </row>
    <row r="687" spans="1:14" x14ac:dyDescent="0.25">
      <c r="A687">
        <v>365.761529</v>
      </c>
      <c r="B687" s="1">
        <f>DATE(2011,5,1) + TIME(18,16,36)</f>
        <v>40664.76152777778</v>
      </c>
      <c r="C687">
        <v>80</v>
      </c>
      <c r="D687">
        <v>69.677322387999993</v>
      </c>
      <c r="E687">
        <v>50</v>
      </c>
      <c r="F687">
        <v>49.805438995000003</v>
      </c>
      <c r="G687">
        <v>1398.4262695</v>
      </c>
      <c r="H687">
        <v>1381.3863524999999</v>
      </c>
      <c r="I687">
        <v>1287.1400146000001</v>
      </c>
      <c r="J687">
        <v>1268.1979980000001</v>
      </c>
      <c r="K687">
        <v>2400</v>
      </c>
      <c r="L687">
        <v>0</v>
      </c>
      <c r="M687">
        <v>0</v>
      </c>
      <c r="N687">
        <v>2400</v>
      </c>
    </row>
    <row r="688" spans="1:14" x14ac:dyDescent="0.25">
      <c r="A688">
        <v>365.80307199999999</v>
      </c>
      <c r="B688" s="1">
        <f>DATE(2011,5,1) + TIME(19,16,25)</f>
        <v>40664.803067129629</v>
      </c>
      <c r="C688">
        <v>80</v>
      </c>
      <c r="D688">
        <v>70.258560181000007</v>
      </c>
      <c r="E688">
        <v>50</v>
      </c>
      <c r="F688">
        <v>49.798694611000002</v>
      </c>
      <c r="G688">
        <v>1398.2287598</v>
      </c>
      <c r="H688">
        <v>1381.3038329999999</v>
      </c>
      <c r="I688">
        <v>1287.1392822</v>
      </c>
      <c r="J688">
        <v>1268.1965332</v>
      </c>
      <c r="K688">
        <v>2400</v>
      </c>
      <c r="L688">
        <v>0</v>
      </c>
      <c r="M688">
        <v>0</v>
      </c>
      <c r="N688">
        <v>2400</v>
      </c>
    </row>
    <row r="689" spans="1:14" x14ac:dyDescent="0.25">
      <c r="A689">
        <v>365.84619600000002</v>
      </c>
      <c r="B689" s="1">
        <f>DATE(2011,5,1) + TIME(20,18,31)</f>
        <v>40664.846192129633</v>
      </c>
      <c r="C689">
        <v>80</v>
      </c>
      <c r="D689">
        <v>70.826889038000004</v>
      </c>
      <c r="E689">
        <v>50</v>
      </c>
      <c r="F689">
        <v>49.791763306</v>
      </c>
      <c r="G689">
        <v>1398.0360106999999</v>
      </c>
      <c r="H689">
        <v>1381.2220459</v>
      </c>
      <c r="I689">
        <v>1287.1384277</v>
      </c>
      <c r="J689">
        <v>1268.1949463000001</v>
      </c>
      <c r="K689">
        <v>2400</v>
      </c>
      <c r="L689">
        <v>0</v>
      </c>
      <c r="M689">
        <v>0</v>
      </c>
      <c r="N689">
        <v>2400</v>
      </c>
    </row>
    <row r="690" spans="1:14" x14ac:dyDescent="0.25">
      <c r="A690">
        <v>365.89103</v>
      </c>
      <c r="B690" s="1">
        <f>DATE(2011,5,1) + TIME(21,23,4)</f>
        <v>40664.891018518516</v>
      </c>
      <c r="C690">
        <v>80</v>
      </c>
      <c r="D690">
        <v>71.382293700999995</v>
      </c>
      <c r="E690">
        <v>50</v>
      </c>
      <c r="F690">
        <v>49.784622192</v>
      </c>
      <c r="G690">
        <v>1397.8477783000001</v>
      </c>
      <c r="H690">
        <v>1381.1407471</v>
      </c>
      <c r="I690">
        <v>1287.1374512</v>
      </c>
      <c r="J690">
        <v>1268.1933594</v>
      </c>
      <c r="K690">
        <v>2400</v>
      </c>
      <c r="L690">
        <v>0</v>
      </c>
      <c r="M690">
        <v>0</v>
      </c>
      <c r="N690">
        <v>2400</v>
      </c>
    </row>
    <row r="691" spans="1:14" x14ac:dyDescent="0.25">
      <c r="A691">
        <v>365.93771299999997</v>
      </c>
      <c r="B691" s="1">
        <f>DATE(2011,5,1) + TIME(22,30,18)</f>
        <v>40664.937708333331</v>
      </c>
      <c r="C691">
        <v>80</v>
      </c>
      <c r="D691">
        <v>71.924514771000005</v>
      </c>
      <c r="E691">
        <v>50</v>
      </c>
      <c r="F691">
        <v>49.777263640999998</v>
      </c>
      <c r="G691">
        <v>1397.6636963000001</v>
      </c>
      <c r="H691">
        <v>1381.0596923999999</v>
      </c>
      <c r="I691">
        <v>1287.1364745999999</v>
      </c>
      <c r="J691">
        <v>1268.1916504000001</v>
      </c>
      <c r="K691">
        <v>2400</v>
      </c>
      <c r="L691">
        <v>0</v>
      </c>
      <c r="M691">
        <v>0</v>
      </c>
      <c r="N691">
        <v>2400</v>
      </c>
    </row>
    <row r="692" spans="1:14" x14ac:dyDescent="0.25">
      <c r="A692">
        <v>365.98640799999998</v>
      </c>
      <c r="B692" s="1">
        <f>DATE(2011,5,1) + TIME(23,40,25)</f>
        <v>40664.986400462964</v>
      </c>
      <c r="C692">
        <v>80</v>
      </c>
      <c r="D692">
        <v>72.453269958000007</v>
      </c>
      <c r="E692">
        <v>50</v>
      </c>
      <c r="F692">
        <v>49.769660950000002</v>
      </c>
      <c r="G692">
        <v>1397.4835204999999</v>
      </c>
      <c r="H692">
        <v>1380.9788818</v>
      </c>
      <c r="I692">
        <v>1287.135376</v>
      </c>
      <c r="J692">
        <v>1268.1899414</v>
      </c>
      <c r="K692">
        <v>2400</v>
      </c>
      <c r="L692">
        <v>0</v>
      </c>
      <c r="M692">
        <v>0</v>
      </c>
      <c r="N692">
        <v>2400</v>
      </c>
    </row>
    <row r="693" spans="1:14" x14ac:dyDescent="0.25">
      <c r="A693">
        <v>366.03729299999998</v>
      </c>
      <c r="B693" s="1">
        <f>DATE(2011,5,2) + TIME(0,53,42)</f>
        <v>40665.037291666667</v>
      </c>
      <c r="C693">
        <v>80</v>
      </c>
      <c r="D693">
        <v>72.968261718999997</v>
      </c>
      <c r="E693">
        <v>50</v>
      </c>
      <c r="F693">
        <v>49.761795044000003</v>
      </c>
      <c r="G693">
        <v>1397.3070068</v>
      </c>
      <c r="H693">
        <v>1380.8979492000001</v>
      </c>
      <c r="I693">
        <v>1287.1342772999999</v>
      </c>
      <c r="J693">
        <v>1268.1881103999999</v>
      </c>
      <c r="K693">
        <v>2400</v>
      </c>
      <c r="L693">
        <v>0</v>
      </c>
      <c r="M693">
        <v>0</v>
      </c>
      <c r="N693">
        <v>2400</v>
      </c>
    </row>
    <row r="694" spans="1:14" x14ac:dyDescent="0.25">
      <c r="A694">
        <v>366.090576</v>
      </c>
      <c r="B694" s="1">
        <f>DATE(2011,5,2) + TIME(2,10,25)</f>
        <v>40665.090567129628</v>
      </c>
      <c r="C694">
        <v>80</v>
      </c>
      <c r="D694">
        <v>73.469161987000007</v>
      </c>
      <c r="E694">
        <v>50</v>
      </c>
      <c r="F694">
        <v>49.753643036</v>
      </c>
      <c r="G694">
        <v>1397.1337891000001</v>
      </c>
      <c r="H694">
        <v>1380.8168945</v>
      </c>
      <c r="I694">
        <v>1287.1330565999999</v>
      </c>
      <c r="J694">
        <v>1268.1861572</v>
      </c>
      <c r="K694">
        <v>2400</v>
      </c>
      <c r="L694">
        <v>0</v>
      </c>
      <c r="M694">
        <v>0</v>
      </c>
      <c r="N694">
        <v>2400</v>
      </c>
    </row>
    <row r="695" spans="1:14" x14ac:dyDescent="0.25">
      <c r="A695">
        <v>366.14652100000001</v>
      </c>
      <c r="B695" s="1">
        <f>DATE(2011,5,2) + TIME(3,30,59)</f>
        <v>40665.146516203706</v>
      </c>
      <c r="C695">
        <v>80</v>
      </c>
      <c r="D695">
        <v>73.955902100000003</v>
      </c>
      <c r="E695">
        <v>50</v>
      </c>
      <c r="F695">
        <v>49.745170592999997</v>
      </c>
      <c r="G695">
        <v>1396.963501</v>
      </c>
      <c r="H695">
        <v>1380.7352295000001</v>
      </c>
      <c r="I695">
        <v>1287.1318358999999</v>
      </c>
      <c r="J695">
        <v>1268.184082</v>
      </c>
      <c r="K695">
        <v>2400</v>
      </c>
      <c r="L695">
        <v>0</v>
      </c>
      <c r="M695">
        <v>0</v>
      </c>
      <c r="N695">
        <v>2400</v>
      </c>
    </row>
    <row r="696" spans="1:14" x14ac:dyDescent="0.25">
      <c r="A696">
        <v>366.20538199999999</v>
      </c>
      <c r="B696" s="1">
        <f>DATE(2011,5,2) + TIME(4,55,45)</f>
        <v>40665.205381944441</v>
      </c>
      <c r="C696">
        <v>80</v>
      </c>
      <c r="D696">
        <v>74.427917480000005</v>
      </c>
      <c r="E696">
        <v>50</v>
      </c>
      <c r="F696">
        <v>49.736354828000003</v>
      </c>
      <c r="G696">
        <v>1396.7957764</v>
      </c>
      <c r="H696">
        <v>1380.652832</v>
      </c>
      <c r="I696">
        <v>1287.1304932</v>
      </c>
      <c r="J696">
        <v>1268.1820068</v>
      </c>
      <c r="K696">
        <v>2400</v>
      </c>
      <c r="L696">
        <v>0</v>
      </c>
      <c r="M696">
        <v>0</v>
      </c>
      <c r="N696">
        <v>2400</v>
      </c>
    </row>
    <row r="697" spans="1:14" x14ac:dyDescent="0.25">
      <c r="A697">
        <v>366.26746400000002</v>
      </c>
      <c r="B697" s="1">
        <f>DATE(2011,5,2) + TIME(6,25,8)</f>
        <v>40665.267453703702</v>
      </c>
      <c r="C697">
        <v>80</v>
      </c>
      <c r="D697">
        <v>74.884765625</v>
      </c>
      <c r="E697">
        <v>50</v>
      </c>
      <c r="F697">
        <v>49.727153778000002</v>
      </c>
      <c r="G697">
        <v>1396.6304932</v>
      </c>
      <c r="H697">
        <v>1380.5695800999999</v>
      </c>
      <c r="I697">
        <v>1287.1290283000001</v>
      </c>
      <c r="J697">
        <v>1268.1798096</v>
      </c>
      <c r="K697">
        <v>2400</v>
      </c>
      <c r="L697">
        <v>0</v>
      </c>
      <c r="M697">
        <v>0</v>
      </c>
      <c r="N697">
        <v>2400</v>
      </c>
    </row>
    <row r="698" spans="1:14" x14ac:dyDescent="0.25">
      <c r="A698">
        <v>366.33313199999998</v>
      </c>
      <c r="B698" s="1">
        <f>DATE(2011,5,2) + TIME(7,59,42)</f>
        <v>40665.333124999997</v>
      </c>
      <c r="C698">
        <v>80</v>
      </c>
      <c r="D698">
        <v>75.325775145999998</v>
      </c>
      <c r="E698">
        <v>50</v>
      </c>
      <c r="F698">
        <v>49.717525481999999</v>
      </c>
      <c r="G698">
        <v>1396.4672852000001</v>
      </c>
      <c r="H698">
        <v>1380.4851074000001</v>
      </c>
      <c r="I698">
        <v>1287.1275635</v>
      </c>
      <c r="J698">
        <v>1268.1773682</v>
      </c>
      <c r="K698">
        <v>2400</v>
      </c>
      <c r="L698">
        <v>0</v>
      </c>
      <c r="M698">
        <v>0</v>
      </c>
      <c r="N698">
        <v>2400</v>
      </c>
    </row>
    <row r="699" spans="1:14" x14ac:dyDescent="0.25">
      <c r="A699">
        <v>366.40281499999998</v>
      </c>
      <c r="B699" s="1">
        <f>DATE(2011,5,2) + TIME(9,40,3)</f>
        <v>40665.402812499997</v>
      </c>
      <c r="C699">
        <v>80</v>
      </c>
      <c r="D699">
        <v>75.750671386999997</v>
      </c>
      <c r="E699">
        <v>50</v>
      </c>
      <c r="F699">
        <v>49.707424164000003</v>
      </c>
      <c r="G699">
        <v>1396.3056641000001</v>
      </c>
      <c r="H699">
        <v>1380.3990478999999</v>
      </c>
      <c r="I699">
        <v>1287.1259766000001</v>
      </c>
      <c r="J699">
        <v>1268.1749268000001</v>
      </c>
      <c r="K699">
        <v>2400</v>
      </c>
      <c r="L699">
        <v>0</v>
      </c>
      <c r="M699">
        <v>0</v>
      </c>
      <c r="N699">
        <v>2400</v>
      </c>
    </row>
    <row r="700" spans="1:14" x14ac:dyDescent="0.25">
      <c r="A700">
        <v>366.477014</v>
      </c>
      <c r="B700" s="1">
        <f>DATE(2011,5,2) + TIME(11,26,53)</f>
        <v>40665.477002314816</v>
      </c>
      <c r="C700">
        <v>80</v>
      </c>
      <c r="D700">
        <v>76.159019470000004</v>
      </c>
      <c r="E700">
        <v>50</v>
      </c>
      <c r="F700">
        <v>49.696796417000002</v>
      </c>
      <c r="G700">
        <v>1396.1453856999999</v>
      </c>
      <c r="H700">
        <v>1380.3112793</v>
      </c>
      <c r="I700">
        <v>1287.1242675999999</v>
      </c>
      <c r="J700">
        <v>1268.1722411999999</v>
      </c>
      <c r="K700">
        <v>2400</v>
      </c>
      <c r="L700">
        <v>0</v>
      </c>
      <c r="M700">
        <v>0</v>
      </c>
      <c r="N700">
        <v>2400</v>
      </c>
    </row>
    <row r="701" spans="1:14" x14ac:dyDescent="0.25">
      <c r="A701">
        <v>366.55633399999999</v>
      </c>
      <c r="B701" s="1">
        <f>DATE(2011,5,2) + TIME(13,21,7)</f>
        <v>40665.556331018517</v>
      </c>
      <c r="C701">
        <v>80</v>
      </c>
      <c r="D701">
        <v>76.550323485999996</v>
      </c>
      <c r="E701">
        <v>50</v>
      </c>
      <c r="F701">
        <v>49.685565947999997</v>
      </c>
      <c r="G701">
        <v>1395.9859618999999</v>
      </c>
      <c r="H701">
        <v>1380.2214355000001</v>
      </c>
      <c r="I701">
        <v>1287.1224365</v>
      </c>
      <c r="J701">
        <v>1268.1695557</v>
      </c>
      <c r="K701">
        <v>2400</v>
      </c>
      <c r="L701">
        <v>0</v>
      </c>
      <c r="M701">
        <v>0</v>
      </c>
      <c r="N701">
        <v>2400</v>
      </c>
    </row>
    <row r="702" spans="1:14" x14ac:dyDescent="0.25">
      <c r="A702">
        <v>366.64151900000002</v>
      </c>
      <c r="B702" s="1">
        <f>DATE(2011,5,2) + TIME(15,23,47)</f>
        <v>40665.641516203701</v>
      </c>
      <c r="C702">
        <v>80</v>
      </c>
      <c r="D702">
        <v>76.924110412999994</v>
      </c>
      <c r="E702">
        <v>50</v>
      </c>
      <c r="F702">
        <v>49.673652648999997</v>
      </c>
      <c r="G702">
        <v>1395.8270264</v>
      </c>
      <c r="H702">
        <v>1380.1290283000001</v>
      </c>
      <c r="I702">
        <v>1287.1204834</v>
      </c>
      <c r="J702">
        <v>1268.1665039</v>
      </c>
      <c r="K702">
        <v>2400</v>
      </c>
      <c r="L702">
        <v>0</v>
      </c>
      <c r="M702">
        <v>0</v>
      </c>
      <c r="N702">
        <v>2400</v>
      </c>
    </row>
    <row r="703" spans="1:14" x14ac:dyDescent="0.25">
      <c r="A703">
        <v>366.733473</v>
      </c>
      <c r="B703" s="1">
        <f>DATE(2011,5,2) + TIME(17,36,12)</f>
        <v>40665.733472222222</v>
      </c>
      <c r="C703">
        <v>80</v>
      </c>
      <c r="D703">
        <v>77.279808044000006</v>
      </c>
      <c r="E703">
        <v>50</v>
      </c>
      <c r="F703">
        <v>49.660961151000002</v>
      </c>
      <c r="G703">
        <v>1395.6678466999999</v>
      </c>
      <c r="H703">
        <v>1380.0335693</v>
      </c>
      <c r="I703">
        <v>1287.1184082</v>
      </c>
      <c r="J703">
        <v>1268.1633300999999</v>
      </c>
      <c r="K703">
        <v>2400</v>
      </c>
      <c r="L703">
        <v>0</v>
      </c>
      <c r="M703">
        <v>0</v>
      </c>
      <c r="N703">
        <v>2400</v>
      </c>
    </row>
    <row r="704" spans="1:14" x14ac:dyDescent="0.25">
      <c r="A704">
        <v>366.83127899999999</v>
      </c>
      <c r="B704" s="1">
        <f>DATE(2011,5,2) + TIME(19,57,2)</f>
        <v>40665.831273148149</v>
      </c>
      <c r="C704">
        <v>80</v>
      </c>
      <c r="D704">
        <v>77.610809325999995</v>
      </c>
      <c r="E704">
        <v>50</v>
      </c>
      <c r="F704">
        <v>49.647613524999997</v>
      </c>
      <c r="G704">
        <v>1395.5106201000001</v>
      </c>
      <c r="H704">
        <v>1379.9357910000001</v>
      </c>
      <c r="I704">
        <v>1287.1160889</v>
      </c>
      <c r="J704">
        <v>1268.1599120999999</v>
      </c>
      <c r="K704">
        <v>2400</v>
      </c>
      <c r="L704">
        <v>0</v>
      </c>
      <c r="M704">
        <v>0</v>
      </c>
      <c r="N704">
        <v>2400</v>
      </c>
    </row>
    <row r="705" spans="1:14" x14ac:dyDescent="0.25">
      <c r="A705">
        <v>366.92944499999999</v>
      </c>
      <c r="B705" s="1">
        <f>DATE(2011,5,2) + TIME(22,18,24)</f>
        <v>40665.929444444446</v>
      </c>
      <c r="C705">
        <v>80</v>
      </c>
      <c r="D705">
        <v>77.901306152000004</v>
      </c>
      <c r="E705">
        <v>50</v>
      </c>
      <c r="F705">
        <v>49.634284973</v>
      </c>
      <c r="G705">
        <v>1395.3616943</v>
      </c>
      <c r="H705">
        <v>1379.8389893000001</v>
      </c>
      <c r="I705">
        <v>1287.1135254000001</v>
      </c>
      <c r="J705">
        <v>1268.1563721</v>
      </c>
      <c r="K705">
        <v>2400</v>
      </c>
      <c r="L705">
        <v>0</v>
      </c>
      <c r="M705">
        <v>0</v>
      </c>
      <c r="N705">
        <v>2400</v>
      </c>
    </row>
    <row r="706" spans="1:14" x14ac:dyDescent="0.25">
      <c r="A706">
        <v>367.02843000000001</v>
      </c>
      <c r="B706" s="1">
        <f>DATE(2011,5,3) + TIME(0,40,56)</f>
        <v>40666.028425925928</v>
      </c>
      <c r="C706">
        <v>80</v>
      </c>
      <c r="D706">
        <v>78.157150268999999</v>
      </c>
      <c r="E706">
        <v>50</v>
      </c>
      <c r="F706">
        <v>49.620922088999997</v>
      </c>
      <c r="G706">
        <v>1395.2209473</v>
      </c>
      <c r="H706">
        <v>1379.7449951000001</v>
      </c>
      <c r="I706">
        <v>1287.1109618999999</v>
      </c>
      <c r="J706">
        <v>1268.152832</v>
      </c>
      <c r="K706">
        <v>2400</v>
      </c>
      <c r="L706">
        <v>0</v>
      </c>
      <c r="M706">
        <v>0</v>
      </c>
      <c r="N706">
        <v>2400</v>
      </c>
    </row>
    <row r="707" spans="1:14" x14ac:dyDescent="0.25">
      <c r="A707">
        <v>367.12845900000002</v>
      </c>
      <c r="B707" s="1">
        <f>DATE(2011,5,3) + TIME(3,4,58)</f>
        <v>40666.128449074073</v>
      </c>
      <c r="C707">
        <v>80</v>
      </c>
      <c r="D707">
        <v>78.382652282999999</v>
      </c>
      <c r="E707">
        <v>50</v>
      </c>
      <c r="F707">
        <v>49.607486725000001</v>
      </c>
      <c r="G707">
        <v>1395.0871582</v>
      </c>
      <c r="H707">
        <v>1379.6533202999999</v>
      </c>
      <c r="I707">
        <v>1287.1083983999999</v>
      </c>
      <c r="J707">
        <v>1268.1491699000001</v>
      </c>
      <c r="K707">
        <v>2400</v>
      </c>
      <c r="L707">
        <v>0</v>
      </c>
      <c r="M707">
        <v>0</v>
      </c>
      <c r="N707">
        <v>2400</v>
      </c>
    </row>
    <row r="708" spans="1:14" x14ac:dyDescent="0.25">
      <c r="A708">
        <v>367.22943099999998</v>
      </c>
      <c r="B708" s="1">
        <f>DATE(2011,5,3) + TIME(5,30,22)</f>
        <v>40666.229421296295</v>
      </c>
      <c r="C708">
        <v>80</v>
      </c>
      <c r="D708">
        <v>78.580947875999996</v>
      </c>
      <c r="E708">
        <v>50</v>
      </c>
      <c r="F708">
        <v>49.593997954999999</v>
      </c>
      <c r="G708">
        <v>1394.9597168</v>
      </c>
      <c r="H708">
        <v>1379.5637207</v>
      </c>
      <c r="I708">
        <v>1287.1057129000001</v>
      </c>
      <c r="J708">
        <v>1268.1455077999999</v>
      </c>
      <c r="K708">
        <v>2400</v>
      </c>
      <c r="L708">
        <v>0</v>
      </c>
      <c r="M708">
        <v>0</v>
      </c>
      <c r="N708">
        <v>2400</v>
      </c>
    </row>
    <row r="709" spans="1:14" x14ac:dyDescent="0.25">
      <c r="A709">
        <v>367.33152899999999</v>
      </c>
      <c r="B709" s="1">
        <f>DATE(2011,5,3) + TIME(7,57,24)</f>
        <v>40666.33152777778</v>
      </c>
      <c r="C709">
        <v>80</v>
      </c>
      <c r="D709">
        <v>78.755363463999998</v>
      </c>
      <c r="E709">
        <v>50</v>
      </c>
      <c r="F709">
        <v>49.580429076999998</v>
      </c>
      <c r="G709">
        <v>1394.8378906</v>
      </c>
      <c r="H709">
        <v>1379.4761963000001</v>
      </c>
      <c r="I709">
        <v>1287.1031493999999</v>
      </c>
      <c r="J709">
        <v>1268.1418457</v>
      </c>
      <c r="K709">
        <v>2400</v>
      </c>
      <c r="L709">
        <v>0</v>
      </c>
      <c r="M709">
        <v>0</v>
      </c>
      <c r="N709">
        <v>2400</v>
      </c>
    </row>
    <row r="710" spans="1:14" x14ac:dyDescent="0.25">
      <c r="A710">
        <v>367.434957</v>
      </c>
      <c r="B710" s="1">
        <f>DATE(2011,5,3) + TIME(10,26,20)</f>
        <v>40666.434953703705</v>
      </c>
      <c r="C710">
        <v>80</v>
      </c>
      <c r="D710">
        <v>78.908805846999996</v>
      </c>
      <c r="E710">
        <v>50</v>
      </c>
      <c r="F710">
        <v>49.566757201999998</v>
      </c>
      <c r="G710">
        <v>1394.7209473</v>
      </c>
      <c r="H710">
        <v>1379.3905029</v>
      </c>
      <c r="I710">
        <v>1287.1003418</v>
      </c>
      <c r="J710">
        <v>1268.1380615</v>
      </c>
      <c r="K710">
        <v>2400</v>
      </c>
      <c r="L710">
        <v>0</v>
      </c>
      <c r="M710">
        <v>0</v>
      </c>
      <c r="N710">
        <v>2400</v>
      </c>
    </row>
    <row r="711" spans="1:14" x14ac:dyDescent="0.25">
      <c r="A711">
        <v>367.539917</v>
      </c>
      <c r="B711" s="1">
        <f>DATE(2011,5,3) + TIME(12,57,28)</f>
        <v>40666.539907407408</v>
      </c>
      <c r="C711">
        <v>80</v>
      </c>
      <c r="D711">
        <v>79.043785095000004</v>
      </c>
      <c r="E711">
        <v>50</v>
      </c>
      <c r="F711">
        <v>49.552959442000002</v>
      </c>
      <c r="G711">
        <v>1394.6082764</v>
      </c>
      <c r="H711">
        <v>1379.3061522999999</v>
      </c>
      <c r="I711">
        <v>1287.0976562000001</v>
      </c>
      <c r="J711">
        <v>1268.1342772999999</v>
      </c>
      <c r="K711">
        <v>2400</v>
      </c>
      <c r="L711">
        <v>0</v>
      </c>
      <c r="M711">
        <v>0</v>
      </c>
      <c r="N711">
        <v>2400</v>
      </c>
    </row>
    <row r="712" spans="1:14" x14ac:dyDescent="0.25">
      <c r="A712">
        <v>367.646614</v>
      </c>
      <c r="B712" s="1">
        <f>DATE(2011,5,3) + TIME(15,31,7)</f>
        <v>40666.646608796298</v>
      </c>
      <c r="C712">
        <v>80</v>
      </c>
      <c r="D712">
        <v>79.162460327000005</v>
      </c>
      <c r="E712">
        <v>50</v>
      </c>
      <c r="F712">
        <v>49.539005279999998</v>
      </c>
      <c r="G712">
        <v>1394.4992675999999</v>
      </c>
      <c r="H712">
        <v>1379.2232666</v>
      </c>
      <c r="I712">
        <v>1287.0948486</v>
      </c>
      <c r="J712">
        <v>1268.1303711</v>
      </c>
      <c r="K712">
        <v>2400</v>
      </c>
      <c r="L712">
        <v>0</v>
      </c>
      <c r="M712">
        <v>0</v>
      </c>
      <c r="N712">
        <v>2400</v>
      </c>
    </row>
    <row r="713" spans="1:14" x14ac:dyDescent="0.25">
      <c r="A713">
        <v>367.75526000000002</v>
      </c>
      <c r="B713" s="1">
        <f>DATE(2011,5,3) + TIME(18,7,34)</f>
        <v>40666.755254629628</v>
      </c>
      <c r="C713">
        <v>80</v>
      </c>
      <c r="D713">
        <v>79.266746521000002</v>
      </c>
      <c r="E713">
        <v>50</v>
      </c>
      <c r="F713">
        <v>49.524875641000001</v>
      </c>
      <c r="G713">
        <v>1394.3935547000001</v>
      </c>
      <c r="H713">
        <v>1379.1416016000001</v>
      </c>
      <c r="I713">
        <v>1287.0920410000001</v>
      </c>
      <c r="J713">
        <v>1268.1264647999999</v>
      </c>
      <c r="K713">
        <v>2400</v>
      </c>
      <c r="L713">
        <v>0</v>
      </c>
      <c r="M713">
        <v>0</v>
      </c>
      <c r="N713">
        <v>2400</v>
      </c>
    </row>
    <row r="714" spans="1:14" x14ac:dyDescent="0.25">
      <c r="A714">
        <v>367.866083</v>
      </c>
      <c r="B714" s="1">
        <f>DATE(2011,5,3) + TIME(20,47,9)</f>
        <v>40666.866076388891</v>
      </c>
      <c r="C714">
        <v>80</v>
      </c>
      <c r="D714">
        <v>79.358306885000005</v>
      </c>
      <c r="E714">
        <v>50</v>
      </c>
      <c r="F714">
        <v>49.510543822999999</v>
      </c>
      <c r="G714">
        <v>1394.2906493999999</v>
      </c>
      <c r="H714">
        <v>1379.0607910000001</v>
      </c>
      <c r="I714">
        <v>1287.0891113</v>
      </c>
      <c r="J714">
        <v>1268.1224365</v>
      </c>
      <c r="K714">
        <v>2400</v>
      </c>
      <c r="L714">
        <v>0</v>
      </c>
      <c r="M714">
        <v>0</v>
      </c>
      <c r="N714">
        <v>2400</v>
      </c>
    </row>
    <row r="715" spans="1:14" x14ac:dyDescent="0.25">
      <c r="A715">
        <v>367.97934900000001</v>
      </c>
      <c r="B715" s="1">
        <f>DATE(2011,5,3) + TIME(23,30,15)</f>
        <v>40666.97934027778</v>
      </c>
      <c r="C715">
        <v>80</v>
      </c>
      <c r="D715">
        <v>79.438613892000006</v>
      </c>
      <c r="E715">
        <v>50</v>
      </c>
      <c r="F715">
        <v>49.495975494</v>
      </c>
      <c r="G715">
        <v>1394.1901855000001</v>
      </c>
      <c r="H715">
        <v>1378.9808350000001</v>
      </c>
      <c r="I715">
        <v>1287.0860596</v>
      </c>
      <c r="J715">
        <v>1268.1184082</v>
      </c>
      <c r="K715">
        <v>2400</v>
      </c>
      <c r="L715">
        <v>0</v>
      </c>
      <c r="M715">
        <v>0</v>
      </c>
      <c r="N715">
        <v>2400</v>
      </c>
    </row>
    <row r="716" spans="1:14" x14ac:dyDescent="0.25">
      <c r="A716">
        <v>368.09526499999998</v>
      </c>
      <c r="B716" s="1">
        <f>DATE(2011,5,4) + TIME(2,17,10)</f>
        <v>40667.095254629632</v>
      </c>
      <c r="C716">
        <v>80</v>
      </c>
      <c r="D716">
        <v>79.508934021000002</v>
      </c>
      <c r="E716">
        <v>50</v>
      </c>
      <c r="F716">
        <v>49.481151580999999</v>
      </c>
      <c r="G716">
        <v>1394.0917969</v>
      </c>
      <c r="H716">
        <v>1378.9014893000001</v>
      </c>
      <c r="I716">
        <v>1287.0830077999999</v>
      </c>
      <c r="J716">
        <v>1268.1142577999999</v>
      </c>
      <c r="K716">
        <v>2400</v>
      </c>
      <c r="L716">
        <v>0</v>
      </c>
      <c r="M716">
        <v>0</v>
      </c>
      <c r="N716">
        <v>2400</v>
      </c>
    </row>
    <row r="717" spans="1:14" x14ac:dyDescent="0.25">
      <c r="A717">
        <v>368.21409599999998</v>
      </c>
      <c r="B717" s="1">
        <f>DATE(2011,5,4) + TIME(5,8,17)</f>
        <v>40667.214085648149</v>
      </c>
      <c r="C717">
        <v>80</v>
      </c>
      <c r="D717">
        <v>79.570396423000005</v>
      </c>
      <c r="E717">
        <v>50</v>
      </c>
      <c r="F717">
        <v>49.466037749999998</v>
      </c>
      <c r="G717">
        <v>1393.9951172000001</v>
      </c>
      <c r="H717">
        <v>1378.8227539</v>
      </c>
      <c r="I717">
        <v>1287.0798339999999</v>
      </c>
      <c r="J717">
        <v>1268.1098632999999</v>
      </c>
      <c r="K717">
        <v>2400</v>
      </c>
      <c r="L717">
        <v>0</v>
      </c>
      <c r="M717">
        <v>0</v>
      </c>
      <c r="N717">
        <v>2400</v>
      </c>
    </row>
    <row r="718" spans="1:14" x14ac:dyDescent="0.25">
      <c r="A718">
        <v>368.33613000000003</v>
      </c>
      <c r="B718" s="1">
        <f>DATE(2011,5,4) + TIME(8,4,1)</f>
        <v>40667.336122685185</v>
      </c>
      <c r="C718">
        <v>80</v>
      </c>
      <c r="D718">
        <v>79.624023437999995</v>
      </c>
      <c r="E718">
        <v>50</v>
      </c>
      <c r="F718">
        <v>49.450611115000001</v>
      </c>
      <c r="G718">
        <v>1393.8999022999999</v>
      </c>
      <c r="H718">
        <v>1378.7443848</v>
      </c>
      <c r="I718">
        <v>1287.0766602000001</v>
      </c>
      <c r="J718">
        <v>1268.1054687999999</v>
      </c>
      <c r="K718">
        <v>2400</v>
      </c>
      <c r="L718">
        <v>0</v>
      </c>
      <c r="M718">
        <v>0</v>
      </c>
      <c r="N718">
        <v>2400</v>
      </c>
    </row>
    <row r="719" spans="1:14" x14ac:dyDescent="0.25">
      <c r="A719">
        <v>368.46167700000001</v>
      </c>
      <c r="B719" s="1">
        <f>DATE(2011,5,4) + TIME(11,4,48)</f>
        <v>40667.46166666667</v>
      </c>
      <c r="C719">
        <v>80</v>
      </c>
      <c r="D719">
        <v>79.670715332</v>
      </c>
      <c r="E719">
        <v>50</v>
      </c>
      <c r="F719">
        <v>49.434829712000003</v>
      </c>
      <c r="G719">
        <v>1393.8059082</v>
      </c>
      <c r="H719">
        <v>1378.6662598</v>
      </c>
      <c r="I719">
        <v>1287.0733643000001</v>
      </c>
      <c r="J719">
        <v>1268.1009521000001</v>
      </c>
      <c r="K719">
        <v>2400</v>
      </c>
      <c r="L719">
        <v>0</v>
      </c>
      <c r="M719">
        <v>0</v>
      </c>
      <c r="N719">
        <v>2400</v>
      </c>
    </row>
    <row r="720" spans="1:14" x14ac:dyDescent="0.25">
      <c r="A720">
        <v>368.59107999999998</v>
      </c>
      <c r="B720" s="1">
        <f>DATE(2011,5,4) + TIME(14,11,9)</f>
        <v>40667.59107638889</v>
      </c>
      <c r="C720">
        <v>80</v>
      </c>
      <c r="D720">
        <v>79.711257935000006</v>
      </c>
      <c r="E720">
        <v>50</v>
      </c>
      <c r="F720">
        <v>49.418659210000001</v>
      </c>
      <c r="G720">
        <v>1393.7128906</v>
      </c>
      <c r="H720">
        <v>1378.5883789</v>
      </c>
      <c r="I720">
        <v>1287.0698242000001</v>
      </c>
      <c r="J720">
        <v>1268.0963135</v>
      </c>
      <c r="K720">
        <v>2400</v>
      </c>
      <c r="L720">
        <v>0</v>
      </c>
      <c r="M720">
        <v>0</v>
      </c>
      <c r="N720">
        <v>2400</v>
      </c>
    </row>
    <row r="721" spans="1:14" x14ac:dyDescent="0.25">
      <c r="A721">
        <v>368.724715</v>
      </c>
      <c r="B721" s="1">
        <f>DATE(2011,5,4) + TIME(17,23,35)</f>
        <v>40667.724710648145</v>
      </c>
      <c r="C721">
        <v>80</v>
      </c>
      <c r="D721">
        <v>79.746376037999994</v>
      </c>
      <c r="E721">
        <v>50</v>
      </c>
      <c r="F721">
        <v>49.402057648000003</v>
      </c>
      <c r="G721">
        <v>1393.6204834</v>
      </c>
      <c r="H721">
        <v>1378.510376</v>
      </c>
      <c r="I721">
        <v>1287.0662841999999</v>
      </c>
      <c r="J721">
        <v>1268.0915527</v>
      </c>
      <c r="K721">
        <v>2400</v>
      </c>
      <c r="L721">
        <v>0</v>
      </c>
      <c r="M721">
        <v>0</v>
      </c>
      <c r="N721">
        <v>2400</v>
      </c>
    </row>
    <row r="722" spans="1:14" x14ac:dyDescent="0.25">
      <c r="A722">
        <v>368.86300299999999</v>
      </c>
      <c r="B722" s="1">
        <f>DATE(2011,5,4) + TIME(20,42,43)</f>
        <v>40667.862997685188</v>
      </c>
      <c r="C722">
        <v>80</v>
      </c>
      <c r="D722">
        <v>79.776702881000006</v>
      </c>
      <c r="E722">
        <v>50</v>
      </c>
      <c r="F722">
        <v>49.384986877000003</v>
      </c>
      <c r="G722">
        <v>1393.5285644999999</v>
      </c>
      <c r="H722">
        <v>1378.432251</v>
      </c>
      <c r="I722">
        <v>1287.0626221</v>
      </c>
      <c r="J722">
        <v>1268.0865478999999</v>
      </c>
      <c r="K722">
        <v>2400</v>
      </c>
      <c r="L722">
        <v>0</v>
      </c>
      <c r="M722">
        <v>0</v>
      </c>
      <c r="N722">
        <v>2400</v>
      </c>
    </row>
    <row r="723" spans="1:14" x14ac:dyDescent="0.25">
      <c r="A723">
        <v>369.00641300000001</v>
      </c>
      <c r="B723" s="1">
        <f>DATE(2011,5,5) + TIME(0,9,14)</f>
        <v>40668.006412037037</v>
      </c>
      <c r="C723">
        <v>80</v>
      </c>
      <c r="D723">
        <v>79.802803040000001</v>
      </c>
      <c r="E723">
        <v>50</v>
      </c>
      <c r="F723">
        <v>49.367393493999998</v>
      </c>
      <c r="G723">
        <v>1393.4367675999999</v>
      </c>
      <c r="H723">
        <v>1378.3537598</v>
      </c>
      <c r="I723">
        <v>1287.0588379000001</v>
      </c>
      <c r="J723">
        <v>1268.0814209</v>
      </c>
      <c r="K723">
        <v>2400</v>
      </c>
      <c r="L723">
        <v>0</v>
      </c>
      <c r="M723">
        <v>0</v>
      </c>
      <c r="N723">
        <v>2400</v>
      </c>
    </row>
    <row r="724" spans="1:14" x14ac:dyDescent="0.25">
      <c r="A724">
        <v>369.15547299999997</v>
      </c>
      <c r="B724" s="1">
        <f>DATE(2011,5,5) + TIME(3,43,52)</f>
        <v>40668.155462962961</v>
      </c>
      <c r="C724">
        <v>80</v>
      </c>
      <c r="D724">
        <v>79.825180054</v>
      </c>
      <c r="E724">
        <v>50</v>
      </c>
      <c r="F724">
        <v>49.349227904999999</v>
      </c>
      <c r="G724">
        <v>1393.3448486</v>
      </c>
      <c r="H724">
        <v>1378.2749022999999</v>
      </c>
      <c r="I724">
        <v>1287.0548096</v>
      </c>
      <c r="J724">
        <v>1268.0760498</v>
      </c>
      <c r="K724">
        <v>2400</v>
      </c>
      <c r="L724">
        <v>0</v>
      </c>
      <c r="M724">
        <v>0</v>
      </c>
      <c r="N724">
        <v>2400</v>
      </c>
    </row>
    <row r="725" spans="1:14" x14ac:dyDescent="0.25">
      <c r="A725">
        <v>369.310879</v>
      </c>
      <c r="B725" s="1">
        <f>DATE(2011,5,5) + TIME(7,27,39)</f>
        <v>40668.310868055552</v>
      </c>
      <c r="C725">
        <v>80</v>
      </c>
      <c r="D725">
        <v>79.844306946000003</v>
      </c>
      <c r="E725">
        <v>50</v>
      </c>
      <c r="F725">
        <v>49.330410004000001</v>
      </c>
      <c r="G725">
        <v>1393.2526855000001</v>
      </c>
      <c r="H725">
        <v>1378.1954346</v>
      </c>
      <c r="I725">
        <v>1287.0507812000001</v>
      </c>
      <c r="J725">
        <v>1268.0705565999999</v>
      </c>
      <c r="K725">
        <v>2400</v>
      </c>
      <c r="L725">
        <v>0</v>
      </c>
      <c r="M725">
        <v>0</v>
      </c>
      <c r="N725">
        <v>2400</v>
      </c>
    </row>
    <row r="726" spans="1:14" x14ac:dyDescent="0.25">
      <c r="A726">
        <v>369.47324300000002</v>
      </c>
      <c r="B726" s="1">
        <f>DATE(2011,5,5) + TIME(11,21,28)</f>
        <v>40668.473240740743</v>
      </c>
      <c r="C726">
        <v>80</v>
      </c>
      <c r="D726">
        <v>79.860572814999998</v>
      </c>
      <c r="E726">
        <v>50</v>
      </c>
      <c r="F726">
        <v>49.310886383000003</v>
      </c>
      <c r="G726">
        <v>1393.1599120999999</v>
      </c>
      <c r="H726">
        <v>1378.1149902</v>
      </c>
      <c r="I726">
        <v>1287.0463867000001</v>
      </c>
      <c r="J726">
        <v>1268.0648193</v>
      </c>
      <c r="K726">
        <v>2400</v>
      </c>
      <c r="L726">
        <v>0</v>
      </c>
      <c r="M726">
        <v>0</v>
      </c>
      <c r="N726">
        <v>2400</v>
      </c>
    </row>
    <row r="727" spans="1:14" x14ac:dyDescent="0.25">
      <c r="A727">
        <v>369.64217600000001</v>
      </c>
      <c r="B727" s="1">
        <f>DATE(2011,5,5) + TIME(15,24,44)</f>
        <v>40668.642175925925</v>
      </c>
      <c r="C727">
        <v>80</v>
      </c>
      <c r="D727">
        <v>79.874259949000006</v>
      </c>
      <c r="E727">
        <v>50</v>
      </c>
      <c r="F727">
        <v>49.290695190000001</v>
      </c>
      <c r="G727">
        <v>1393.0664062000001</v>
      </c>
      <c r="H727">
        <v>1378.0336914</v>
      </c>
      <c r="I727">
        <v>1287.0418701000001</v>
      </c>
      <c r="J727">
        <v>1268.0587158000001</v>
      </c>
      <c r="K727">
        <v>2400</v>
      </c>
      <c r="L727">
        <v>0</v>
      </c>
      <c r="M727">
        <v>0</v>
      </c>
      <c r="N727">
        <v>2400</v>
      </c>
    </row>
    <row r="728" spans="1:14" x14ac:dyDescent="0.25">
      <c r="A728">
        <v>369.81729200000001</v>
      </c>
      <c r="B728" s="1">
        <f>DATE(2011,5,5) + TIME(19,36,53)</f>
        <v>40668.817280092589</v>
      </c>
      <c r="C728">
        <v>80</v>
      </c>
      <c r="D728">
        <v>79.885681152000004</v>
      </c>
      <c r="E728">
        <v>50</v>
      </c>
      <c r="F728">
        <v>49.269870758000003</v>
      </c>
      <c r="G728">
        <v>1392.9722899999999</v>
      </c>
      <c r="H728">
        <v>1377.9517822</v>
      </c>
      <c r="I728">
        <v>1287.0371094</v>
      </c>
      <c r="J728">
        <v>1268.0523682</v>
      </c>
      <c r="K728">
        <v>2400</v>
      </c>
      <c r="L728">
        <v>0</v>
      </c>
      <c r="M728">
        <v>0</v>
      </c>
      <c r="N728">
        <v>2400</v>
      </c>
    </row>
    <row r="729" spans="1:14" x14ac:dyDescent="0.25">
      <c r="A729">
        <v>369.99924199999998</v>
      </c>
      <c r="B729" s="1">
        <f>DATE(2011,5,5) + TIME(23,58,54)</f>
        <v>40668.999236111114</v>
      </c>
      <c r="C729">
        <v>80</v>
      </c>
      <c r="D729">
        <v>79.895172118999994</v>
      </c>
      <c r="E729">
        <v>50</v>
      </c>
      <c r="F729">
        <v>49.248355865000001</v>
      </c>
      <c r="G729">
        <v>1392.8780518000001</v>
      </c>
      <c r="H729">
        <v>1377.8695068</v>
      </c>
      <c r="I729">
        <v>1287.0322266000001</v>
      </c>
      <c r="J729">
        <v>1268.0458983999999</v>
      </c>
      <c r="K729">
        <v>2400</v>
      </c>
      <c r="L729">
        <v>0</v>
      </c>
      <c r="M729">
        <v>0</v>
      </c>
      <c r="N729">
        <v>2400</v>
      </c>
    </row>
    <row r="730" spans="1:14" x14ac:dyDescent="0.25">
      <c r="A730">
        <v>370.18875500000001</v>
      </c>
      <c r="B730" s="1">
        <f>DATE(2011,5,6) + TIME(4,31,48)</f>
        <v>40669.188750000001</v>
      </c>
      <c r="C730">
        <v>80</v>
      </c>
      <c r="D730">
        <v>79.903030396000005</v>
      </c>
      <c r="E730">
        <v>50</v>
      </c>
      <c r="F730">
        <v>49.226074218999997</v>
      </c>
      <c r="G730">
        <v>1392.7833252</v>
      </c>
      <c r="H730">
        <v>1377.7866211</v>
      </c>
      <c r="I730">
        <v>1287.0270995999999</v>
      </c>
      <c r="J730">
        <v>1268.0390625</v>
      </c>
      <c r="K730">
        <v>2400</v>
      </c>
      <c r="L730">
        <v>0</v>
      </c>
      <c r="M730">
        <v>0</v>
      </c>
      <c r="N730">
        <v>2400</v>
      </c>
    </row>
    <row r="731" spans="1:14" x14ac:dyDescent="0.25">
      <c r="A731">
        <v>370.38667800000002</v>
      </c>
      <c r="B731" s="1">
        <f>DATE(2011,5,6) + TIME(9,16,48)</f>
        <v>40669.386666666665</v>
      </c>
      <c r="C731">
        <v>80</v>
      </c>
      <c r="D731">
        <v>79.909515381000006</v>
      </c>
      <c r="E731">
        <v>50</v>
      </c>
      <c r="F731">
        <v>49.202953338999997</v>
      </c>
      <c r="G731">
        <v>1392.6878661999999</v>
      </c>
      <c r="H731">
        <v>1377.703125</v>
      </c>
      <c r="I731">
        <v>1287.0217285000001</v>
      </c>
      <c r="J731">
        <v>1268.0319824000001</v>
      </c>
      <c r="K731">
        <v>2400</v>
      </c>
      <c r="L731">
        <v>0</v>
      </c>
      <c r="M731">
        <v>0</v>
      </c>
      <c r="N731">
        <v>2400</v>
      </c>
    </row>
    <row r="732" spans="1:14" x14ac:dyDescent="0.25">
      <c r="A732">
        <v>370.58783299999999</v>
      </c>
      <c r="B732" s="1">
        <f>DATE(2011,5,6) + TIME(14,6,28)</f>
        <v>40669.587824074071</v>
      </c>
      <c r="C732">
        <v>80</v>
      </c>
      <c r="D732">
        <v>79.914718628000003</v>
      </c>
      <c r="E732">
        <v>50</v>
      </c>
      <c r="F732">
        <v>49.179477691999999</v>
      </c>
      <c r="G732">
        <v>1392.5914307</v>
      </c>
      <c r="H732">
        <v>1377.6186522999999</v>
      </c>
      <c r="I732">
        <v>1287.0159911999999</v>
      </c>
      <c r="J732">
        <v>1268.0246582</v>
      </c>
      <c r="K732">
        <v>2400</v>
      </c>
      <c r="L732">
        <v>0</v>
      </c>
      <c r="M732">
        <v>0</v>
      </c>
      <c r="N732">
        <v>2400</v>
      </c>
    </row>
    <row r="733" spans="1:14" x14ac:dyDescent="0.25">
      <c r="A733">
        <v>370.79028</v>
      </c>
      <c r="B733" s="1">
        <f>DATE(2011,5,6) + TIME(18,58,0)</f>
        <v>40669.790277777778</v>
      </c>
      <c r="C733">
        <v>80</v>
      </c>
      <c r="D733">
        <v>79.918861389</v>
      </c>
      <c r="E733">
        <v>50</v>
      </c>
      <c r="F733">
        <v>49.155841827000003</v>
      </c>
      <c r="G733">
        <v>1392.496582</v>
      </c>
      <c r="H733">
        <v>1377.5355225000001</v>
      </c>
      <c r="I733">
        <v>1287.0102539</v>
      </c>
      <c r="J733">
        <v>1268.0170897999999</v>
      </c>
      <c r="K733">
        <v>2400</v>
      </c>
      <c r="L733">
        <v>0</v>
      </c>
      <c r="M733">
        <v>0</v>
      </c>
      <c r="N733">
        <v>2400</v>
      </c>
    </row>
    <row r="734" spans="1:14" x14ac:dyDescent="0.25">
      <c r="A734">
        <v>370.99453999999997</v>
      </c>
      <c r="B734" s="1">
        <f>DATE(2011,5,6) + TIME(23,52,8)</f>
        <v>40669.994537037041</v>
      </c>
      <c r="C734">
        <v>80</v>
      </c>
      <c r="D734">
        <v>79.922172545999999</v>
      </c>
      <c r="E734">
        <v>50</v>
      </c>
      <c r="F734">
        <v>49.132022857999999</v>
      </c>
      <c r="G734">
        <v>1392.4040527</v>
      </c>
      <c r="H734">
        <v>1377.4543457</v>
      </c>
      <c r="I734">
        <v>1287.0043945</v>
      </c>
      <c r="J734">
        <v>1268.0095214999999</v>
      </c>
      <c r="K734">
        <v>2400</v>
      </c>
      <c r="L734">
        <v>0</v>
      </c>
      <c r="M734">
        <v>0</v>
      </c>
      <c r="N734">
        <v>2400</v>
      </c>
    </row>
    <row r="735" spans="1:14" x14ac:dyDescent="0.25">
      <c r="A735">
        <v>371.20115399999997</v>
      </c>
      <c r="B735" s="1">
        <f>DATE(2011,5,7) + TIME(4,49,39)</f>
        <v>40670.201145833336</v>
      </c>
      <c r="C735">
        <v>80</v>
      </c>
      <c r="D735">
        <v>79.924827575999998</v>
      </c>
      <c r="E735">
        <v>50</v>
      </c>
      <c r="F735">
        <v>49.107978821000003</v>
      </c>
      <c r="G735">
        <v>1392.3134766000001</v>
      </c>
      <c r="H735">
        <v>1377.375</v>
      </c>
      <c r="I735">
        <v>1286.9985352000001</v>
      </c>
      <c r="J735">
        <v>1268.0019531</v>
      </c>
      <c r="K735">
        <v>2400</v>
      </c>
      <c r="L735">
        <v>0</v>
      </c>
      <c r="M735">
        <v>0</v>
      </c>
      <c r="N735">
        <v>2400</v>
      </c>
    </row>
    <row r="736" spans="1:14" x14ac:dyDescent="0.25">
      <c r="A736">
        <v>371.41017299999999</v>
      </c>
      <c r="B736" s="1">
        <f>DATE(2011,5,7) + TIME(9,50,38)</f>
        <v>40670.410162037035</v>
      </c>
      <c r="C736">
        <v>80</v>
      </c>
      <c r="D736">
        <v>79.926963806000003</v>
      </c>
      <c r="E736">
        <v>50</v>
      </c>
      <c r="F736">
        <v>49.083721161</v>
      </c>
      <c r="G736">
        <v>1392.2244873</v>
      </c>
      <c r="H736">
        <v>1377.2971190999999</v>
      </c>
      <c r="I736">
        <v>1286.9925536999999</v>
      </c>
      <c r="J736">
        <v>1267.9941406</v>
      </c>
      <c r="K736">
        <v>2400</v>
      </c>
      <c r="L736">
        <v>0</v>
      </c>
      <c r="M736">
        <v>0</v>
      </c>
      <c r="N736">
        <v>2400</v>
      </c>
    </row>
    <row r="737" spans="1:14" x14ac:dyDescent="0.25">
      <c r="A737">
        <v>371.62132100000002</v>
      </c>
      <c r="B737" s="1">
        <f>DATE(2011,5,7) + TIME(14,54,42)</f>
        <v>40670.621319444443</v>
      </c>
      <c r="C737">
        <v>80</v>
      </c>
      <c r="D737">
        <v>79.928688049000002</v>
      </c>
      <c r="E737">
        <v>50</v>
      </c>
      <c r="F737">
        <v>49.059284210000001</v>
      </c>
      <c r="G737">
        <v>1392.1369629000001</v>
      </c>
      <c r="H737">
        <v>1377.2204589999999</v>
      </c>
      <c r="I737">
        <v>1286.9864502</v>
      </c>
      <c r="J737">
        <v>1267.9863281</v>
      </c>
      <c r="K737">
        <v>2400</v>
      </c>
      <c r="L737">
        <v>0</v>
      </c>
      <c r="M737">
        <v>0</v>
      </c>
      <c r="N737">
        <v>2400</v>
      </c>
    </row>
    <row r="738" spans="1:14" x14ac:dyDescent="0.25">
      <c r="A738">
        <v>371.83506199999999</v>
      </c>
      <c r="B738" s="1">
        <f>DATE(2011,5,7) + TIME(20,2,29)</f>
        <v>40670.835057870368</v>
      </c>
      <c r="C738">
        <v>80</v>
      </c>
      <c r="D738">
        <v>79.930084229000002</v>
      </c>
      <c r="E738">
        <v>50</v>
      </c>
      <c r="F738">
        <v>49.034626007</v>
      </c>
      <c r="G738">
        <v>1392.0510254000001</v>
      </c>
      <c r="H738">
        <v>1377.1452637</v>
      </c>
      <c r="I738">
        <v>1286.9803466999999</v>
      </c>
      <c r="J738">
        <v>1267.9783935999999</v>
      </c>
      <c r="K738">
        <v>2400</v>
      </c>
      <c r="L738">
        <v>0</v>
      </c>
      <c r="M738">
        <v>0</v>
      </c>
      <c r="N738">
        <v>2400</v>
      </c>
    </row>
    <row r="739" spans="1:14" x14ac:dyDescent="0.25">
      <c r="A739">
        <v>372.05191500000001</v>
      </c>
      <c r="B739" s="1">
        <f>DATE(2011,5,8) + TIME(1,14,45)</f>
        <v>40671.05190972222</v>
      </c>
      <c r="C739">
        <v>80</v>
      </c>
      <c r="D739">
        <v>79.931213378999999</v>
      </c>
      <c r="E739">
        <v>50</v>
      </c>
      <c r="F739">
        <v>49.009716034</v>
      </c>
      <c r="G739">
        <v>1391.9663086</v>
      </c>
      <c r="H739">
        <v>1377.0712891000001</v>
      </c>
      <c r="I739">
        <v>1286.9742432</v>
      </c>
      <c r="J739">
        <v>1267.9703368999999</v>
      </c>
      <c r="K739">
        <v>2400</v>
      </c>
      <c r="L739">
        <v>0</v>
      </c>
      <c r="M739">
        <v>0</v>
      </c>
      <c r="N739">
        <v>2400</v>
      </c>
    </row>
    <row r="740" spans="1:14" x14ac:dyDescent="0.25">
      <c r="A740">
        <v>372.272265</v>
      </c>
      <c r="B740" s="1">
        <f>DATE(2011,5,8) + TIME(6,32,3)</f>
        <v>40671.272256944445</v>
      </c>
      <c r="C740">
        <v>80</v>
      </c>
      <c r="D740">
        <v>79.932144164999997</v>
      </c>
      <c r="E740">
        <v>50</v>
      </c>
      <c r="F740">
        <v>48.984512328999998</v>
      </c>
      <c r="G740">
        <v>1391.8826904</v>
      </c>
      <c r="H740">
        <v>1376.9982910000001</v>
      </c>
      <c r="I740">
        <v>1286.9678954999999</v>
      </c>
      <c r="J740">
        <v>1267.9621582</v>
      </c>
      <c r="K740">
        <v>2400</v>
      </c>
      <c r="L740">
        <v>0</v>
      </c>
      <c r="M740">
        <v>0</v>
      </c>
      <c r="N740">
        <v>2400</v>
      </c>
    </row>
    <row r="741" spans="1:14" x14ac:dyDescent="0.25">
      <c r="A741">
        <v>372.49659500000001</v>
      </c>
      <c r="B741" s="1">
        <f>DATE(2011,5,8) + TIME(11,55,5)</f>
        <v>40671.49658564815</v>
      </c>
      <c r="C741">
        <v>80</v>
      </c>
      <c r="D741">
        <v>79.932899474999999</v>
      </c>
      <c r="E741">
        <v>50</v>
      </c>
      <c r="F741">
        <v>48.958976745999998</v>
      </c>
      <c r="G741">
        <v>1391.7999268000001</v>
      </c>
      <c r="H741">
        <v>1376.9260254000001</v>
      </c>
      <c r="I741">
        <v>1286.9615478999999</v>
      </c>
      <c r="J741">
        <v>1267.9538574000001</v>
      </c>
      <c r="K741">
        <v>2400</v>
      </c>
      <c r="L741">
        <v>0</v>
      </c>
      <c r="M741">
        <v>0</v>
      </c>
      <c r="N741">
        <v>2400</v>
      </c>
    </row>
    <row r="742" spans="1:14" x14ac:dyDescent="0.25">
      <c r="A742">
        <v>372.725416</v>
      </c>
      <c r="B742" s="1">
        <f>DATE(2011,5,8) + TIME(17,24,35)</f>
        <v>40671.725405092591</v>
      </c>
      <c r="C742">
        <v>80</v>
      </c>
      <c r="D742">
        <v>79.933525084999999</v>
      </c>
      <c r="E742">
        <v>50</v>
      </c>
      <c r="F742">
        <v>48.933063507</v>
      </c>
      <c r="G742">
        <v>1391.7176514</v>
      </c>
      <c r="H742">
        <v>1376.8543701000001</v>
      </c>
      <c r="I742">
        <v>1286.9550781</v>
      </c>
      <c r="J742">
        <v>1267.9454346</v>
      </c>
      <c r="K742">
        <v>2400</v>
      </c>
      <c r="L742">
        <v>0</v>
      </c>
      <c r="M742">
        <v>0</v>
      </c>
      <c r="N742">
        <v>2400</v>
      </c>
    </row>
    <row r="743" spans="1:14" x14ac:dyDescent="0.25">
      <c r="A743">
        <v>372.959272</v>
      </c>
      <c r="B743" s="1">
        <f>DATE(2011,5,8) + TIME(23,1,21)</f>
        <v>40671.959270833337</v>
      </c>
      <c r="C743">
        <v>80</v>
      </c>
      <c r="D743">
        <v>79.934043884000005</v>
      </c>
      <c r="E743">
        <v>50</v>
      </c>
      <c r="F743">
        <v>48.906723022000001</v>
      </c>
      <c r="G743">
        <v>1391.6359863</v>
      </c>
      <c r="H743">
        <v>1376.7830810999999</v>
      </c>
      <c r="I743">
        <v>1286.9483643000001</v>
      </c>
      <c r="J743">
        <v>1267.9367675999999</v>
      </c>
      <c r="K743">
        <v>2400</v>
      </c>
      <c r="L743">
        <v>0</v>
      </c>
      <c r="M743">
        <v>0</v>
      </c>
      <c r="N743">
        <v>2400</v>
      </c>
    </row>
    <row r="744" spans="1:14" x14ac:dyDescent="0.25">
      <c r="A744">
        <v>373.19874900000002</v>
      </c>
      <c r="B744" s="1">
        <f>DATE(2011,5,9) + TIME(4,46,11)</f>
        <v>40672.198738425926</v>
      </c>
      <c r="C744">
        <v>80</v>
      </c>
      <c r="D744">
        <v>79.934478760000005</v>
      </c>
      <c r="E744">
        <v>50</v>
      </c>
      <c r="F744">
        <v>48.879901885999999</v>
      </c>
      <c r="G744">
        <v>1391.5545654</v>
      </c>
      <c r="H744">
        <v>1376.7122803</v>
      </c>
      <c r="I744">
        <v>1286.9416504000001</v>
      </c>
      <c r="J744">
        <v>1267.9279785000001</v>
      </c>
      <c r="K744">
        <v>2400</v>
      </c>
      <c r="L744">
        <v>0</v>
      </c>
      <c r="M744">
        <v>0</v>
      </c>
      <c r="N744">
        <v>2400</v>
      </c>
    </row>
    <row r="745" spans="1:14" x14ac:dyDescent="0.25">
      <c r="A745">
        <v>373.44448699999998</v>
      </c>
      <c r="B745" s="1">
        <f>DATE(2011,5,9) + TIME(10,40,3)</f>
        <v>40672.444479166668</v>
      </c>
      <c r="C745">
        <v>80</v>
      </c>
      <c r="D745">
        <v>79.934844971000004</v>
      </c>
      <c r="E745">
        <v>50</v>
      </c>
      <c r="F745">
        <v>48.852539061999998</v>
      </c>
      <c r="G745">
        <v>1391.4731445</v>
      </c>
      <c r="H745">
        <v>1376.6414795000001</v>
      </c>
      <c r="I745">
        <v>1286.9345702999999</v>
      </c>
      <c r="J745">
        <v>1267.9189452999999</v>
      </c>
      <c r="K745">
        <v>2400</v>
      </c>
      <c r="L745">
        <v>0</v>
      </c>
      <c r="M745">
        <v>0</v>
      </c>
      <c r="N745">
        <v>2400</v>
      </c>
    </row>
    <row r="746" spans="1:14" x14ac:dyDescent="0.25">
      <c r="A746">
        <v>373.69718999999998</v>
      </c>
      <c r="B746" s="1">
        <f>DATE(2011,5,9) + TIME(16,43,57)</f>
        <v>40672.697187500002</v>
      </c>
      <c r="C746">
        <v>80</v>
      </c>
      <c r="D746">
        <v>79.935142517000003</v>
      </c>
      <c r="E746">
        <v>50</v>
      </c>
      <c r="F746">
        <v>48.824573516999997</v>
      </c>
      <c r="G746">
        <v>1391.3917236</v>
      </c>
      <c r="H746">
        <v>1376.5706786999999</v>
      </c>
      <c r="I746">
        <v>1286.9274902</v>
      </c>
      <c r="J746">
        <v>1267.9095459</v>
      </c>
      <c r="K746">
        <v>2400</v>
      </c>
      <c r="L746">
        <v>0</v>
      </c>
      <c r="M746">
        <v>0</v>
      </c>
      <c r="N746">
        <v>2400</v>
      </c>
    </row>
    <row r="747" spans="1:14" x14ac:dyDescent="0.25">
      <c r="A747">
        <v>373.95763499999998</v>
      </c>
      <c r="B747" s="1">
        <f>DATE(2011,5,9) + TIME(22,58,59)</f>
        <v>40672.957627314812</v>
      </c>
      <c r="C747">
        <v>80</v>
      </c>
      <c r="D747">
        <v>79.935401916999993</v>
      </c>
      <c r="E747">
        <v>50</v>
      </c>
      <c r="F747">
        <v>48.79593277</v>
      </c>
      <c r="G747">
        <v>1391.3099365</v>
      </c>
      <c r="H747">
        <v>1376.4997559000001</v>
      </c>
      <c r="I747">
        <v>1286.9200439000001</v>
      </c>
      <c r="J747">
        <v>1267.9000243999999</v>
      </c>
      <c r="K747">
        <v>2400</v>
      </c>
      <c r="L747">
        <v>0</v>
      </c>
      <c r="M747">
        <v>0</v>
      </c>
      <c r="N747">
        <v>2400</v>
      </c>
    </row>
    <row r="748" spans="1:14" x14ac:dyDescent="0.25">
      <c r="A748">
        <v>374.226696</v>
      </c>
      <c r="B748" s="1">
        <f>DATE(2011,5,10) + TIME(5,26,26)</f>
        <v>40673.226689814815</v>
      </c>
      <c r="C748">
        <v>80</v>
      </c>
      <c r="D748">
        <v>79.935615540000001</v>
      </c>
      <c r="E748">
        <v>50</v>
      </c>
      <c r="F748">
        <v>48.766540526999997</v>
      </c>
      <c r="G748">
        <v>1391.2277832</v>
      </c>
      <c r="H748">
        <v>1376.4284668</v>
      </c>
      <c r="I748">
        <v>1286.9124756000001</v>
      </c>
      <c r="J748">
        <v>1267.8901367000001</v>
      </c>
      <c r="K748">
        <v>2400</v>
      </c>
      <c r="L748">
        <v>0</v>
      </c>
      <c r="M748">
        <v>0</v>
      </c>
      <c r="N748">
        <v>2400</v>
      </c>
    </row>
    <row r="749" spans="1:14" x14ac:dyDescent="0.25">
      <c r="A749">
        <v>374.50553200000002</v>
      </c>
      <c r="B749" s="1">
        <f>DATE(2011,5,10) + TIME(12,7,57)</f>
        <v>40673.505520833336</v>
      </c>
      <c r="C749">
        <v>80</v>
      </c>
      <c r="D749">
        <v>79.935798645000006</v>
      </c>
      <c r="E749">
        <v>50</v>
      </c>
      <c r="F749">
        <v>48.736286163000003</v>
      </c>
      <c r="G749">
        <v>1391.1448975000001</v>
      </c>
      <c r="H749">
        <v>1376.3566894999999</v>
      </c>
      <c r="I749">
        <v>1286.9045410000001</v>
      </c>
      <c r="J749">
        <v>1267.8800048999999</v>
      </c>
      <c r="K749">
        <v>2400</v>
      </c>
      <c r="L749">
        <v>0</v>
      </c>
      <c r="M749">
        <v>0</v>
      </c>
      <c r="N749">
        <v>2400</v>
      </c>
    </row>
    <row r="750" spans="1:14" x14ac:dyDescent="0.25">
      <c r="A750">
        <v>374.794128</v>
      </c>
      <c r="B750" s="1">
        <f>DATE(2011,5,10) + TIME(19,3,32)</f>
        <v>40673.794120370374</v>
      </c>
      <c r="C750">
        <v>80</v>
      </c>
      <c r="D750">
        <v>79.935951232999997</v>
      </c>
      <c r="E750">
        <v>50</v>
      </c>
      <c r="F750">
        <v>48.705169677999997</v>
      </c>
      <c r="G750">
        <v>1391.0611572</v>
      </c>
      <c r="H750">
        <v>1376.2841797000001</v>
      </c>
      <c r="I750">
        <v>1286.8963623</v>
      </c>
      <c r="J750">
        <v>1267.8693848</v>
      </c>
      <c r="K750">
        <v>2400</v>
      </c>
      <c r="L750">
        <v>0</v>
      </c>
      <c r="M750">
        <v>0</v>
      </c>
      <c r="N750">
        <v>2400</v>
      </c>
    </row>
    <row r="751" spans="1:14" x14ac:dyDescent="0.25">
      <c r="A751">
        <v>375.09056299999997</v>
      </c>
      <c r="B751" s="1">
        <f>DATE(2011,5,11) + TIME(2,10,24)</f>
        <v>40674.090555555558</v>
      </c>
      <c r="C751">
        <v>80</v>
      </c>
      <c r="D751">
        <v>79.936080933</v>
      </c>
      <c r="E751">
        <v>50</v>
      </c>
      <c r="F751">
        <v>48.673336028999998</v>
      </c>
      <c r="G751">
        <v>1390.9764404</v>
      </c>
      <c r="H751">
        <v>1376.2110596</v>
      </c>
      <c r="I751">
        <v>1286.8878173999999</v>
      </c>
      <c r="J751">
        <v>1267.8583983999999</v>
      </c>
      <c r="K751">
        <v>2400</v>
      </c>
      <c r="L751">
        <v>0</v>
      </c>
      <c r="M751">
        <v>0</v>
      </c>
      <c r="N751">
        <v>2400</v>
      </c>
    </row>
    <row r="752" spans="1:14" x14ac:dyDescent="0.25">
      <c r="A752">
        <v>375.39574599999997</v>
      </c>
      <c r="B752" s="1">
        <f>DATE(2011,5,11) + TIME(9,29,52)</f>
        <v>40674.395740740743</v>
      </c>
      <c r="C752">
        <v>80</v>
      </c>
      <c r="D752">
        <v>79.936187743999994</v>
      </c>
      <c r="E752">
        <v>50</v>
      </c>
      <c r="F752">
        <v>48.640720367</v>
      </c>
      <c r="G752">
        <v>1390.8917236</v>
      </c>
      <c r="H752">
        <v>1376.1378173999999</v>
      </c>
      <c r="I752">
        <v>1286.8790283000001</v>
      </c>
      <c r="J752">
        <v>1267.847168</v>
      </c>
      <c r="K752">
        <v>2400</v>
      </c>
      <c r="L752">
        <v>0</v>
      </c>
      <c r="M752">
        <v>0</v>
      </c>
      <c r="N752">
        <v>2400</v>
      </c>
    </row>
    <row r="753" spans="1:14" x14ac:dyDescent="0.25">
      <c r="A753">
        <v>375.70849399999997</v>
      </c>
      <c r="B753" s="1">
        <f>DATE(2011,5,11) + TIME(17,0,13)</f>
        <v>40674.708483796298</v>
      </c>
      <c r="C753">
        <v>80</v>
      </c>
      <c r="D753">
        <v>79.936279296999999</v>
      </c>
      <c r="E753">
        <v>50</v>
      </c>
      <c r="F753">
        <v>48.607418060000001</v>
      </c>
      <c r="G753">
        <v>1390.8065185999999</v>
      </c>
      <c r="H753">
        <v>1376.0643310999999</v>
      </c>
      <c r="I753">
        <v>1286.8699951000001</v>
      </c>
      <c r="J753">
        <v>1267.8355713000001</v>
      </c>
      <c r="K753">
        <v>2400</v>
      </c>
      <c r="L753">
        <v>0</v>
      </c>
      <c r="M753">
        <v>0</v>
      </c>
      <c r="N753">
        <v>2400</v>
      </c>
    </row>
    <row r="754" spans="1:14" x14ac:dyDescent="0.25">
      <c r="A754">
        <v>376.02327400000001</v>
      </c>
      <c r="B754" s="1">
        <f>DATE(2011,5,12) + TIME(0,33,30)</f>
        <v>40675.023263888892</v>
      </c>
      <c r="C754">
        <v>80</v>
      </c>
      <c r="D754">
        <v>79.936347960999996</v>
      </c>
      <c r="E754">
        <v>50</v>
      </c>
      <c r="F754">
        <v>48.573867798000002</v>
      </c>
      <c r="G754">
        <v>1390.7214355000001</v>
      </c>
      <c r="H754">
        <v>1375.9909668</v>
      </c>
      <c r="I754">
        <v>1286.8605957</v>
      </c>
      <c r="J754">
        <v>1267.8236084</v>
      </c>
      <c r="K754">
        <v>2400</v>
      </c>
      <c r="L754">
        <v>0</v>
      </c>
      <c r="M754">
        <v>0</v>
      </c>
      <c r="N754">
        <v>2400</v>
      </c>
    </row>
    <row r="755" spans="1:14" x14ac:dyDescent="0.25">
      <c r="A755">
        <v>376.3408</v>
      </c>
      <c r="B755" s="1">
        <f>DATE(2011,5,12) + TIME(8,10,45)</f>
        <v>40675.340798611112</v>
      </c>
      <c r="C755">
        <v>80</v>
      </c>
      <c r="D755">
        <v>79.936408997000001</v>
      </c>
      <c r="E755">
        <v>50</v>
      </c>
      <c r="F755">
        <v>48.540069580000001</v>
      </c>
      <c r="G755">
        <v>1390.6376952999999</v>
      </c>
      <c r="H755">
        <v>1375.9188231999999</v>
      </c>
      <c r="I755">
        <v>1286.8511963000001</v>
      </c>
      <c r="J755">
        <v>1267.8116454999999</v>
      </c>
      <c r="K755">
        <v>2400</v>
      </c>
      <c r="L755">
        <v>0</v>
      </c>
      <c r="M755">
        <v>0</v>
      </c>
      <c r="N755">
        <v>2400</v>
      </c>
    </row>
    <row r="756" spans="1:14" x14ac:dyDescent="0.25">
      <c r="A756">
        <v>376.66182199999997</v>
      </c>
      <c r="B756" s="1">
        <f>DATE(2011,5,12) + TIME(15,53,1)</f>
        <v>40675.661817129629</v>
      </c>
      <c r="C756">
        <v>80</v>
      </c>
      <c r="D756">
        <v>79.936454772999994</v>
      </c>
      <c r="E756">
        <v>50</v>
      </c>
      <c r="F756">
        <v>48.505992888999998</v>
      </c>
      <c r="G756">
        <v>1390.5554199000001</v>
      </c>
      <c r="H756">
        <v>1375.8479004000001</v>
      </c>
      <c r="I756">
        <v>1286.8416748</v>
      </c>
      <c r="J756">
        <v>1267.7994385</v>
      </c>
      <c r="K756">
        <v>2400</v>
      </c>
      <c r="L756">
        <v>0</v>
      </c>
      <c r="M756">
        <v>0</v>
      </c>
      <c r="N756">
        <v>2400</v>
      </c>
    </row>
    <row r="757" spans="1:14" x14ac:dyDescent="0.25">
      <c r="A757">
        <v>376.98712</v>
      </c>
      <c r="B757" s="1">
        <f>DATE(2011,5,12) + TIME(23,41,27)</f>
        <v>40675.987118055556</v>
      </c>
      <c r="C757">
        <v>80</v>
      </c>
      <c r="D757">
        <v>79.936492920000006</v>
      </c>
      <c r="E757">
        <v>50</v>
      </c>
      <c r="F757">
        <v>48.471599578999999</v>
      </c>
      <c r="G757">
        <v>1390.473999</v>
      </c>
      <c r="H757">
        <v>1375.7779541</v>
      </c>
      <c r="I757">
        <v>1286.8320312000001</v>
      </c>
      <c r="J757">
        <v>1267.7872314000001</v>
      </c>
      <c r="K757">
        <v>2400</v>
      </c>
      <c r="L757">
        <v>0</v>
      </c>
      <c r="M757">
        <v>0</v>
      </c>
      <c r="N757">
        <v>2400</v>
      </c>
    </row>
    <row r="758" spans="1:14" x14ac:dyDescent="0.25">
      <c r="A758">
        <v>377.31736100000001</v>
      </c>
      <c r="B758" s="1">
        <f>DATE(2011,5,13) + TIME(7,36,59)</f>
        <v>40676.317349537036</v>
      </c>
      <c r="C758">
        <v>80</v>
      </c>
      <c r="D758">
        <v>79.936515807999996</v>
      </c>
      <c r="E758">
        <v>50</v>
      </c>
      <c r="F758">
        <v>48.436847686999997</v>
      </c>
      <c r="G758">
        <v>1390.3934326000001</v>
      </c>
      <c r="H758">
        <v>1375.7086182</v>
      </c>
      <c r="I758">
        <v>1286.8222656</v>
      </c>
      <c r="J758">
        <v>1267.7746582</v>
      </c>
      <c r="K758">
        <v>2400</v>
      </c>
      <c r="L758">
        <v>0</v>
      </c>
      <c r="M758">
        <v>0</v>
      </c>
      <c r="N758">
        <v>2400</v>
      </c>
    </row>
    <row r="759" spans="1:14" x14ac:dyDescent="0.25">
      <c r="A759">
        <v>377.65135900000001</v>
      </c>
      <c r="B759" s="1">
        <f>DATE(2011,5,13) + TIME(15,37,57)</f>
        <v>40676.651354166665</v>
      </c>
      <c r="C759">
        <v>80</v>
      </c>
      <c r="D759">
        <v>79.936538696</v>
      </c>
      <c r="E759">
        <v>50</v>
      </c>
      <c r="F759">
        <v>48.401828766000001</v>
      </c>
      <c r="G759">
        <v>1390.3134766000001</v>
      </c>
      <c r="H759">
        <v>1375.6400146000001</v>
      </c>
      <c r="I759">
        <v>1286.8123779</v>
      </c>
      <c r="J759">
        <v>1267.7619629000001</v>
      </c>
      <c r="K759">
        <v>2400</v>
      </c>
      <c r="L759">
        <v>0</v>
      </c>
      <c r="M759">
        <v>0</v>
      </c>
      <c r="N759">
        <v>2400</v>
      </c>
    </row>
    <row r="760" spans="1:14" x14ac:dyDescent="0.25">
      <c r="A760">
        <v>377.98976399999998</v>
      </c>
      <c r="B760" s="1">
        <f>DATE(2011,5,13) + TIME(23,45,15)</f>
        <v>40676.989756944444</v>
      </c>
      <c r="C760">
        <v>80</v>
      </c>
      <c r="D760">
        <v>79.936553954999994</v>
      </c>
      <c r="E760">
        <v>50</v>
      </c>
      <c r="F760">
        <v>48.366504669000001</v>
      </c>
      <c r="G760">
        <v>1390.234375</v>
      </c>
      <c r="H760">
        <v>1375.5720214999999</v>
      </c>
      <c r="I760">
        <v>1286.8022461</v>
      </c>
      <c r="J760">
        <v>1267.7491454999999</v>
      </c>
      <c r="K760">
        <v>2400</v>
      </c>
      <c r="L760">
        <v>0</v>
      </c>
      <c r="M760">
        <v>0</v>
      </c>
      <c r="N760">
        <v>2400</v>
      </c>
    </row>
    <row r="761" spans="1:14" x14ac:dyDescent="0.25">
      <c r="A761">
        <v>378.33334400000001</v>
      </c>
      <c r="B761" s="1">
        <f>DATE(2011,5,14) + TIME(8,0,0)</f>
        <v>40677.333333333336</v>
      </c>
      <c r="C761">
        <v>80</v>
      </c>
      <c r="D761">
        <v>79.936561584000003</v>
      </c>
      <c r="E761">
        <v>50</v>
      </c>
      <c r="F761">
        <v>48.330829620000003</v>
      </c>
      <c r="G761">
        <v>1390.1558838000001</v>
      </c>
      <c r="H761">
        <v>1375.5047606999999</v>
      </c>
      <c r="I761">
        <v>1286.7919922000001</v>
      </c>
      <c r="J761">
        <v>1267.7360839999999</v>
      </c>
      <c r="K761">
        <v>2400</v>
      </c>
      <c r="L761">
        <v>0</v>
      </c>
      <c r="M761">
        <v>0</v>
      </c>
      <c r="N761">
        <v>2400</v>
      </c>
    </row>
    <row r="762" spans="1:14" x14ac:dyDescent="0.25">
      <c r="A762">
        <v>378.68289800000002</v>
      </c>
      <c r="B762" s="1">
        <f>DATE(2011,5,14) + TIME(16,23,22)</f>
        <v>40677.682893518519</v>
      </c>
      <c r="C762">
        <v>80</v>
      </c>
      <c r="D762">
        <v>79.936569214000002</v>
      </c>
      <c r="E762">
        <v>50</v>
      </c>
      <c r="F762">
        <v>48.294734955000003</v>
      </c>
      <c r="G762">
        <v>1390.0780029</v>
      </c>
      <c r="H762">
        <v>1375.4379882999999</v>
      </c>
      <c r="I762">
        <v>1286.7816161999999</v>
      </c>
      <c r="J762">
        <v>1267.7227783000001</v>
      </c>
      <c r="K762">
        <v>2400</v>
      </c>
      <c r="L762">
        <v>0</v>
      </c>
      <c r="M762">
        <v>0</v>
      </c>
      <c r="N762">
        <v>2400</v>
      </c>
    </row>
    <row r="763" spans="1:14" x14ac:dyDescent="0.25">
      <c r="A763">
        <v>379.03928000000002</v>
      </c>
      <c r="B763" s="1">
        <f>DATE(2011,5,15) + TIME(0,56,33)</f>
        <v>40678.039270833331</v>
      </c>
      <c r="C763">
        <v>80</v>
      </c>
      <c r="D763">
        <v>79.936569214000002</v>
      </c>
      <c r="E763">
        <v>50</v>
      </c>
      <c r="F763">
        <v>48.258159636999999</v>
      </c>
      <c r="G763">
        <v>1390.0004882999999</v>
      </c>
      <c r="H763">
        <v>1375.371582</v>
      </c>
      <c r="I763">
        <v>1286.7709961</v>
      </c>
      <c r="J763">
        <v>1267.7092285000001</v>
      </c>
      <c r="K763">
        <v>2400</v>
      </c>
      <c r="L763">
        <v>0</v>
      </c>
      <c r="M763">
        <v>0</v>
      </c>
      <c r="N763">
        <v>2400</v>
      </c>
    </row>
    <row r="764" spans="1:14" x14ac:dyDescent="0.25">
      <c r="A764">
        <v>379.40340300000003</v>
      </c>
      <c r="B764" s="1">
        <f>DATE(2011,5,15) + TIME(9,40,54)</f>
        <v>40678.403402777774</v>
      </c>
      <c r="C764">
        <v>80</v>
      </c>
      <c r="D764">
        <v>79.936569214000002</v>
      </c>
      <c r="E764">
        <v>50</v>
      </c>
      <c r="F764">
        <v>48.221031189000001</v>
      </c>
      <c r="G764">
        <v>1389.9230957</v>
      </c>
      <c r="H764">
        <v>1375.3052978999999</v>
      </c>
      <c r="I764">
        <v>1286.7601318</v>
      </c>
      <c r="J764">
        <v>1267.6954346</v>
      </c>
      <c r="K764">
        <v>2400</v>
      </c>
      <c r="L764">
        <v>0</v>
      </c>
      <c r="M764">
        <v>0</v>
      </c>
      <c r="N764">
        <v>2400</v>
      </c>
    </row>
    <row r="765" spans="1:14" x14ac:dyDescent="0.25">
      <c r="A765">
        <v>379.77625799999998</v>
      </c>
      <c r="B765" s="1">
        <f>DATE(2011,5,15) + TIME(18,37,48)</f>
        <v>40678.776250000003</v>
      </c>
      <c r="C765">
        <v>80</v>
      </c>
      <c r="D765">
        <v>79.936569214000002</v>
      </c>
      <c r="E765">
        <v>50</v>
      </c>
      <c r="F765">
        <v>48.183261870999999</v>
      </c>
      <c r="G765">
        <v>1389.8457031</v>
      </c>
      <c r="H765">
        <v>1375.2390137</v>
      </c>
      <c r="I765">
        <v>1286.7490233999999</v>
      </c>
      <c r="J765">
        <v>1267.6812743999999</v>
      </c>
      <c r="K765">
        <v>2400</v>
      </c>
      <c r="L765">
        <v>0</v>
      </c>
      <c r="M765">
        <v>0</v>
      </c>
      <c r="N765">
        <v>2400</v>
      </c>
    </row>
    <row r="766" spans="1:14" x14ac:dyDescent="0.25">
      <c r="A766">
        <v>380.158931</v>
      </c>
      <c r="B766" s="1">
        <f>DATE(2011,5,16) + TIME(3,48,51)</f>
        <v>40679.15892361111</v>
      </c>
      <c r="C766">
        <v>80</v>
      </c>
      <c r="D766">
        <v>79.936561584000003</v>
      </c>
      <c r="E766">
        <v>50</v>
      </c>
      <c r="F766">
        <v>48.144763947000001</v>
      </c>
      <c r="G766">
        <v>1389.7680664</v>
      </c>
      <c r="H766">
        <v>1375.1726074000001</v>
      </c>
      <c r="I766">
        <v>1286.7376709</v>
      </c>
      <c r="J766">
        <v>1267.6667480000001</v>
      </c>
      <c r="K766">
        <v>2400</v>
      </c>
      <c r="L766">
        <v>0</v>
      </c>
      <c r="M766">
        <v>0</v>
      </c>
      <c r="N766">
        <v>2400</v>
      </c>
    </row>
    <row r="767" spans="1:14" x14ac:dyDescent="0.25">
      <c r="A767">
        <v>380.55262599999998</v>
      </c>
      <c r="B767" s="1">
        <f>DATE(2011,5,16) + TIME(13,15,46)</f>
        <v>40679.552615740744</v>
      </c>
      <c r="C767">
        <v>80</v>
      </c>
      <c r="D767">
        <v>79.936553954999994</v>
      </c>
      <c r="E767">
        <v>50</v>
      </c>
      <c r="F767">
        <v>48.105442046999997</v>
      </c>
      <c r="G767">
        <v>1389.6900635</v>
      </c>
      <c r="H767">
        <v>1375.105957</v>
      </c>
      <c r="I767">
        <v>1286.7259521000001</v>
      </c>
      <c r="J767">
        <v>1267.6517334</v>
      </c>
      <c r="K767">
        <v>2400</v>
      </c>
      <c r="L767">
        <v>0</v>
      </c>
      <c r="M767">
        <v>0</v>
      </c>
      <c r="N767">
        <v>2400</v>
      </c>
    </row>
    <row r="768" spans="1:14" x14ac:dyDescent="0.25">
      <c r="A768">
        <v>380.95840299999998</v>
      </c>
      <c r="B768" s="1">
        <f>DATE(2011,5,16) + TIME(23,0,6)</f>
        <v>40679.958402777775</v>
      </c>
      <c r="C768">
        <v>80</v>
      </c>
      <c r="D768">
        <v>79.936546325999998</v>
      </c>
      <c r="E768">
        <v>50</v>
      </c>
      <c r="F768">
        <v>48.065200806</v>
      </c>
      <c r="G768">
        <v>1389.6114502</v>
      </c>
      <c r="H768">
        <v>1375.0388184000001</v>
      </c>
      <c r="I768">
        <v>1286.7138672000001</v>
      </c>
      <c r="J768">
        <v>1267.6363524999999</v>
      </c>
      <c r="K768">
        <v>2400</v>
      </c>
      <c r="L768">
        <v>0</v>
      </c>
      <c r="M768">
        <v>0</v>
      </c>
      <c r="N768">
        <v>2400</v>
      </c>
    </row>
    <row r="769" spans="1:14" x14ac:dyDescent="0.25">
      <c r="A769">
        <v>381.376666</v>
      </c>
      <c r="B769" s="1">
        <f>DATE(2011,5,17) + TIME(9,2,23)</f>
        <v>40680.376655092594</v>
      </c>
      <c r="C769">
        <v>80</v>
      </c>
      <c r="D769">
        <v>79.936538696</v>
      </c>
      <c r="E769">
        <v>50</v>
      </c>
      <c r="F769">
        <v>48.023998259999999</v>
      </c>
      <c r="G769">
        <v>1389.5321045000001</v>
      </c>
      <c r="H769">
        <v>1374.9710693</v>
      </c>
      <c r="I769">
        <v>1286.7012939000001</v>
      </c>
      <c r="J769">
        <v>1267.6203613</v>
      </c>
      <c r="K769">
        <v>2400</v>
      </c>
      <c r="L769">
        <v>0</v>
      </c>
      <c r="M769">
        <v>0</v>
      </c>
      <c r="N769">
        <v>2400</v>
      </c>
    </row>
    <row r="770" spans="1:14" x14ac:dyDescent="0.25">
      <c r="A770">
        <v>381.80182000000002</v>
      </c>
      <c r="B770" s="1">
        <f>DATE(2011,5,17) + TIME(19,14,37)</f>
        <v>40680.801817129628</v>
      </c>
      <c r="C770">
        <v>80</v>
      </c>
      <c r="D770">
        <v>79.936523437999995</v>
      </c>
      <c r="E770">
        <v>50</v>
      </c>
      <c r="F770">
        <v>47.982185364000003</v>
      </c>
      <c r="G770">
        <v>1389.4520264</v>
      </c>
      <c r="H770">
        <v>1374.9027100000001</v>
      </c>
      <c r="I770">
        <v>1286.6883545000001</v>
      </c>
      <c r="J770">
        <v>1267.6038818</v>
      </c>
      <c r="K770">
        <v>2400</v>
      </c>
      <c r="L770">
        <v>0</v>
      </c>
      <c r="M770">
        <v>0</v>
      </c>
      <c r="N770">
        <v>2400</v>
      </c>
    </row>
    <row r="771" spans="1:14" x14ac:dyDescent="0.25">
      <c r="A771">
        <v>382.228523</v>
      </c>
      <c r="B771" s="1">
        <f>DATE(2011,5,18) + TIME(5,29,4)</f>
        <v>40681.228518518517</v>
      </c>
      <c r="C771">
        <v>80</v>
      </c>
      <c r="D771">
        <v>79.936515807999996</v>
      </c>
      <c r="E771">
        <v>50</v>
      </c>
      <c r="F771">
        <v>47.940162659000002</v>
      </c>
      <c r="G771">
        <v>1389.3723144999999</v>
      </c>
      <c r="H771">
        <v>1374.8347168</v>
      </c>
      <c r="I771">
        <v>1286.6749268000001</v>
      </c>
      <c r="J771">
        <v>1267.5871582</v>
      </c>
      <c r="K771">
        <v>2400</v>
      </c>
      <c r="L771">
        <v>0</v>
      </c>
      <c r="M771">
        <v>0</v>
      </c>
      <c r="N771">
        <v>2400</v>
      </c>
    </row>
    <row r="772" spans="1:14" x14ac:dyDescent="0.25">
      <c r="A772">
        <v>382.65798999999998</v>
      </c>
      <c r="B772" s="1">
        <f>DATE(2011,5,18) + TIME(15,47,30)</f>
        <v>40681.657986111109</v>
      </c>
      <c r="C772">
        <v>80</v>
      </c>
      <c r="D772">
        <v>79.936500549000002</v>
      </c>
      <c r="E772">
        <v>50</v>
      </c>
      <c r="F772">
        <v>47.897941588999998</v>
      </c>
      <c r="G772">
        <v>1389.2940673999999</v>
      </c>
      <c r="H772">
        <v>1374.7678223</v>
      </c>
      <c r="I772">
        <v>1286.6616211</v>
      </c>
      <c r="J772">
        <v>1267.5701904</v>
      </c>
      <c r="K772">
        <v>2400</v>
      </c>
      <c r="L772">
        <v>0</v>
      </c>
      <c r="M772">
        <v>0</v>
      </c>
      <c r="N772">
        <v>2400</v>
      </c>
    </row>
    <row r="773" spans="1:14" x14ac:dyDescent="0.25">
      <c r="A773">
        <v>383.09105599999998</v>
      </c>
      <c r="B773" s="1">
        <f>DATE(2011,5,19) + TIME(2,11,7)</f>
        <v>40682.091053240743</v>
      </c>
      <c r="C773">
        <v>80</v>
      </c>
      <c r="D773">
        <v>79.936485290999997</v>
      </c>
      <c r="E773">
        <v>50</v>
      </c>
      <c r="F773">
        <v>47.855518341</v>
      </c>
      <c r="G773">
        <v>1389.2167969</v>
      </c>
      <c r="H773">
        <v>1374.7020264</v>
      </c>
      <c r="I773">
        <v>1286.6480713000001</v>
      </c>
      <c r="J773">
        <v>1267.5531006000001</v>
      </c>
      <c r="K773">
        <v>2400</v>
      </c>
      <c r="L773">
        <v>0</v>
      </c>
      <c r="M773">
        <v>0</v>
      </c>
      <c r="N773">
        <v>2400</v>
      </c>
    </row>
    <row r="774" spans="1:14" x14ac:dyDescent="0.25">
      <c r="A774">
        <v>383.52873</v>
      </c>
      <c r="B774" s="1">
        <f>DATE(2011,5,19) + TIME(12,41,22)</f>
        <v>40682.528726851851</v>
      </c>
      <c r="C774">
        <v>80</v>
      </c>
      <c r="D774">
        <v>79.936477660999998</v>
      </c>
      <c r="E774">
        <v>50</v>
      </c>
      <c r="F774">
        <v>47.812843323000003</v>
      </c>
      <c r="G774">
        <v>1389.1403809000001</v>
      </c>
      <c r="H774">
        <v>1374.6368408000001</v>
      </c>
      <c r="I774">
        <v>1286.6343993999999</v>
      </c>
      <c r="J774">
        <v>1267.5358887</v>
      </c>
      <c r="K774">
        <v>2400</v>
      </c>
      <c r="L774">
        <v>0</v>
      </c>
      <c r="M774">
        <v>0</v>
      </c>
      <c r="N774">
        <v>2400</v>
      </c>
    </row>
    <row r="775" spans="1:14" x14ac:dyDescent="0.25">
      <c r="A775">
        <v>383.97203999999999</v>
      </c>
      <c r="B775" s="1">
        <f>DATE(2011,5,19) + TIME(23,19,44)</f>
        <v>40682.972037037034</v>
      </c>
      <c r="C775">
        <v>80</v>
      </c>
      <c r="D775">
        <v>79.936462402000004</v>
      </c>
      <c r="E775">
        <v>50</v>
      </c>
      <c r="F775">
        <v>47.769866942999997</v>
      </c>
      <c r="G775">
        <v>1389.0646973</v>
      </c>
      <c r="H775">
        <v>1374.5723877</v>
      </c>
      <c r="I775">
        <v>1286.6206055</v>
      </c>
      <c r="J775">
        <v>1267.5183105000001</v>
      </c>
      <c r="K775">
        <v>2400</v>
      </c>
      <c r="L775">
        <v>0</v>
      </c>
      <c r="M775">
        <v>0</v>
      </c>
      <c r="N775">
        <v>2400</v>
      </c>
    </row>
    <row r="776" spans="1:14" x14ac:dyDescent="0.25">
      <c r="A776">
        <v>384.42204800000002</v>
      </c>
      <c r="B776" s="1">
        <f>DATE(2011,5,20) + TIME(10,7,44)</f>
        <v>40683.422037037039</v>
      </c>
      <c r="C776">
        <v>80</v>
      </c>
      <c r="D776">
        <v>79.936447143999999</v>
      </c>
      <c r="E776">
        <v>50</v>
      </c>
      <c r="F776">
        <v>47.726512909</v>
      </c>
      <c r="G776">
        <v>1388.989624</v>
      </c>
      <c r="H776">
        <v>1374.5084228999999</v>
      </c>
      <c r="I776">
        <v>1286.6064452999999</v>
      </c>
      <c r="J776">
        <v>1267.5004882999999</v>
      </c>
      <c r="K776">
        <v>2400</v>
      </c>
      <c r="L776">
        <v>0</v>
      </c>
      <c r="M776">
        <v>0</v>
      </c>
      <c r="N776">
        <v>2400</v>
      </c>
    </row>
    <row r="777" spans="1:14" x14ac:dyDescent="0.25">
      <c r="A777">
        <v>384.879862</v>
      </c>
      <c r="B777" s="1">
        <f>DATE(2011,5,20) + TIME(21,7,0)</f>
        <v>40683.879861111112</v>
      </c>
      <c r="C777">
        <v>80</v>
      </c>
      <c r="D777">
        <v>79.936431885000005</v>
      </c>
      <c r="E777">
        <v>50</v>
      </c>
      <c r="F777">
        <v>47.682697296000001</v>
      </c>
      <c r="G777">
        <v>1388.9147949000001</v>
      </c>
      <c r="H777">
        <v>1374.4447021000001</v>
      </c>
      <c r="I777">
        <v>1286.5921631000001</v>
      </c>
      <c r="J777">
        <v>1267.4822998</v>
      </c>
      <c r="K777">
        <v>2400</v>
      </c>
      <c r="L777">
        <v>0</v>
      </c>
      <c r="M777">
        <v>0</v>
      </c>
      <c r="N777">
        <v>2400</v>
      </c>
    </row>
    <row r="778" spans="1:14" x14ac:dyDescent="0.25">
      <c r="A778">
        <v>385.34666900000002</v>
      </c>
      <c r="B778" s="1">
        <f>DATE(2011,5,21) + TIME(8,19,12)</f>
        <v>40684.346666666665</v>
      </c>
      <c r="C778">
        <v>80</v>
      </c>
      <c r="D778">
        <v>79.936424255000006</v>
      </c>
      <c r="E778">
        <v>50</v>
      </c>
      <c r="F778">
        <v>47.638332366999997</v>
      </c>
      <c r="G778">
        <v>1388.8400879000001</v>
      </c>
      <c r="H778">
        <v>1374.3811035000001</v>
      </c>
      <c r="I778">
        <v>1286.5775146000001</v>
      </c>
      <c r="J778">
        <v>1267.4637451000001</v>
      </c>
      <c r="K778">
        <v>2400</v>
      </c>
      <c r="L778">
        <v>0</v>
      </c>
      <c r="M778">
        <v>0</v>
      </c>
      <c r="N778">
        <v>2400</v>
      </c>
    </row>
    <row r="779" spans="1:14" x14ac:dyDescent="0.25">
      <c r="A779">
        <v>385.82168899999999</v>
      </c>
      <c r="B779" s="1">
        <f>DATE(2011,5,21) + TIME(19,43,13)</f>
        <v>40684.82167824074</v>
      </c>
      <c r="C779">
        <v>80</v>
      </c>
      <c r="D779">
        <v>79.936408997000001</v>
      </c>
      <c r="E779">
        <v>50</v>
      </c>
      <c r="F779">
        <v>47.593444824000002</v>
      </c>
      <c r="G779">
        <v>1388.7653809000001</v>
      </c>
      <c r="H779">
        <v>1374.3175048999999</v>
      </c>
      <c r="I779">
        <v>1286.5625</v>
      </c>
      <c r="J779">
        <v>1267.4447021000001</v>
      </c>
      <c r="K779">
        <v>2400</v>
      </c>
      <c r="L779">
        <v>0</v>
      </c>
      <c r="M779">
        <v>0</v>
      </c>
      <c r="N779">
        <v>2400</v>
      </c>
    </row>
    <row r="780" spans="1:14" x14ac:dyDescent="0.25">
      <c r="A780">
        <v>386.30398200000002</v>
      </c>
      <c r="B780" s="1">
        <f>DATE(2011,5,22) + TIME(7,17,44)</f>
        <v>40685.303981481484</v>
      </c>
      <c r="C780">
        <v>80</v>
      </c>
      <c r="D780">
        <v>79.936401367000002</v>
      </c>
      <c r="E780">
        <v>50</v>
      </c>
      <c r="F780">
        <v>47.548084258999999</v>
      </c>
      <c r="G780">
        <v>1388.6907959</v>
      </c>
      <c r="H780">
        <v>1374.2540283000001</v>
      </c>
      <c r="I780">
        <v>1286.5471190999999</v>
      </c>
      <c r="J780">
        <v>1267.425293</v>
      </c>
      <c r="K780">
        <v>2400</v>
      </c>
      <c r="L780">
        <v>0</v>
      </c>
      <c r="M780">
        <v>0</v>
      </c>
      <c r="N780">
        <v>2400</v>
      </c>
    </row>
    <row r="781" spans="1:14" x14ac:dyDescent="0.25">
      <c r="A781">
        <v>386.79471999999998</v>
      </c>
      <c r="B781" s="1">
        <f>DATE(2011,5,22) + TIME(19,4,23)</f>
        <v>40685.794710648152</v>
      </c>
      <c r="C781">
        <v>80</v>
      </c>
      <c r="D781">
        <v>79.936386107999994</v>
      </c>
      <c r="E781">
        <v>50</v>
      </c>
      <c r="F781">
        <v>47.502197266000003</v>
      </c>
      <c r="G781">
        <v>1388.6164550999999</v>
      </c>
      <c r="H781">
        <v>1374.1906738</v>
      </c>
      <c r="I781">
        <v>1286.5314940999999</v>
      </c>
      <c r="J781">
        <v>1267.4055175999999</v>
      </c>
      <c r="K781">
        <v>2400</v>
      </c>
      <c r="L781">
        <v>0</v>
      </c>
      <c r="M781">
        <v>0</v>
      </c>
      <c r="N781">
        <v>2400</v>
      </c>
    </row>
    <row r="782" spans="1:14" x14ac:dyDescent="0.25">
      <c r="A782">
        <v>387.29512</v>
      </c>
      <c r="B782" s="1">
        <f>DATE(2011,5,23) + TIME(7,4,58)</f>
        <v>40686.295115740744</v>
      </c>
      <c r="C782">
        <v>80</v>
      </c>
      <c r="D782">
        <v>79.936378478999998</v>
      </c>
      <c r="E782">
        <v>50</v>
      </c>
      <c r="F782">
        <v>47.455699920999997</v>
      </c>
      <c r="G782">
        <v>1388.5422363</v>
      </c>
      <c r="H782">
        <v>1374.1275635</v>
      </c>
      <c r="I782">
        <v>1286.5155029</v>
      </c>
      <c r="J782">
        <v>1267.3852539</v>
      </c>
      <c r="K782">
        <v>2400</v>
      </c>
      <c r="L782">
        <v>0</v>
      </c>
      <c r="M782">
        <v>0</v>
      </c>
      <c r="N782">
        <v>2400</v>
      </c>
    </row>
    <row r="783" spans="1:14" x14ac:dyDescent="0.25">
      <c r="A783">
        <v>387.80650400000002</v>
      </c>
      <c r="B783" s="1">
        <f>DATE(2011,5,23) + TIME(19,21,21)</f>
        <v>40686.806493055556</v>
      </c>
      <c r="C783">
        <v>80</v>
      </c>
      <c r="D783">
        <v>79.936370850000003</v>
      </c>
      <c r="E783">
        <v>50</v>
      </c>
      <c r="F783">
        <v>47.408504485999998</v>
      </c>
      <c r="G783">
        <v>1388.4678954999999</v>
      </c>
      <c r="H783">
        <v>1374.0643310999999</v>
      </c>
      <c r="I783">
        <v>1286.4991454999999</v>
      </c>
      <c r="J783">
        <v>1267.3645019999999</v>
      </c>
      <c r="K783">
        <v>2400</v>
      </c>
      <c r="L783">
        <v>0</v>
      </c>
      <c r="M783">
        <v>0</v>
      </c>
      <c r="N783">
        <v>2400</v>
      </c>
    </row>
    <row r="784" spans="1:14" x14ac:dyDescent="0.25">
      <c r="A784">
        <v>388.330309</v>
      </c>
      <c r="B784" s="1">
        <f>DATE(2011,5,24) + TIME(7,55,38)</f>
        <v>40687.330300925925</v>
      </c>
      <c r="C784">
        <v>80</v>
      </c>
      <c r="D784">
        <v>79.936355590999995</v>
      </c>
      <c r="E784">
        <v>50</v>
      </c>
      <c r="F784">
        <v>47.360511780000003</v>
      </c>
      <c r="G784">
        <v>1388.3934326000001</v>
      </c>
      <c r="H784">
        <v>1374.0009766000001</v>
      </c>
      <c r="I784">
        <v>1286.4822998</v>
      </c>
      <c r="J784">
        <v>1267.3431396000001</v>
      </c>
      <c r="K784">
        <v>2400</v>
      </c>
      <c r="L784">
        <v>0</v>
      </c>
      <c r="M784">
        <v>0</v>
      </c>
      <c r="N784">
        <v>2400</v>
      </c>
    </row>
    <row r="785" spans="1:14" x14ac:dyDescent="0.25">
      <c r="A785">
        <v>388.86812700000002</v>
      </c>
      <c r="B785" s="1">
        <f>DATE(2011,5,24) + TIME(20,50,6)</f>
        <v>40687.868125000001</v>
      </c>
      <c r="C785">
        <v>80</v>
      </c>
      <c r="D785">
        <v>79.936347960999996</v>
      </c>
      <c r="E785">
        <v>50</v>
      </c>
      <c r="F785">
        <v>47.311599731000001</v>
      </c>
      <c r="G785">
        <v>1388.3184814000001</v>
      </c>
      <c r="H785">
        <v>1373.9372559000001</v>
      </c>
      <c r="I785">
        <v>1286.4649658000001</v>
      </c>
      <c r="J785">
        <v>1267.3211670000001</v>
      </c>
      <c r="K785">
        <v>2400</v>
      </c>
      <c r="L785">
        <v>0</v>
      </c>
      <c r="M785">
        <v>0</v>
      </c>
      <c r="N785">
        <v>2400</v>
      </c>
    </row>
    <row r="786" spans="1:14" x14ac:dyDescent="0.25">
      <c r="A786">
        <v>389.41219999999998</v>
      </c>
      <c r="B786" s="1">
        <f>DATE(2011,5,25) + TIME(9,53,34)</f>
        <v>40688.412199074075</v>
      </c>
      <c r="C786">
        <v>80</v>
      </c>
      <c r="D786">
        <v>79.936340332</v>
      </c>
      <c r="E786">
        <v>50</v>
      </c>
      <c r="F786">
        <v>47.262168883999998</v>
      </c>
      <c r="G786">
        <v>1388.2429199000001</v>
      </c>
      <c r="H786">
        <v>1373.8729248</v>
      </c>
      <c r="I786">
        <v>1286.4470214999999</v>
      </c>
      <c r="J786">
        <v>1267.2984618999999</v>
      </c>
      <c r="K786">
        <v>2400</v>
      </c>
      <c r="L786">
        <v>0</v>
      </c>
      <c r="M786">
        <v>0</v>
      </c>
      <c r="N786">
        <v>2400</v>
      </c>
    </row>
    <row r="787" spans="1:14" x14ac:dyDescent="0.25">
      <c r="A787">
        <v>389.95881600000001</v>
      </c>
      <c r="B787" s="1">
        <f>DATE(2011,5,25) + TIME(23,0,41)</f>
        <v>40688.958807870367</v>
      </c>
      <c r="C787">
        <v>80</v>
      </c>
      <c r="D787">
        <v>79.936332703000005</v>
      </c>
      <c r="E787">
        <v>50</v>
      </c>
      <c r="F787">
        <v>47.212509154999999</v>
      </c>
      <c r="G787">
        <v>1388.1678466999999</v>
      </c>
      <c r="H787">
        <v>1373.809082</v>
      </c>
      <c r="I787">
        <v>1286.4287108999999</v>
      </c>
      <c r="J787">
        <v>1267.2753906</v>
      </c>
      <c r="K787">
        <v>2400</v>
      </c>
      <c r="L787">
        <v>0</v>
      </c>
      <c r="M787">
        <v>0</v>
      </c>
      <c r="N787">
        <v>2400</v>
      </c>
    </row>
    <row r="788" spans="1:14" x14ac:dyDescent="0.25">
      <c r="A788">
        <v>390.50915900000001</v>
      </c>
      <c r="B788" s="1">
        <f>DATE(2011,5,26) + TIME(12,13,11)</f>
        <v>40689.509155092594</v>
      </c>
      <c r="C788">
        <v>80</v>
      </c>
      <c r="D788">
        <v>79.936325073000006</v>
      </c>
      <c r="E788">
        <v>50</v>
      </c>
      <c r="F788">
        <v>47.162658690999997</v>
      </c>
      <c r="G788">
        <v>1388.0938721</v>
      </c>
      <c r="H788">
        <v>1373.7462158000001</v>
      </c>
      <c r="I788">
        <v>1286.4102783000001</v>
      </c>
      <c r="J788">
        <v>1267.2520752</v>
      </c>
      <c r="K788">
        <v>2400</v>
      </c>
      <c r="L788">
        <v>0</v>
      </c>
      <c r="M788">
        <v>0</v>
      </c>
      <c r="N788">
        <v>2400</v>
      </c>
    </row>
    <row r="789" spans="1:14" x14ac:dyDescent="0.25">
      <c r="A789">
        <v>391.06447800000001</v>
      </c>
      <c r="B789" s="1">
        <f>DATE(2011,5,27) + TIME(1,32,50)</f>
        <v>40690.064467592594</v>
      </c>
      <c r="C789">
        <v>80</v>
      </c>
      <c r="D789">
        <v>79.936317443999997</v>
      </c>
      <c r="E789">
        <v>50</v>
      </c>
      <c r="F789">
        <v>47.112586974999999</v>
      </c>
      <c r="G789">
        <v>1388.0206298999999</v>
      </c>
      <c r="H789">
        <v>1373.6838379000001</v>
      </c>
      <c r="I789">
        <v>1286.3916016000001</v>
      </c>
      <c r="J789">
        <v>1267.2283935999999</v>
      </c>
      <c r="K789">
        <v>2400</v>
      </c>
      <c r="L789">
        <v>0</v>
      </c>
      <c r="M789">
        <v>0</v>
      </c>
      <c r="N789">
        <v>2400</v>
      </c>
    </row>
    <row r="790" spans="1:14" x14ac:dyDescent="0.25">
      <c r="A790">
        <v>391.626082</v>
      </c>
      <c r="B790" s="1">
        <f>DATE(2011,5,27) + TIME(15,1,33)</f>
        <v>40690.626076388886</v>
      </c>
      <c r="C790">
        <v>80</v>
      </c>
      <c r="D790">
        <v>79.936309813999998</v>
      </c>
      <c r="E790">
        <v>50</v>
      </c>
      <c r="F790">
        <v>47.062236786</v>
      </c>
      <c r="G790">
        <v>1387.9481201000001</v>
      </c>
      <c r="H790">
        <v>1373.6221923999999</v>
      </c>
      <c r="I790">
        <v>1286.3725586</v>
      </c>
      <c r="J790">
        <v>1267.2043457</v>
      </c>
      <c r="K790">
        <v>2400</v>
      </c>
      <c r="L790">
        <v>0</v>
      </c>
      <c r="M790">
        <v>0</v>
      </c>
      <c r="N790">
        <v>2400</v>
      </c>
    </row>
    <row r="791" spans="1:14" x14ac:dyDescent="0.25">
      <c r="A791">
        <v>392.19531499999999</v>
      </c>
      <c r="B791" s="1">
        <f>DATE(2011,5,28) + TIME(4,41,15)</f>
        <v>40691.1953125</v>
      </c>
      <c r="C791">
        <v>80</v>
      </c>
      <c r="D791">
        <v>79.936302185000002</v>
      </c>
      <c r="E791">
        <v>50</v>
      </c>
      <c r="F791">
        <v>47.011531830000003</v>
      </c>
      <c r="G791">
        <v>1387.8759766000001</v>
      </c>
      <c r="H791">
        <v>1373.5607910000001</v>
      </c>
      <c r="I791">
        <v>1286.3532714999999</v>
      </c>
      <c r="J791">
        <v>1267.1799315999999</v>
      </c>
      <c r="K791">
        <v>2400</v>
      </c>
      <c r="L791">
        <v>0</v>
      </c>
      <c r="M791">
        <v>0</v>
      </c>
      <c r="N791">
        <v>2400</v>
      </c>
    </row>
    <row r="792" spans="1:14" x14ac:dyDescent="0.25">
      <c r="A792">
        <v>392.77358299999997</v>
      </c>
      <c r="B792" s="1">
        <f>DATE(2011,5,28) + TIME(18,33,57)</f>
        <v>40691.773576388892</v>
      </c>
      <c r="C792">
        <v>80</v>
      </c>
      <c r="D792">
        <v>79.936302185000002</v>
      </c>
      <c r="E792">
        <v>50</v>
      </c>
      <c r="F792">
        <v>46.960369110000002</v>
      </c>
      <c r="G792">
        <v>1387.8040771000001</v>
      </c>
      <c r="H792">
        <v>1373.4997559000001</v>
      </c>
      <c r="I792">
        <v>1286.3336182</v>
      </c>
      <c r="J792">
        <v>1267.1549072</v>
      </c>
      <c r="K792">
        <v>2400</v>
      </c>
      <c r="L792">
        <v>0</v>
      </c>
      <c r="M792">
        <v>0</v>
      </c>
      <c r="N792">
        <v>2400</v>
      </c>
    </row>
    <row r="793" spans="1:14" x14ac:dyDescent="0.25">
      <c r="A793">
        <v>393.362371</v>
      </c>
      <c r="B793" s="1">
        <f>DATE(2011,5,29) + TIME(8,41,48)</f>
        <v>40692.362361111111</v>
      </c>
      <c r="C793">
        <v>80</v>
      </c>
      <c r="D793">
        <v>79.936294556000007</v>
      </c>
      <c r="E793">
        <v>50</v>
      </c>
      <c r="F793">
        <v>46.908645630000002</v>
      </c>
      <c r="G793">
        <v>1387.7322998</v>
      </c>
      <c r="H793">
        <v>1373.4387207</v>
      </c>
      <c r="I793">
        <v>1286.3134766000001</v>
      </c>
      <c r="J793">
        <v>1267.1292725000001</v>
      </c>
      <c r="K793">
        <v>2400</v>
      </c>
      <c r="L793">
        <v>0</v>
      </c>
      <c r="M793">
        <v>0</v>
      </c>
      <c r="N793">
        <v>2400</v>
      </c>
    </row>
    <row r="794" spans="1:14" x14ac:dyDescent="0.25">
      <c r="A794">
        <v>393.96327200000002</v>
      </c>
      <c r="B794" s="1">
        <f>DATE(2011,5,29) + TIME(23,7,6)</f>
        <v>40692.963263888887</v>
      </c>
      <c r="C794">
        <v>80</v>
      </c>
      <c r="D794">
        <v>79.936294556000007</v>
      </c>
      <c r="E794">
        <v>50</v>
      </c>
      <c r="F794">
        <v>46.856235503999997</v>
      </c>
      <c r="G794">
        <v>1387.6605225000001</v>
      </c>
      <c r="H794">
        <v>1373.3776855000001</v>
      </c>
      <c r="I794">
        <v>1286.2928466999999</v>
      </c>
      <c r="J794">
        <v>1267.1029053</v>
      </c>
      <c r="K794">
        <v>2400</v>
      </c>
      <c r="L794">
        <v>0</v>
      </c>
      <c r="M794">
        <v>0</v>
      </c>
      <c r="N794">
        <v>2400</v>
      </c>
    </row>
    <row r="795" spans="1:14" x14ac:dyDescent="0.25">
      <c r="A795">
        <v>394.57798700000001</v>
      </c>
      <c r="B795" s="1">
        <f>DATE(2011,5,30) + TIME(13,52,18)</f>
        <v>40693.577986111108</v>
      </c>
      <c r="C795">
        <v>80</v>
      </c>
      <c r="D795">
        <v>79.936294556000007</v>
      </c>
      <c r="E795">
        <v>50</v>
      </c>
      <c r="F795">
        <v>46.803020476999997</v>
      </c>
      <c r="G795">
        <v>1387.588501</v>
      </c>
      <c r="H795">
        <v>1373.3162841999999</v>
      </c>
      <c r="I795">
        <v>1286.2716064000001</v>
      </c>
      <c r="J795">
        <v>1267.0759277</v>
      </c>
      <c r="K795">
        <v>2400</v>
      </c>
      <c r="L795">
        <v>0</v>
      </c>
      <c r="M795">
        <v>0</v>
      </c>
      <c r="N795">
        <v>2400</v>
      </c>
    </row>
    <row r="796" spans="1:14" x14ac:dyDescent="0.25">
      <c r="A796">
        <v>395.20493099999999</v>
      </c>
      <c r="B796" s="1">
        <f>DATE(2011,5,31) + TIME(4,55,6)</f>
        <v>40694.204930555556</v>
      </c>
      <c r="C796">
        <v>80</v>
      </c>
      <c r="D796">
        <v>79.936294556000007</v>
      </c>
      <c r="E796">
        <v>50</v>
      </c>
      <c r="F796">
        <v>46.749027251999998</v>
      </c>
      <c r="G796">
        <v>1387.5159911999999</v>
      </c>
      <c r="H796">
        <v>1373.2546387</v>
      </c>
      <c r="I796">
        <v>1286.2496338000001</v>
      </c>
      <c r="J796">
        <v>1267.0479736</v>
      </c>
      <c r="K796">
        <v>2400</v>
      </c>
      <c r="L796">
        <v>0</v>
      </c>
      <c r="M796">
        <v>0</v>
      </c>
      <c r="N796">
        <v>2400</v>
      </c>
    </row>
    <row r="797" spans="1:14" x14ac:dyDescent="0.25">
      <c r="A797">
        <v>395.84226000000001</v>
      </c>
      <c r="B797" s="1">
        <f>DATE(2011,5,31) + TIME(20,12,51)</f>
        <v>40694.842256944445</v>
      </c>
      <c r="C797">
        <v>80</v>
      </c>
      <c r="D797">
        <v>79.936286925999994</v>
      </c>
      <c r="E797">
        <v>50</v>
      </c>
      <c r="F797">
        <v>46.694351196</v>
      </c>
      <c r="G797">
        <v>1387.4433594</v>
      </c>
      <c r="H797">
        <v>1373.1928711</v>
      </c>
      <c r="I797">
        <v>1286.2270507999999</v>
      </c>
      <c r="J797">
        <v>1267.0192870999999</v>
      </c>
      <c r="K797">
        <v>2400</v>
      </c>
      <c r="L797">
        <v>0</v>
      </c>
      <c r="M797">
        <v>0</v>
      </c>
      <c r="N797">
        <v>2400</v>
      </c>
    </row>
    <row r="798" spans="1:14" x14ac:dyDescent="0.25">
      <c r="A798">
        <v>396</v>
      </c>
      <c r="B798" s="1">
        <f>DATE(2011,6,1) + TIME(0,0,0)</f>
        <v>40695</v>
      </c>
      <c r="C798">
        <v>80</v>
      </c>
      <c r="D798">
        <v>79.936279296999999</v>
      </c>
      <c r="E798">
        <v>50</v>
      </c>
      <c r="F798">
        <v>46.674537659000002</v>
      </c>
      <c r="G798">
        <v>1387.3712158000001</v>
      </c>
      <c r="H798">
        <v>1373.1314697</v>
      </c>
      <c r="I798">
        <v>1286.2003173999999</v>
      </c>
      <c r="J798">
        <v>1266.9934082</v>
      </c>
      <c r="K798">
        <v>2400</v>
      </c>
      <c r="L798">
        <v>0</v>
      </c>
      <c r="M798">
        <v>0</v>
      </c>
      <c r="N798">
        <v>2400</v>
      </c>
    </row>
    <row r="799" spans="1:14" x14ac:dyDescent="0.25">
      <c r="A799">
        <v>396.64938599999999</v>
      </c>
      <c r="B799" s="1">
        <f>DATE(2011,6,1) + TIME(15,35,6)</f>
        <v>40695.649375000001</v>
      </c>
      <c r="C799">
        <v>80</v>
      </c>
      <c r="D799">
        <v>79.936286925999994</v>
      </c>
      <c r="E799">
        <v>50</v>
      </c>
      <c r="F799">
        <v>46.621765136999997</v>
      </c>
      <c r="G799">
        <v>1387.3526611</v>
      </c>
      <c r="H799">
        <v>1373.1156006000001</v>
      </c>
      <c r="I799">
        <v>1286.1983643000001</v>
      </c>
      <c r="J799">
        <v>1266.9818115</v>
      </c>
      <c r="K799">
        <v>2400</v>
      </c>
      <c r="L799">
        <v>0</v>
      </c>
      <c r="M799">
        <v>0</v>
      </c>
      <c r="N799">
        <v>2400</v>
      </c>
    </row>
    <row r="800" spans="1:14" x14ac:dyDescent="0.25">
      <c r="A800">
        <v>397.31633199999999</v>
      </c>
      <c r="B800" s="1">
        <f>DATE(2011,6,2) + TIME(7,35,31)</f>
        <v>40696.316331018519</v>
      </c>
      <c r="C800">
        <v>80</v>
      </c>
      <c r="D800">
        <v>79.936286925999994</v>
      </c>
      <c r="E800">
        <v>50</v>
      </c>
      <c r="F800">
        <v>46.566905974999997</v>
      </c>
      <c r="G800">
        <v>1387.2805175999999</v>
      </c>
      <c r="H800">
        <v>1373.0541992000001</v>
      </c>
      <c r="I800">
        <v>1286.1745605000001</v>
      </c>
      <c r="J800">
        <v>1266.9516602000001</v>
      </c>
      <c r="K800">
        <v>2400</v>
      </c>
      <c r="L800">
        <v>0</v>
      </c>
      <c r="M800">
        <v>0</v>
      </c>
      <c r="N800">
        <v>2400</v>
      </c>
    </row>
    <row r="801" spans="1:14" x14ac:dyDescent="0.25">
      <c r="A801">
        <v>397.99149299999999</v>
      </c>
      <c r="B801" s="1">
        <f>DATE(2011,6,2) + TIME(23,47,45)</f>
        <v>40696.991493055553</v>
      </c>
      <c r="C801">
        <v>80</v>
      </c>
      <c r="D801">
        <v>79.936294556000007</v>
      </c>
      <c r="E801">
        <v>50</v>
      </c>
      <c r="F801">
        <v>46.510757446</v>
      </c>
      <c r="G801">
        <v>1387.2073975000001</v>
      </c>
      <c r="H801">
        <v>1372.9919434000001</v>
      </c>
      <c r="I801">
        <v>1286.1497803</v>
      </c>
      <c r="J801">
        <v>1266.9202881000001</v>
      </c>
      <c r="K801">
        <v>2400</v>
      </c>
      <c r="L801">
        <v>0</v>
      </c>
      <c r="M801">
        <v>0</v>
      </c>
      <c r="N801">
        <v>2400</v>
      </c>
    </row>
    <row r="802" spans="1:14" x14ac:dyDescent="0.25">
      <c r="A802">
        <v>398.66933599999999</v>
      </c>
      <c r="B802" s="1">
        <f>DATE(2011,6,3) + TIME(16,3,50)</f>
        <v>40697.669328703705</v>
      </c>
      <c r="C802">
        <v>80</v>
      </c>
      <c r="D802">
        <v>79.936294556000007</v>
      </c>
      <c r="E802">
        <v>50</v>
      </c>
      <c r="F802">
        <v>46.453945160000004</v>
      </c>
      <c r="G802">
        <v>1387.1345214999999</v>
      </c>
      <c r="H802">
        <v>1372.9299315999999</v>
      </c>
      <c r="I802">
        <v>1286.1245117000001</v>
      </c>
      <c r="J802">
        <v>1266.8880615</v>
      </c>
      <c r="K802">
        <v>2400</v>
      </c>
      <c r="L802">
        <v>0</v>
      </c>
      <c r="M802">
        <v>0</v>
      </c>
      <c r="N802">
        <v>2400</v>
      </c>
    </row>
    <row r="803" spans="1:14" x14ac:dyDescent="0.25">
      <c r="A803">
        <v>399.35143699999998</v>
      </c>
      <c r="B803" s="1">
        <f>DATE(2011,6,4) + TIME(8,26,4)</f>
        <v>40698.351435185185</v>
      </c>
      <c r="C803">
        <v>80</v>
      </c>
      <c r="D803">
        <v>79.936302185000002</v>
      </c>
      <c r="E803">
        <v>50</v>
      </c>
      <c r="F803">
        <v>46.396701813</v>
      </c>
      <c r="G803">
        <v>1387.0626221</v>
      </c>
      <c r="H803">
        <v>1372.8686522999999</v>
      </c>
      <c r="I803">
        <v>1286.0988769999999</v>
      </c>
      <c r="J803">
        <v>1266.8552245999999</v>
      </c>
      <c r="K803">
        <v>2400</v>
      </c>
      <c r="L803">
        <v>0</v>
      </c>
      <c r="M803">
        <v>0</v>
      </c>
      <c r="N803">
        <v>2400</v>
      </c>
    </row>
    <row r="804" spans="1:14" x14ac:dyDescent="0.25">
      <c r="A804">
        <v>400.03931899999998</v>
      </c>
      <c r="B804" s="1">
        <f>DATE(2011,6,5) + TIME(0,56,37)</f>
        <v>40699.039317129631</v>
      </c>
      <c r="C804">
        <v>80</v>
      </c>
      <c r="D804">
        <v>79.936302185000002</v>
      </c>
      <c r="E804">
        <v>50</v>
      </c>
      <c r="F804">
        <v>46.339099883999999</v>
      </c>
      <c r="G804">
        <v>1386.9914550999999</v>
      </c>
      <c r="H804">
        <v>1372.8079834</v>
      </c>
      <c r="I804">
        <v>1286.0727539</v>
      </c>
      <c r="J804">
        <v>1266.8218993999999</v>
      </c>
      <c r="K804">
        <v>2400</v>
      </c>
      <c r="L804">
        <v>0</v>
      </c>
      <c r="M804">
        <v>0</v>
      </c>
      <c r="N804">
        <v>2400</v>
      </c>
    </row>
    <row r="805" spans="1:14" x14ac:dyDescent="0.25">
      <c r="A805">
        <v>400.734623</v>
      </c>
      <c r="B805" s="1">
        <f>DATE(2011,6,5) + TIME(17,37,51)</f>
        <v>40699.734618055554</v>
      </c>
      <c r="C805">
        <v>80</v>
      </c>
      <c r="D805">
        <v>79.936309813999998</v>
      </c>
      <c r="E805">
        <v>50</v>
      </c>
      <c r="F805">
        <v>46.281116486000002</v>
      </c>
      <c r="G805">
        <v>1386.9207764</v>
      </c>
      <c r="H805">
        <v>1372.7476807</v>
      </c>
      <c r="I805">
        <v>1286.0462646000001</v>
      </c>
      <c r="J805">
        <v>1266.7877197</v>
      </c>
      <c r="K805">
        <v>2400</v>
      </c>
      <c r="L805">
        <v>0</v>
      </c>
      <c r="M805">
        <v>0</v>
      </c>
      <c r="N805">
        <v>2400</v>
      </c>
    </row>
    <row r="806" spans="1:14" x14ac:dyDescent="0.25">
      <c r="A806">
        <v>401.43804999999998</v>
      </c>
      <c r="B806" s="1">
        <f>DATE(2011,6,6) + TIME(10,30,47)</f>
        <v>40700.438043981485</v>
      </c>
      <c r="C806">
        <v>80</v>
      </c>
      <c r="D806">
        <v>79.936317443999997</v>
      </c>
      <c r="E806">
        <v>50</v>
      </c>
      <c r="F806">
        <v>46.222724915000001</v>
      </c>
      <c r="G806">
        <v>1386.8504639</v>
      </c>
      <c r="H806">
        <v>1372.6877440999999</v>
      </c>
      <c r="I806">
        <v>1286.0191649999999</v>
      </c>
      <c r="J806">
        <v>1266.7528076000001</v>
      </c>
      <c r="K806">
        <v>2400</v>
      </c>
      <c r="L806">
        <v>0</v>
      </c>
      <c r="M806">
        <v>0</v>
      </c>
      <c r="N806">
        <v>2400</v>
      </c>
    </row>
    <row r="807" spans="1:14" x14ac:dyDescent="0.25">
      <c r="A807">
        <v>402.150282</v>
      </c>
      <c r="B807" s="1">
        <f>DATE(2011,6,7) + TIME(3,36,24)</f>
        <v>40701.150277777779</v>
      </c>
      <c r="C807">
        <v>80</v>
      </c>
      <c r="D807">
        <v>79.936317443999997</v>
      </c>
      <c r="E807">
        <v>50</v>
      </c>
      <c r="F807">
        <v>46.163883208999998</v>
      </c>
      <c r="G807">
        <v>1386.7805175999999</v>
      </c>
      <c r="H807">
        <v>1372.6280518000001</v>
      </c>
      <c r="I807">
        <v>1285.9915771000001</v>
      </c>
      <c r="J807">
        <v>1266.7170410000001</v>
      </c>
      <c r="K807">
        <v>2400</v>
      </c>
      <c r="L807">
        <v>0</v>
      </c>
      <c r="M807">
        <v>0</v>
      </c>
      <c r="N807">
        <v>2400</v>
      </c>
    </row>
    <row r="808" spans="1:14" x14ac:dyDescent="0.25">
      <c r="A808">
        <v>402.87303100000003</v>
      </c>
      <c r="B808" s="1">
        <f>DATE(2011,6,7) + TIME(20,57,9)</f>
        <v>40701.873020833336</v>
      </c>
      <c r="C808">
        <v>80</v>
      </c>
      <c r="D808">
        <v>79.936325073000006</v>
      </c>
      <c r="E808">
        <v>50</v>
      </c>
      <c r="F808">
        <v>46.104496001999998</v>
      </c>
      <c r="G808">
        <v>1386.7106934000001</v>
      </c>
      <c r="H808">
        <v>1372.5686035000001</v>
      </c>
      <c r="I808">
        <v>1285.9632568</v>
      </c>
      <c r="J808">
        <v>1266.6804199000001</v>
      </c>
      <c r="K808">
        <v>2400</v>
      </c>
      <c r="L808">
        <v>0</v>
      </c>
      <c r="M808">
        <v>0</v>
      </c>
      <c r="N808">
        <v>2400</v>
      </c>
    </row>
    <row r="809" spans="1:14" x14ac:dyDescent="0.25">
      <c r="A809">
        <v>403.60808900000001</v>
      </c>
      <c r="B809" s="1">
        <f>DATE(2011,6,8) + TIME(14,35,38)</f>
        <v>40702.608078703706</v>
      </c>
      <c r="C809">
        <v>80</v>
      </c>
      <c r="D809">
        <v>79.936340332</v>
      </c>
      <c r="E809">
        <v>50</v>
      </c>
      <c r="F809">
        <v>46.044448852999999</v>
      </c>
      <c r="G809">
        <v>1386.6411132999999</v>
      </c>
      <c r="H809">
        <v>1372.5091553</v>
      </c>
      <c r="I809">
        <v>1285.934082</v>
      </c>
      <c r="J809">
        <v>1266.6427002</v>
      </c>
      <c r="K809">
        <v>2400</v>
      </c>
      <c r="L809">
        <v>0</v>
      </c>
      <c r="M809">
        <v>0</v>
      </c>
      <c r="N809">
        <v>2400</v>
      </c>
    </row>
    <row r="810" spans="1:14" x14ac:dyDescent="0.25">
      <c r="A810">
        <v>404.35737</v>
      </c>
      <c r="B810" s="1">
        <f>DATE(2011,6,9) + TIME(8,34,36)</f>
        <v>40703.357361111113</v>
      </c>
      <c r="C810">
        <v>80</v>
      </c>
      <c r="D810">
        <v>79.936347960999996</v>
      </c>
      <c r="E810">
        <v>50</v>
      </c>
      <c r="F810">
        <v>45.983596802000001</v>
      </c>
      <c r="G810">
        <v>1386.5712891000001</v>
      </c>
      <c r="H810">
        <v>1372.4495850000001</v>
      </c>
      <c r="I810">
        <v>1285.9041748</v>
      </c>
      <c r="J810">
        <v>1266.6037598</v>
      </c>
      <c r="K810">
        <v>2400</v>
      </c>
      <c r="L810">
        <v>0</v>
      </c>
      <c r="M810">
        <v>0</v>
      </c>
      <c r="N810">
        <v>2400</v>
      </c>
    </row>
    <row r="811" spans="1:14" x14ac:dyDescent="0.25">
      <c r="A811">
        <v>405.122929</v>
      </c>
      <c r="B811" s="1">
        <f>DATE(2011,6,10) + TIME(2,57,1)</f>
        <v>40704.122928240744</v>
      </c>
      <c r="C811">
        <v>80</v>
      </c>
      <c r="D811">
        <v>79.936355590999995</v>
      </c>
      <c r="E811">
        <v>50</v>
      </c>
      <c r="F811">
        <v>45.921798705999997</v>
      </c>
      <c r="G811">
        <v>1386.5012207</v>
      </c>
      <c r="H811">
        <v>1372.3897704999999</v>
      </c>
      <c r="I811">
        <v>1285.8732910000001</v>
      </c>
      <c r="J811">
        <v>1266.5635986</v>
      </c>
      <c r="K811">
        <v>2400</v>
      </c>
      <c r="L811">
        <v>0</v>
      </c>
      <c r="M811">
        <v>0</v>
      </c>
      <c r="N811">
        <v>2400</v>
      </c>
    </row>
    <row r="812" spans="1:14" x14ac:dyDescent="0.25">
      <c r="A812">
        <v>405.90702700000003</v>
      </c>
      <c r="B812" s="1">
        <f>DATE(2011,6,10) + TIME(21,46,7)</f>
        <v>40704.907025462962</v>
      </c>
      <c r="C812">
        <v>80</v>
      </c>
      <c r="D812">
        <v>79.936370850000003</v>
      </c>
      <c r="E812">
        <v>50</v>
      </c>
      <c r="F812">
        <v>45.858882903999998</v>
      </c>
      <c r="G812">
        <v>1386.4307861</v>
      </c>
      <c r="H812">
        <v>1372.3295897999999</v>
      </c>
      <c r="I812">
        <v>1285.8414307</v>
      </c>
      <c r="J812">
        <v>1266.5218506000001</v>
      </c>
      <c r="K812">
        <v>2400</v>
      </c>
      <c r="L812">
        <v>0</v>
      </c>
      <c r="M812">
        <v>0</v>
      </c>
      <c r="N812">
        <v>2400</v>
      </c>
    </row>
    <row r="813" spans="1:14" x14ac:dyDescent="0.25">
      <c r="A813">
        <v>406.70767599999999</v>
      </c>
      <c r="B813" s="1">
        <f>DATE(2011,6,11) + TIME(16,59,3)</f>
        <v>40705.707673611112</v>
      </c>
      <c r="C813">
        <v>80</v>
      </c>
      <c r="D813">
        <v>79.936378478999998</v>
      </c>
      <c r="E813">
        <v>50</v>
      </c>
      <c r="F813">
        <v>45.794857024999999</v>
      </c>
      <c r="G813">
        <v>1386.3597411999999</v>
      </c>
      <c r="H813">
        <v>1372.2687988</v>
      </c>
      <c r="I813">
        <v>1285.8083495999999</v>
      </c>
      <c r="J813">
        <v>1266.4785156</v>
      </c>
      <c r="K813">
        <v>2400</v>
      </c>
      <c r="L813">
        <v>0</v>
      </c>
      <c r="M813">
        <v>0</v>
      </c>
      <c r="N813">
        <v>2400</v>
      </c>
    </row>
    <row r="814" spans="1:14" x14ac:dyDescent="0.25">
      <c r="A814">
        <v>407.51377500000001</v>
      </c>
      <c r="B814" s="1">
        <f>DATE(2011,6,12) + TIME(12,19,50)</f>
        <v>40706.513773148145</v>
      </c>
      <c r="C814">
        <v>80</v>
      </c>
      <c r="D814">
        <v>79.936393738000007</v>
      </c>
      <c r="E814">
        <v>50</v>
      </c>
      <c r="F814">
        <v>45.730178832999997</v>
      </c>
      <c r="G814">
        <v>1386.2883300999999</v>
      </c>
      <c r="H814">
        <v>1372.2077637</v>
      </c>
      <c r="I814">
        <v>1285.7740478999999</v>
      </c>
      <c r="J814">
        <v>1266.4337158000001</v>
      </c>
      <c r="K814">
        <v>2400</v>
      </c>
      <c r="L814">
        <v>0</v>
      </c>
      <c r="M814">
        <v>0</v>
      </c>
      <c r="N814">
        <v>2400</v>
      </c>
    </row>
    <row r="815" spans="1:14" x14ac:dyDescent="0.25">
      <c r="A815">
        <v>408.32461499999999</v>
      </c>
      <c r="B815" s="1">
        <f>DATE(2011,6,13) + TIME(7,47,26)</f>
        <v>40707.324606481481</v>
      </c>
      <c r="C815">
        <v>80</v>
      </c>
      <c r="D815">
        <v>79.936408997000001</v>
      </c>
      <c r="E815">
        <v>50</v>
      </c>
      <c r="F815">
        <v>45.665065765000001</v>
      </c>
      <c r="G815">
        <v>1386.2175293</v>
      </c>
      <c r="H815">
        <v>1372.1472168</v>
      </c>
      <c r="I815">
        <v>1285.7390137</v>
      </c>
      <c r="J815">
        <v>1266.3876952999999</v>
      </c>
      <c r="K815">
        <v>2400</v>
      </c>
      <c r="L815">
        <v>0</v>
      </c>
      <c r="M815">
        <v>0</v>
      </c>
      <c r="N815">
        <v>2400</v>
      </c>
    </row>
    <row r="816" spans="1:14" x14ac:dyDescent="0.25">
      <c r="A816">
        <v>409.13801100000001</v>
      </c>
      <c r="B816" s="1">
        <f>DATE(2011,6,14) + TIME(3,18,44)</f>
        <v>40708.138009259259</v>
      </c>
      <c r="C816">
        <v>80</v>
      </c>
      <c r="D816">
        <v>79.936424255000006</v>
      </c>
      <c r="E816">
        <v>50</v>
      </c>
      <c r="F816">
        <v>45.599720001000001</v>
      </c>
      <c r="G816">
        <v>1386.1473389</v>
      </c>
      <c r="H816">
        <v>1372.0871582</v>
      </c>
      <c r="I816">
        <v>1285.7032471</v>
      </c>
      <c r="J816">
        <v>1266.3406981999999</v>
      </c>
      <c r="K816">
        <v>2400</v>
      </c>
      <c r="L816">
        <v>0</v>
      </c>
      <c r="M816">
        <v>0</v>
      </c>
      <c r="N816">
        <v>2400</v>
      </c>
    </row>
    <row r="817" spans="1:14" x14ac:dyDescent="0.25">
      <c r="A817">
        <v>409.95616999999999</v>
      </c>
      <c r="B817" s="1">
        <f>DATE(2011,6,14) + TIME(22,56,53)</f>
        <v>40708.95616898148</v>
      </c>
      <c r="C817">
        <v>80</v>
      </c>
      <c r="D817">
        <v>79.936439514</v>
      </c>
      <c r="E817">
        <v>50</v>
      </c>
      <c r="F817">
        <v>45.534141540999997</v>
      </c>
      <c r="G817">
        <v>1386.0780029</v>
      </c>
      <c r="H817">
        <v>1372.027832</v>
      </c>
      <c r="I817">
        <v>1285.6669922000001</v>
      </c>
      <c r="J817">
        <v>1266.2927245999999</v>
      </c>
      <c r="K817">
        <v>2400</v>
      </c>
      <c r="L817">
        <v>0</v>
      </c>
      <c r="M817">
        <v>0</v>
      </c>
      <c r="N817">
        <v>2400</v>
      </c>
    </row>
    <row r="818" spans="1:14" x14ac:dyDescent="0.25">
      <c r="A818">
        <v>410.78068400000001</v>
      </c>
      <c r="B818" s="1">
        <f>DATE(2011,6,15) + TIME(18,44,11)</f>
        <v>40709.780682870369</v>
      </c>
      <c r="C818">
        <v>80</v>
      </c>
      <c r="D818">
        <v>79.936454772999994</v>
      </c>
      <c r="E818">
        <v>50</v>
      </c>
      <c r="F818">
        <v>45.468257903999998</v>
      </c>
      <c r="G818">
        <v>1386.0093993999999</v>
      </c>
      <c r="H818">
        <v>1371.9689940999999</v>
      </c>
      <c r="I818">
        <v>1285.6298827999999</v>
      </c>
      <c r="J818">
        <v>1266.2436522999999</v>
      </c>
      <c r="K818">
        <v>2400</v>
      </c>
      <c r="L818">
        <v>0</v>
      </c>
      <c r="M818">
        <v>0</v>
      </c>
      <c r="N818">
        <v>2400</v>
      </c>
    </row>
    <row r="819" spans="1:14" x14ac:dyDescent="0.25">
      <c r="A819">
        <v>411.61341599999997</v>
      </c>
      <c r="B819" s="1">
        <f>DATE(2011,6,16) + TIME(14,43,19)</f>
        <v>40710.61341435185</v>
      </c>
      <c r="C819">
        <v>80</v>
      </c>
      <c r="D819">
        <v>79.936470032000003</v>
      </c>
      <c r="E819">
        <v>50</v>
      </c>
      <c r="F819">
        <v>45.401962279999999</v>
      </c>
      <c r="G819">
        <v>1385.9411620999999</v>
      </c>
      <c r="H819">
        <v>1371.9105225000001</v>
      </c>
      <c r="I819">
        <v>1285.5920410000001</v>
      </c>
      <c r="J819">
        <v>1266.1933594</v>
      </c>
      <c r="K819">
        <v>2400</v>
      </c>
      <c r="L819">
        <v>0</v>
      </c>
      <c r="M819">
        <v>0</v>
      </c>
      <c r="N819">
        <v>2400</v>
      </c>
    </row>
    <row r="820" spans="1:14" x14ac:dyDescent="0.25">
      <c r="A820">
        <v>412.456301</v>
      </c>
      <c r="B820" s="1">
        <f>DATE(2011,6,17) + TIME(10,57,4)</f>
        <v>40711.456296296295</v>
      </c>
      <c r="C820">
        <v>80</v>
      </c>
      <c r="D820">
        <v>79.936485290999997</v>
      </c>
      <c r="E820">
        <v>50</v>
      </c>
      <c r="F820">
        <v>45.335117339999996</v>
      </c>
      <c r="G820">
        <v>1385.8732910000001</v>
      </c>
      <c r="H820">
        <v>1371.8522949000001</v>
      </c>
      <c r="I820">
        <v>1285.5533447</v>
      </c>
      <c r="J820">
        <v>1266.1417236</v>
      </c>
      <c r="K820">
        <v>2400</v>
      </c>
      <c r="L820">
        <v>0</v>
      </c>
      <c r="M820">
        <v>0</v>
      </c>
      <c r="N820">
        <v>2400</v>
      </c>
    </row>
    <row r="821" spans="1:14" x14ac:dyDescent="0.25">
      <c r="A821">
        <v>413.31135999999998</v>
      </c>
      <c r="B821" s="1">
        <f>DATE(2011,6,18) + TIME(7,28,21)</f>
        <v>40712.311354166668</v>
      </c>
      <c r="C821">
        <v>80</v>
      </c>
      <c r="D821">
        <v>79.936508179</v>
      </c>
      <c r="E821">
        <v>50</v>
      </c>
      <c r="F821">
        <v>45.267559052000003</v>
      </c>
      <c r="G821">
        <v>1385.8055420000001</v>
      </c>
      <c r="H821">
        <v>1371.7941894999999</v>
      </c>
      <c r="I821">
        <v>1285.5135498</v>
      </c>
      <c r="J821">
        <v>1266.088501</v>
      </c>
      <c r="K821">
        <v>2400</v>
      </c>
      <c r="L821">
        <v>0</v>
      </c>
      <c r="M821">
        <v>0</v>
      </c>
      <c r="N821">
        <v>2400</v>
      </c>
    </row>
    <row r="822" spans="1:14" x14ac:dyDescent="0.25">
      <c r="A822">
        <v>414.18072699999999</v>
      </c>
      <c r="B822" s="1">
        <f>DATE(2011,6,19) + TIME(4,20,14)</f>
        <v>40713.180717592593</v>
      </c>
      <c r="C822">
        <v>80</v>
      </c>
      <c r="D822">
        <v>79.936531067000004</v>
      </c>
      <c r="E822">
        <v>50</v>
      </c>
      <c r="F822">
        <v>45.199127197000003</v>
      </c>
      <c r="G822">
        <v>1385.737793</v>
      </c>
      <c r="H822">
        <v>1371.7360839999999</v>
      </c>
      <c r="I822">
        <v>1285.4725341999999</v>
      </c>
      <c r="J822">
        <v>1266.0334473</v>
      </c>
      <c r="K822">
        <v>2400</v>
      </c>
      <c r="L822">
        <v>0</v>
      </c>
      <c r="M822">
        <v>0</v>
      </c>
      <c r="N822">
        <v>2400</v>
      </c>
    </row>
    <row r="823" spans="1:14" x14ac:dyDescent="0.25">
      <c r="A823">
        <v>415.06667299999998</v>
      </c>
      <c r="B823" s="1">
        <f>DATE(2011,6,20) + TIME(1,36,0)</f>
        <v>40714.066666666666</v>
      </c>
      <c r="C823">
        <v>80</v>
      </c>
      <c r="D823">
        <v>79.936546325999998</v>
      </c>
      <c r="E823">
        <v>50</v>
      </c>
      <c r="F823">
        <v>45.129631042</v>
      </c>
      <c r="G823">
        <v>1385.6699219</v>
      </c>
      <c r="H823">
        <v>1371.6777344</v>
      </c>
      <c r="I823">
        <v>1285.4301757999999</v>
      </c>
      <c r="J823">
        <v>1265.9765625</v>
      </c>
      <c r="K823">
        <v>2400</v>
      </c>
      <c r="L823">
        <v>0</v>
      </c>
      <c r="M823">
        <v>0</v>
      </c>
      <c r="N823">
        <v>2400</v>
      </c>
    </row>
    <row r="824" spans="1:14" x14ac:dyDescent="0.25">
      <c r="A824">
        <v>415.971655</v>
      </c>
      <c r="B824" s="1">
        <f>DATE(2011,6,20) + TIME(23,19,10)</f>
        <v>40714.971643518518</v>
      </c>
      <c r="C824">
        <v>80</v>
      </c>
      <c r="D824">
        <v>79.936569214000002</v>
      </c>
      <c r="E824">
        <v>50</v>
      </c>
      <c r="F824">
        <v>45.058883667000003</v>
      </c>
      <c r="G824">
        <v>1385.6016846</v>
      </c>
      <c r="H824">
        <v>1371.6192627</v>
      </c>
      <c r="I824">
        <v>1285.3864745999999</v>
      </c>
      <c r="J824">
        <v>1265.9174805</v>
      </c>
      <c r="K824">
        <v>2400</v>
      </c>
      <c r="L824">
        <v>0</v>
      </c>
      <c r="M824">
        <v>0</v>
      </c>
      <c r="N824">
        <v>2400</v>
      </c>
    </row>
    <row r="825" spans="1:14" x14ac:dyDescent="0.25">
      <c r="A825">
        <v>416.89835299999999</v>
      </c>
      <c r="B825" s="1">
        <f>DATE(2011,6,21) + TIME(21,33,37)</f>
        <v>40715.898344907408</v>
      </c>
      <c r="C825">
        <v>80</v>
      </c>
      <c r="D825">
        <v>79.936592102000006</v>
      </c>
      <c r="E825">
        <v>50</v>
      </c>
      <c r="F825">
        <v>44.986667633000003</v>
      </c>
      <c r="G825">
        <v>1385.5330810999999</v>
      </c>
      <c r="H825">
        <v>1371.5601807</v>
      </c>
      <c r="I825">
        <v>1285.3410644999999</v>
      </c>
      <c r="J825">
        <v>1265.8560791</v>
      </c>
      <c r="K825">
        <v>2400</v>
      </c>
      <c r="L825">
        <v>0</v>
      </c>
      <c r="M825">
        <v>0</v>
      </c>
      <c r="N825">
        <v>2400</v>
      </c>
    </row>
    <row r="826" spans="1:14" x14ac:dyDescent="0.25">
      <c r="A826">
        <v>417.83260000000001</v>
      </c>
      <c r="B826" s="1">
        <f>DATE(2011,6,22) + TIME(19,58,56)</f>
        <v>40716.832592592589</v>
      </c>
      <c r="C826">
        <v>80</v>
      </c>
      <c r="D826">
        <v>79.936622619999994</v>
      </c>
      <c r="E826">
        <v>50</v>
      </c>
      <c r="F826">
        <v>44.913406371999997</v>
      </c>
      <c r="G826">
        <v>1385.4637451000001</v>
      </c>
      <c r="H826">
        <v>1371.5006103999999</v>
      </c>
      <c r="I826">
        <v>1285.2937012</v>
      </c>
      <c r="J826">
        <v>1265.7919922000001</v>
      </c>
      <c r="K826">
        <v>2400</v>
      </c>
      <c r="L826">
        <v>0</v>
      </c>
      <c r="M826">
        <v>0</v>
      </c>
      <c r="N826">
        <v>2400</v>
      </c>
    </row>
    <row r="827" spans="1:14" x14ac:dyDescent="0.25">
      <c r="A827">
        <v>418.774834</v>
      </c>
      <c r="B827" s="1">
        <f>DATE(2011,6,23) + TIME(18,35,45)</f>
        <v>40717.774826388886</v>
      </c>
      <c r="C827">
        <v>80</v>
      </c>
      <c r="D827">
        <v>79.936645507999998</v>
      </c>
      <c r="E827">
        <v>50</v>
      </c>
      <c r="F827">
        <v>44.839298247999999</v>
      </c>
      <c r="G827">
        <v>1385.3948975000001</v>
      </c>
      <c r="H827">
        <v>1371.4412841999999</v>
      </c>
      <c r="I827">
        <v>1285.2452393000001</v>
      </c>
      <c r="J827">
        <v>1265.7260742000001</v>
      </c>
      <c r="K827">
        <v>2400</v>
      </c>
      <c r="L827">
        <v>0</v>
      </c>
      <c r="M827">
        <v>0</v>
      </c>
      <c r="N827">
        <v>2400</v>
      </c>
    </row>
    <row r="828" spans="1:14" x14ac:dyDescent="0.25">
      <c r="A828">
        <v>419.72737599999999</v>
      </c>
      <c r="B828" s="1">
        <f>DATE(2011,6,24) + TIME(17,27,25)</f>
        <v>40718.727372685185</v>
      </c>
      <c r="C828">
        <v>80</v>
      </c>
      <c r="D828">
        <v>79.936668396000002</v>
      </c>
      <c r="E828">
        <v>50</v>
      </c>
      <c r="F828">
        <v>44.764343261999997</v>
      </c>
      <c r="G828">
        <v>1385.3264160000001</v>
      </c>
      <c r="H828">
        <v>1371.3823242000001</v>
      </c>
      <c r="I828">
        <v>1285.1955565999999</v>
      </c>
      <c r="J828">
        <v>1265.6582031</v>
      </c>
      <c r="K828">
        <v>2400</v>
      </c>
      <c r="L828">
        <v>0</v>
      </c>
      <c r="M828">
        <v>0</v>
      </c>
      <c r="N828">
        <v>2400</v>
      </c>
    </row>
    <row r="829" spans="1:14" x14ac:dyDescent="0.25">
      <c r="A829">
        <v>420.683921</v>
      </c>
      <c r="B829" s="1">
        <f>DATE(2011,6,25) + TIME(16,24,50)</f>
        <v>40719.683912037035</v>
      </c>
      <c r="C829">
        <v>80</v>
      </c>
      <c r="D829">
        <v>79.936698914000004</v>
      </c>
      <c r="E829">
        <v>50</v>
      </c>
      <c r="F829">
        <v>44.688758849999999</v>
      </c>
      <c r="G829">
        <v>1385.2580565999999</v>
      </c>
      <c r="H829">
        <v>1371.3234863</v>
      </c>
      <c r="I829">
        <v>1285.1445312000001</v>
      </c>
      <c r="J829">
        <v>1265.5882568</v>
      </c>
      <c r="K829">
        <v>2400</v>
      </c>
      <c r="L829">
        <v>0</v>
      </c>
      <c r="M829">
        <v>0</v>
      </c>
      <c r="N829">
        <v>2400</v>
      </c>
    </row>
    <row r="830" spans="1:14" x14ac:dyDescent="0.25">
      <c r="A830">
        <v>421.64694200000002</v>
      </c>
      <c r="B830" s="1">
        <f>DATE(2011,6,26) + TIME(15,31,35)</f>
        <v>40720.646932870368</v>
      </c>
      <c r="C830">
        <v>80</v>
      </c>
      <c r="D830">
        <v>79.936721801999994</v>
      </c>
      <c r="E830">
        <v>50</v>
      </c>
      <c r="F830">
        <v>44.612567902000002</v>
      </c>
      <c r="G830">
        <v>1385.1904297000001</v>
      </c>
      <c r="H830">
        <v>1371.2651367000001</v>
      </c>
      <c r="I830">
        <v>1285.0924072</v>
      </c>
      <c r="J830">
        <v>1265.5166016000001</v>
      </c>
      <c r="K830">
        <v>2400</v>
      </c>
      <c r="L830">
        <v>0</v>
      </c>
      <c r="M830">
        <v>0</v>
      </c>
      <c r="N830">
        <v>2400</v>
      </c>
    </row>
    <row r="831" spans="1:14" x14ac:dyDescent="0.25">
      <c r="A831">
        <v>422.61827799999998</v>
      </c>
      <c r="B831" s="1">
        <f>DATE(2011,6,27) + TIME(14,50,19)</f>
        <v>40721.618275462963</v>
      </c>
      <c r="C831">
        <v>80</v>
      </c>
      <c r="D831">
        <v>79.936752318999993</v>
      </c>
      <c r="E831">
        <v>50</v>
      </c>
      <c r="F831">
        <v>44.535686493</v>
      </c>
      <c r="G831">
        <v>1385.1232910000001</v>
      </c>
      <c r="H831">
        <v>1371.2072754000001</v>
      </c>
      <c r="I831">
        <v>1285.0390625</v>
      </c>
      <c r="J831">
        <v>1265.4428711</v>
      </c>
      <c r="K831">
        <v>2400</v>
      </c>
      <c r="L831">
        <v>0</v>
      </c>
      <c r="M831">
        <v>0</v>
      </c>
      <c r="N831">
        <v>2400</v>
      </c>
    </row>
    <row r="832" spans="1:14" x14ac:dyDescent="0.25">
      <c r="A832">
        <v>423.60018400000001</v>
      </c>
      <c r="B832" s="1">
        <f>DATE(2011,6,28) + TIME(14,24,15)</f>
        <v>40722.600173611114</v>
      </c>
      <c r="C832">
        <v>80</v>
      </c>
      <c r="D832">
        <v>79.936782836999996</v>
      </c>
      <c r="E832">
        <v>50</v>
      </c>
      <c r="F832">
        <v>44.457965850999997</v>
      </c>
      <c r="G832">
        <v>1385.0565185999999</v>
      </c>
      <c r="H832">
        <v>1371.1495361</v>
      </c>
      <c r="I832">
        <v>1284.9842529</v>
      </c>
      <c r="J832">
        <v>1265.3670654</v>
      </c>
      <c r="K832">
        <v>2400</v>
      </c>
      <c r="L832">
        <v>0</v>
      </c>
      <c r="M832">
        <v>0</v>
      </c>
      <c r="N832">
        <v>2400</v>
      </c>
    </row>
    <row r="833" spans="1:14" x14ac:dyDescent="0.25">
      <c r="A833">
        <v>424.59499</v>
      </c>
      <c r="B833" s="1">
        <f>DATE(2011,6,29) + TIME(14,16,47)</f>
        <v>40723.594988425924</v>
      </c>
      <c r="C833">
        <v>80</v>
      </c>
      <c r="D833">
        <v>79.936813353999995</v>
      </c>
      <c r="E833">
        <v>50</v>
      </c>
      <c r="F833">
        <v>44.37922287</v>
      </c>
      <c r="G833">
        <v>1384.9898682</v>
      </c>
      <c r="H833">
        <v>1371.0920410000001</v>
      </c>
      <c r="I833">
        <v>1284.9281006000001</v>
      </c>
      <c r="J833">
        <v>1265.2888184000001</v>
      </c>
      <c r="K833">
        <v>2400</v>
      </c>
      <c r="L833">
        <v>0</v>
      </c>
      <c r="M833">
        <v>0</v>
      </c>
      <c r="N833">
        <v>2400</v>
      </c>
    </row>
    <row r="834" spans="1:14" x14ac:dyDescent="0.25">
      <c r="A834">
        <v>425.60513900000001</v>
      </c>
      <c r="B834" s="1">
        <f>DATE(2011,6,30) + TIME(14,31,23)</f>
        <v>40724.605127314811</v>
      </c>
      <c r="C834">
        <v>80</v>
      </c>
      <c r="D834">
        <v>79.936843871999997</v>
      </c>
      <c r="E834">
        <v>50</v>
      </c>
      <c r="F834">
        <v>44.299259186</v>
      </c>
      <c r="G834">
        <v>1384.9233397999999</v>
      </c>
      <c r="H834">
        <v>1371.0344238</v>
      </c>
      <c r="I834">
        <v>1284.8701172000001</v>
      </c>
      <c r="J834">
        <v>1265.2080077999999</v>
      </c>
      <c r="K834">
        <v>2400</v>
      </c>
      <c r="L834">
        <v>0</v>
      </c>
      <c r="M834">
        <v>0</v>
      </c>
      <c r="N834">
        <v>2400</v>
      </c>
    </row>
    <row r="835" spans="1:14" x14ac:dyDescent="0.25">
      <c r="A835">
        <v>426</v>
      </c>
      <c r="B835" s="1">
        <f>DATE(2011,7,1) + TIME(0,0,0)</f>
        <v>40725</v>
      </c>
      <c r="C835">
        <v>80</v>
      </c>
      <c r="D835">
        <v>79.936843871999997</v>
      </c>
      <c r="E835">
        <v>50</v>
      </c>
      <c r="F835">
        <v>44.252742767000001</v>
      </c>
      <c r="G835">
        <v>1384.8564452999999</v>
      </c>
      <c r="H835">
        <v>1370.9766846</v>
      </c>
      <c r="I835">
        <v>1284.809082</v>
      </c>
      <c r="J835">
        <v>1265.1331786999999</v>
      </c>
      <c r="K835">
        <v>2400</v>
      </c>
      <c r="L835">
        <v>0</v>
      </c>
      <c r="M835">
        <v>0</v>
      </c>
      <c r="N835">
        <v>2400</v>
      </c>
    </row>
    <row r="836" spans="1:14" x14ac:dyDescent="0.25">
      <c r="A836">
        <v>427.02808800000003</v>
      </c>
      <c r="B836" s="1">
        <f>DATE(2011,7,2) + TIME(0,40,26)</f>
        <v>40726.028078703705</v>
      </c>
      <c r="C836">
        <v>80</v>
      </c>
      <c r="D836">
        <v>79.936882018999995</v>
      </c>
      <c r="E836">
        <v>50</v>
      </c>
      <c r="F836">
        <v>44.179065704000003</v>
      </c>
      <c r="G836">
        <v>1384.8304443</v>
      </c>
      <c r="H836">
        <v>1370.9541016000001</v>
      </c>
      <c r="I836">
        <v>1284.7860106999999</v>
      </c>
      <c r="J836">
        <v>1265.0878906</v>
      </c>
      <c r="K836">
        <v>2400</v>
      </c>
      <c r="L836">
        <v>0</v>
      </c>
      <c r="M836">
        <v>0</v>
      </c>
      <c r="N836">
        <v>2400</v>
      </c>
    </row>
    <row r="837" spans="1:14" x14ac:dyDescent="0.25">
      <c r="A837">
        <v>428.08476899999999</v>
      </c>
      <c r="B837" s="1">
        <f>DATE(2011,7,3) + TIME(2,2,3)</f>
        <v>40727.084756944445</v>
      </c>
      <c r="C837">
        <v>80</v>
      </c>
      <c r="D837">
        <v>79.936920165999993</v>
      </c>
      <c r="E837">
        <v>50</v>
      </c>
      <c r="F837">
        <v>44.099258423000002</v>
      </c>
      <c r="G837">
        <v>1384.7640381000001</v>
      </c>
      <c r="H837">
        <v>1370.8967285000001</v>
      </c>
      <c r="I837">
        <v>1284.7241211</v>
      </c>
      <c r="J837">
        <v>1265.0018310999999</v>
      </c>
      <c r="K837">
        <v>2400</v>
      </c>
      <c r="L837">
        <v>0</v>
      </c>
      <c r="M837">
        <v>0</v>
      </c>
      <c r="N837">
        <v>2400</v>
      </c>
    </row>
    <row r="838" spans="1:14" x14ac:dyDescent="0.25">
      <c r="A838">
        <v>429.15441800000002</v>
      </c>
      <c r="B838" s="1">
        <f>DATE(2011,7,4) + TIME(3,42,21)</f>
        <v>40728.154409722221</v>
      </c>
      <c r="C838">
        <v>80</v>
      </c>
      <c r="D838">
        <v>79.936958313000005</v>
      </c>
      <c r="E838">
        <v>50</v>
      </c>
      <c r="F838">
        <v>44.015697479000004</v>
      </c>
      <c r="G838">
        <v>1384.6965332</v>
      </c>
      <c r="H838">
        <v>1370.8381348</v>
      </c>
      <c r="I838">
        <v>1284.6590576000001</v>
      </c>
      <c r="J838">
        <v>1264.9106445</v>
      </c>
      <c r="K838">
        <v>2400</v>
      </c>
      <c r="L838">
        <v>0</v>
      </c>
      <c r="M838">
        <v>0</v>
      </c>
      <c r="N838">
        <v>2400</v>
      </c>
    </row>
    <row r="839" spans="1:14" x14ac:dyDescent="0.25">
      <c r="A839">
        <v>430.23236000000003</v>
      </c>
      <c r="B839" s="1">
        <f>DATE(2011,7,5) + TIME(5,34,35)</f>
        <v>40729.232349537036</v>
      </c>
      <c r="C839">
        <v>80</v>
      </c>
      <c r="D839">
        <v>79.936996460000003</v>
      </c>
      <c r="E839">
        <v>50</v>
      </c>
      <c r="F839">
        <v>43.929794311999999</v>
      </c>
      <c r="G839">
        <v>1384.6289062000001</v>
      </c>
      <c r="H839">
        <v>1370.7795410000001</v>
      </c>
      <c r="I839">
        <v>1284.5920410000001</v>
      </c>
      <c r="J839">
        <v>1264.8160399999999</v>
      </c>
      <c r="K839">
        <v>2400</v>
      </c>
      <c r="L839">
        <v>0</v>
      </c>
      <c r="M839">
        <v>0</v>
      </c>
      <c r="N839">
        <v>2400</v>
      </c>
    </row>
    <row r="840" spans="1:14" x14ac:dyDescent="0.25">
      <c r="A840">
        <v>431.32122700000002</v>
      </c>
      <c r="B840" s="1">
        <f>DATE(2011,7,6) + TIME(7,42,34)</f>
        <v>40730.321226851855</v>
      </c>
      <c r="C840">
        <v>80</v>
      </c>
      <c r="D840">
        <v>79.937026978000006</v>
      </c>
      <c r="E840">
        <v>50</v>
      </c>
      <c r="F840">
        <v>43.842136383000003</v>
      </c>
      <c r="G840">
        <v>1384.5617675999999</v>
      </c>
      <c r="H840">
        <v>1370.7213135</v>
      </c>
      <c r="I840">
        <v>1284.5231934000001</v>
      </c>
      <c r="J840">
        <v>1264.7182617000001</v>
      </c>
      <c r="K840">
        <v>2400</v>
      </c>
      <c r="L840">
        <v>0</v>
      </c>
      <c r="M840">
        <v>0</v>
      </c>
      <c r="N840">
        <v>2400</v>
      </c>
    </row>
    <row r="841" spans="1:14" x14ac:dyDescent="0.25">
      <c r="A841">
        <v>432.423182</v>
      </c>
      <c r="B841" s="1">
        <f>DATE(2011,7,7) + TIME(10,9,22)</f>
        <v>40731.423171296294</v>
      </c>
      <c r="C841">
        <v>80</v>
      </c>
      <c r="D841">
        <v>79.937065125000004</v>
      </c>
      <c r="E841">
        <v>50</v>
      </c>
      <c r="F841">
        <v>43.752864838000001</v>
      </c>
      <c r="G841">
        <v>1384.4948730000001</v>
      </c>
      <c r="H841">
        <v>1370.6632079999999</v>
      </c>
      <c r="I841">
        <v>1284.4525146000001</v>
      </c>
      <c r="J841">
        <v>1264.6174315999999</v>
      </c>
      <c r="K841">
        <v>2400</v>
      </c>
      <c r="L841">
        <v>0</v>
      </c>
      <c r="M841">
        <v>0</v>
      </c>
      <c r="N841">
        <v>2400</v>
      </c>
    </row>
    <row r="842" spans="1:14" x14ac:dyDescent="0.25">
      <c r="A842">
        <v>433.53675600000003</v>
      </c>
      <c r="B842" s="1">
        <f>DATE(2011,7,8) + TIME(12,52,55)</f>
        <v>40732.536747685182</v>
      </c>
      <c r="C842">
        <v>80</v>
      </c>
      <c r="D842">
        <v>79.937103270999998</v>
      </c>
      <c r="E842">
        <v>50</v>
      </c>
      <c r="F842">
        <v>43.662055969000001</v>
      </c>
      <c r="G842">
        <v>1384.4279785000001</v>
      </c>
      <c r="H842">
        <v>1370.6051024999999</v>
      </c>
      <c r="I842">
        <v>1284.3797606999999</v>
      </c>
      <c r="J842">
        <v>1264.5131836</v>
      </c>
      <c r="K842">
        <v>2400</v>
      </c>
      <c r="L842">
        <v>0</v>
      </c>
      <c r="M842">
        <v>0</v>
      </c>
      <c r="N842">
        <v>2400</v>
      </c>
    </row>
    <row r="843" spans="1:14" x14ac:dyDescent="0.25">
      <c r="A843">
        <v>434.65874000000002</v>
      </c>
      <c r="B843" s="1">
        <f>DATE(2011,7,9) + TIME(15,48,35)</f>
        <v>40733.658738425926</v>
      </c>
      <c r="C843">
        <v>80</v>
      </c>
      <c r="D843">
        <v>79.937141417999996</v>
      </c>
      <c r="E843">
        <v>50</v>
      </c>
      <c r="F843">
        <v>43.569858551000003</v>
      </c>
      <c r="G843">
        <v>1384.3613281</v>
      </c>
      <c r="H843">
        <v>1370.5471190999999</v>
      </c>
      <c r="I843">
        <v>1284.3050536999999</v>
      </c>
      <c r="J843">
        <v>1264.4056396000001</v>
      </c>
      <c r="K843">
        <v>2400</v>
      </c>
      <c r="L843">
        <v>0</v>
      </c>
      <c r="M843">
        <v>0</v>
      </c>
      <c r="N843">
        <v>2400</v>
      </c>
    </row>
    <row r="844" spans="1:14" x14ac:dyDescent="0.25">
      <c r="A844">
        <v>435.79131599999999</v>
      </c>
      <c r="B844" s="1">
        <f>DATE(2011,7,10) + TIME(18,59,29)</f>
        <v>40734.791307870371</v>
      </c>
      <c r="C844">
        <v>80</v>
      </c>
      <c r="D844">
        <v>79.937187195000007</v>
      </c>
      <c r="E844">
        <v>50</v>
      </c>
      <c r="F844">
        <v>43.476253509999999</v>
      </c>
      <c r="G844">
        <v>1384.2949219</v>
      </c>
      <c r="H844">
        <v>1370.4895019999999</v>
      </c>
      <c r="I844">
        <v>1284.2283935999999</v>
      </c>
      <c r="J844">
        <v>1264.2950439000001</v>
      </c>
      <c r="K844">
        <v>2400</v>
      </c>
      <c r="L844">
        <v>0</v>
      </c>
      <c r="M844">
        <v>0</v>
      </c>
      <c r="N844">
        <v>2400</v>
      </c>
    </row>
    <row r="845" spans="1:14" x14ac:dyDescent="0.25">
      <c r="A845">
        <v>436.93714299999999</v>
      </c>
      <c r="B845" s="1">
        <f>DATE(2011,7,11) + TIME(22,29,29)</f>
        <v>40735.937141203707</v>
      </c>
      <c r="C845">
        <v>80</v>
      </c>
      <c r="D845">
        <v>79.937225342000005</v>
      </c>
      <c r="E845">
        <v>50</v>
      </c>
      <c r="F845">
        <v>43.381095885999997</v>
      </c>
      <c r="G845">
        <v>1384.2288818</v>
      </c>
      <c r="H845">
        <v>1370.4318848</v>
      </c>
      <c r="I845">
        <v>1284.1497803</v>
      </c>
      <c r="J845">
        <v>1264.1810303</v>
      </c>
      <c r="K845">
        <v>2400</v>
      </c>
      <c r="L845">
        <v>0</v>
      </c>
      <c r="M845">
        <v>0</v>
      </c>
      <c r="N845">
        <v>2400</v>
      </c>
    </row>
    <row r="846" spans="1:14" x14ac:dyDescent="0.25">
      <c r="A846">
        <v>438.09900800000003</v>
      </c>
      <c r="B846" s="1">
        <f>DATE(2011,7,13) + TIME(2,22,34)</f>
        <v>40737.099004629628</v>
      </c>
      <c r="C846">
        <v>80</v>
      </c>
      <c r="D846">
        <v>79.937271117999998</v>
      </c>
      <c r="E846">
        <v>50</v>
      </c>
      <c r="F846">
        <v>43.284160614000001</v>
      </c>
      <c r="G846">
        <v>1384.1628418</v>
      </c>
      <c r="H846">
        <v>1370.3743896000001</v>
      </c>
      <c r="I846">
        <v>1284.0688477000001</v>
      </c>
      <c r="J846">
        <v>1264.0632324000001</v>
      </c>
      <c r="K846">
        <v>2400</v>
      </c>
      <c r="L846">
        <v>0</v>
      </c>
      <c r="M846">
        <v>0</v>
      </c>
      <c r="N846">
        <v>2400</v>
      </c>
    </row>
    <row r="847" spans="1:14" x14ac:dyDescent="0.25">
      <c r="A847">
        <v>439.27602899999999</v>
      </c>
      <c r="B847" s="1">
        <f>DATE(2011,7,14) + TIME(6,37,28)</f>
        <v>40738.276018518518</v>
      </c>
      <c r="C847">
        <v>80</v>
      </c>
      <c r="D847">
        <v>79.937309264999996</v>
      </c>
      <c r="E847">
        <v>50</v>
      </c>
      <c r="F847">
        <v>43.185321807999998</v>
      </c>
      <c r="G847">
        <v>1384.0966797000001</v>
      </c>
      <c r="H847">
        <v>1370.3167725000001</v>
      </c>
      <c r="I847">
        <v>1283.9854736</v>
      </c>
      <c r="J847">
        <v>1263.9415283000001</v>
      </c>
      <c r="K847">
        <v>2400</v>
      </c>
      <c r="L847">
        <v>0</v>
      </c>
      <c r="M847">
        <v>0</v>
      </c>
      <c r="N847">
        <v>2400</v>
      </c>
    </row>
    <row r="848" spans="1:14" x14ac:dyDescent="0.25">
      <c r="A848">
        <v>440.46977500000003</v>
      </c>
      <c r="B848" s="1">
        <f>DATE(2011,7,15) + TIME(11,16,28)</f>
        <v>40739.469768518517</v>
      </c>
      <c r="C848">
        <v>80</v>
      </c>
      <c r="D848">
        <v>79.937355041999993</v>
      </c>
      <c r="E848">
        <v>50</v>
      </c>
      <c r="F848">
        <v>43.084442138999997</v>
      </c>
      <c r="G848">
        <v>1384.0305175999999</v>
      </c>
      <c r="H848">
        <v>1370.2590332</v>
      </c>
      <c r="I848">
        <v>1283.8996582</v>
      </c>
      <c r="J848">
        <v>1263.8156738</v>
      </c>
      <c r="K848">
        <v>2400</v>
      </c>
      <c r="L848">
        <v>0</v>
      </c>
      <c r="M848">
        <v>0</v>
      </c>
      <c r="N848">
        <v>2400</v>
      </c>
    </row>
    <row r="849" spans="1:14" x14ac:dyDescent="0.25">
      <c r="A849">
        <v>441.68181099999998</v>
      </c>
      <c r="B849" s="1">
        <f>DATE(2011,7,16) + TIME(16,21,48)</f>
        <v>40740.681805555556</v>
      </c>
      <c r="C849">
        <v>80</v>
      </c>
      <c r="D849">
        <v>79.937400818</v>
      </c>
      <c r="E849">
        <v>50</v>
      </c>
      <c r="F849">
        <v>42.981349944999998</v>
      </c>
      <c r="G849">
        <v>1383.9642334</v>
      </c>
      <c r="H849">
        <v>1370.2011719</v>
      </c>
      <c r="I849">
        <v>1283.8111572</v>
      </c>
      <c r="J849">
        <v>1263.6854248</v>
      </c>
      <c r="K849">
        <v>2400</v>
      </c>
      <c r="L849">
        <v>0</v>
      </c>
      <c r="M849">
        <v>0</v>
      </c>
      <c r="N849">
        <v>2400</v>
      </c>
    </row>
    <row r="850" spans="1:14" x14ac:dyDescent="0.25">
      <c r="A850">
        <v>442.90083399999997</v>
      </c>
      <c r="B850" s="1">
        <f>DATE(2011,7,17) + TIME(21,37,12)</f>
        <v>40741.900833333333</v>
      </c>
      <c r="C850">
        <v>80</v>
      </c>
      <c r="D850">
        <v>79.937446593999994</v>
      </c>
      <c r="E850">
        <v>50</v>
      </c>
      <c r="F850">
        <v>42.876331329000003</v>
      </c>
      <c r="G850">
        <v>1383.8978271000001</v>
      </c>
      <c r="H850">
        <v>1370.1430664</v>
      </c>
      <c r="I850">
        <v>1283.7199707</v>
      </c>
      <c r="J850">
        <v>1263.5507812000001</v>
      </c>
      <c r="K850">
        <v>2400</v>
      </c>
      <c r="L850">
        <v>0</v>
      </c>
      <c r="M850">
        <v>0</v>
      </c>
      <c r="N850">
        <v>2400</v>
      </c>
    </row>
    <row r="851" spans="1:14" x14ac:dyDescent="0.25">
      <c r="A851">
        <v>444.127703</v>
      </c>
      <c r="B851" s="1">
        <f>DATE(2011,7,19) + TIME(3,3,53)</f>
        <v>40743.127696759257</v>
      </c>
      <c r="C851">
        <v>80</v>
      </c>
      <c r="D851">
        <v>79.937492371000005</v>
      </c>
      <c r="E851">
        <v>50</v>
      </c>
      <c r="F851">
        <v>42.769596100000001</v>
      </c>
      <c r="G851">
        <v>1383.8317870999999</v>
      </c>
      <c r="H851">
        <v>1370.0853271000001</v>
      </c>
      <c r="I851">
        <v>1283.6265868999999</v>
      </c>
      <c r="J851">
        <v>1263.4124756000001</v>
      </c>
      <c r="K851">
        <v>2400</v>
      </c>
      <c r="L851">
        <v>0</v>
      </c>
      <c r="M851">
        <v>0</v>
      </c>
      <c r="N851">
        <v>2400</v>
      </c>
    </row>
    <row r="852" spans="1:14" x14ac:dyDescent="0.25">
      <c r="A852">
        <v>445.36522200000002</v>
      </c>
      <c r="B852" s="1">
        <f>DATE(2011,7,20) + TIME(8,45,55)</f>
        <v>40744.365219907406</v>
      </c>
      <c r="C852">
        <v>80</v>
      </c>
      <c r="D852">
        <v>79.937545775999993</v>
      </c>
      <c r="E852">
        <v>50</v>
      </c>
      <c r="F852">
        <v>42.661090850999997</v>
      </c>
      <c r="G852">
        <v>1383.7662353999999</v>
      </c>
      <c r="H852">
        <v>1370.0279541</v>
      </c>
      <c r="I852">
        <v>1283.53125</v>
      </c>
      <c r="J852">
        <v>1263.2705077999999</v>
      </c>
      <c r="K852">
        <v>2400</v>
      </c>
      <c r="L852">
        <v>0</v>
      </c>
      <c r="M852">
        <v>0</v>
      </c>
      <c r="N852">
        <v>2400</v>
      </c>
    </row>
    <row r="853" spans="1:14" x14ac:dyDescent="0.25">
      <c r="A853">
        <v>446.61625500000002</v>
      </c>
      <c r="B853" s="1">
        <f>DATE(2011,7,21) + TIME(14,47,24)</f>
        <v>40745.616249999999</v>
      </c>
      <c r="C853">
        <v>80</v>
      </c>
      <c r="D853">
        <v>79.937591553000004</v>
      </c>
      <c r="E853">
        <v>50</v>
      </c>
      <c r="F853">
        <v>42.550624847000002</v>
      </c>
      <c r="G853">
        <v>1383.7008057</v>
      </c>
      <c r="H853">
        <v>1369.9707031</v>
      </c>
      <c r="I853">
        <v>1283.4335937999999</v>
      </c>
      <c r="J853">
        <v>1263.1245117000001</v>
      </c>
      <c r="K853">
        <v>2400</v>
      </c>
      <c r="L853">
        <v>0</v>
      </c>
      <c r="M853">
        <v>0</v>
      </c>
      <c r="N853">
        <v>2400</v>
      </c>
    </row>
    <row r="854" spans="1:14" x14ac:dyDescent="0.25">
      <c r="A854">
        <v>447.88380599999999</v>
      </c>
      <c r="B854" s="1">
        <f>DATE(2011,7,22) + TIME(21,12,40)</f>
        <v>40746.883796296293</v>
      </c>
      <c r="C854">
        <v>80</v>
      </c>
      <c r="D854">
        <v>79.937644958000007</v>
      </c>
      <c r="E854">
        <v>50</v>
      </c>
      <c r="F854">
        <v>42.437931061</v>
      </c>
      <c r="G854">
        <v>1383.6354980000001</v>
      </c>
      <c r="H854">
        <v>1369.9133300999999</v>
      </c>
      <c r="I854">
        <v>1283.3334961</v>
      </c>
      <c r="J854">
        <v>1262.9741211</v>
      </c>
      <c r="K854">
        <v>2400</v>
      </c>
      <c r="L854">
        <v>0</v>
      </c>
      <c r="M854">
        <v>0</v>
      </c>
      <c r="N854">
        <v>2400</v>
      </c>
    </row>
    <row r="855" spans="1:14" x14ac:dyDescent="0.25">
      <c r="A855">
        <v>449.171018</v>
      </c>
      <c r="B855" s="1">
        <f>DATE(2011,7,24) + TIME(4,6,15)</f>
        <v>40748.171006944445</v>
      </c>
      <c r="C855">
        <v>80</v>
      </c>
      <c r="D855">
        <v>79.937690735000004</v>
      </c>
      <c r="E855">
        <v>50</v>
      </c>
      <c r="F855">
        <v>42.322704315000003</v>
      </c>
      <c r="G855">
        <v>1383.5700684000001</v>
      </c>
      <c r="H855">
        <v>1369.855957</v>
      </c>
      <c r="I855">
        <v>1283.2304687999999</v>
      </c>
      <c r="J855">
        <v>1262.8189697</v>
      </c>
      <c r="K855">
        <v>2400</v>
      </c>
      <c r="L855">
        <v>0</v>
      </c>
      <c r="M855">
        <v>0</v>
      </c>
      <c r="N855">
        <v>2400</v>
      </c>
    </row>
    <row r="856" spans="1:14" x14ac:dyDescent="0.25">
      <c r="A856">
        <v>450.48124300000001</v>
      </c>
      <c r="B856" s="1">
        <f>DATE(2011,7,25) + TIME(11,32,59)</f>
        <v>40749.481238425928</v>
      </c>
      <c r="C856">
        <v>80</v>
      </c>
      <c r="D856">
        <v>79.937744140999996</v>
      </c>
      <c r="E856">
        <v>50</v>
      </c>
      <c r="F856">
        <v>42.204597473</v>
      </c>
      <c r="G856">
        <v>1383.5043945</v>
      </c>
      <c r="H856">
        <v>1369.7983397999999</v>
      </c>
      <c r="I856">
        <v>1283.1245117000001</v>
      </c>
      <c r="J856">
        <v>1262.6584473</v>
      </c>
      <c r="K856">
        <v>2400</v>
      </c>
      <c r="L856">
        <v>0</v>
      </c>
      <c r="M856">
        <v>0</v>
      </c>
      <c r="N856">
        <v>2400</v>
      </c>
    </row>
    <row r="857" spans="1:14" x14ac:dyDescent="0.25">
      <c r="A857">
        <v>451.80155600000001</v>
      </c>
      <c r="B857" s="1">
        <f>DATE(2011,7,26) + TIME(19,14,14)</f>
        <v>40750.801550925928</v>
      </c>
      <c r="C857">
        <v>80</v>
      </c>
      <c r="D857">
        <v>79.937797545999999</v>
      </c>
      <c r="E857">
        <v>50</v>
      </c>
      <c r="F857">
        <v>42.083843231000003</v>
      </c>
      <c r="G857">
        <v>1383.4383545000001</v>
      </c>
      <c r="H857">
        <v>1369.7403564000001</v>
      </c>
      <c r="I857">
        <v>1283.0150146000001</v>
      </c>
      <c r="J857">
        <v>1262.4924315999999</v>
      </c>
      <c r="K857">
        <v>2400</v>
      </c>
      <c r="L857">
        <v>0</v>
      </c>
      <c r="M857">
        <v>0</v>
      </c>
      <c r="N857">
        <v>2400</v>
      </c>
    </row>
    <row r="858" spans="1:14" x14ac:dyDescent="0.25">
      <c r="A858">
        <v>453.13648899999998</v>
      </c>
      <c r="B858" s="1">
        <f>DATE(2011,7,28) + TIME(3,16,32)</f>
        <v>40752.136481481481</v>
      </c>
      <c r="C858">
        <v>80</v>
      </c>
      <c r="D858">
        <v>79.937850952000005</v>
      </c>
      <c r="E858">
        <v>50</v>
      </c>
      <c r="F858">
        <v>41.960575104</v>
      </c>
      <c r="G858">
        <v>1383.3726807</v>
      </c>
      <c r="H858">
        <v>1369.6824951000001</v>
      </c>
      <c r="I858">
        <v>1282.9031981999999</v>
      </c>
      <c r="J858">
        <v>1262.3218993999999</v>
      </c>
      <c r="K858">
        <v>2400</v>
      </c>
      <c r="L858">
        <v>0</v>
      </c>
      <c r="M858">
        <v>0</v>
      </c>
      <c r="N858">
        <v>2400</v>
      </c>
    </row>
    <row r="859" spans="1:14" x14ac:dyDescent="0.25">
      <c r="A859">
        <v>454.48517399999997</v>
      </c>
      <c r="B859" s="1">
        <f>DATE(2011,7,29) + TIME(11,38,39)</f>
        <v>40753.485173611109</v>
      </c>
      <c r="C859">
        <v>80</v>
      </c>
      <c r="D859">
        <v>79.937911987000007</v>
      </c>
      <c r="E859">
        <v>50</v>
      </c>
      <c r="F859">
        <v>41.834758759000003</v>
      </c>
      <c r="G859">
        <v>1383.3068848</v>
      </c>
      <c r="H859">
        <v>1369.6246338000001</v>
      </c>
      <c r="I859">
        <v>1282.7885742000001</v>
      </c>
      <c r="J859">
        <v>1262.1464844</v>
      </c>
      <c r="K859">
        <v>2400</v>
      </c>
      <c r="L859">
        <v>0</v>
      </c>
      <c r="M859">
        <v>0</v>
      </c>
      <c r="N859">
        <v>2400</v>
      </c>
    </row>
    <row r="860" spans="1:14" x14ac:dyDescent="0.25">
      <c r="A860">
        <v>455.84209099999998</v>
      </c>
      <c r="B860" s="1">
        <f>DATE(2011,7,30) + TIME(20,12,36)</f>
        <v>40754.842083333337</v>
      </c>
      <c r="C860">
        <v>80</v>
      </c>
      <c r="D860">
        <v>79.937965392999999</v>
      </c>
      <c r="E860">
        <v>50</v>
      </c>
      <c r="F860">
        <v>41.706584929999998</v>
      </c>
      <c r="G860">
        <v>1383.2413329999999</v>
      </c>
      <c r="H860">
        <v>1369.5668945</v>
      </c>
      <c r="I860">
        <v>1282.6712646000001</v>
      </c>
      <c r="J860">
        <v>1261.9663086</v>
      </c>
      <c r="K860">
        <v>2400</v>
      </c>
      <c r="L860">
        <v>0</v>
      </c>
      <c r="M860">
        <v>0</v>
      </c>
      <c r="N860">
        <v>2400</v>
      </c>
    </row>
    <row r="861" spans="1:14" x14ac:dyDescent="0.25">
      <c r="A861">
        <v>457</v>
      </c>
      <c r="B861" s="1">
        <f>DATE(2011,8,1) + TIME(0,0,0)</f>
        <v>40756</v>
      </c>
      <c r="C861">
        <v>80</v>
      </c>
      <c r="D861">
        <v>79.938011169000006</v>
      </c>
      <c r="E861">
        <v>50</v>
      </c>
      <c r="F861">
        <v>41.584884643999999</v>
      </c>
      <c r="G861">
        <v>1383.1759033000001</v>
      </c>
      <c r="H861">
        <v>1369.5091553</v>
      </c>
      <c r="I861">
        <v>1282.552124</v>
      </c>
      <c r="J861">
        <v>1261.7857666</v>
      </c>
      <c r="K861">
        <v>2400</v>
      </c>
      <c r="L861">
        <v>0</v>
      </c>
      <c r="M861">
        <v>0</v>
      </c>
      <c r="N861">
        <v>2400</v>
      </c>
    </row>
    <row r="862" spans="1:14" x14ac:dyDescent="0.25">
      <c r="A862">
        <v>458.364238</v>
      </c>
      <c r="B862" s="1">
        <f>DATE(2011,8,2) + TIME(8,44,30)</f>
        <v>40757.364236111112</v>
      </c>
      <c r="C862">
        <v>80</v>
      </c>
      <c r="D862">
        <v>79.938064574999999</v>
      </c>
      <c r="E862">
        <v>50</v>
      </c>
      <c r="F862">
        <v>41.459686279000003</v>
      </c>
      <c r="G862">
        <v>1383.1207274999999</v>
      </c>
      <c r="H862">
        <v>1369.4604492000001</v>
      </c>
      <c r="I862">
        <v>1282.4476318</v>
      </c>
      <c r="J862">
        <v>1261.6188964999999</v>
      </c>
      <c r="K862">
        <v>2400</v>
      </c>
      <c r="L862">
        <v>0</v>
      </c>
      <c r="M862">
        <v>0</v>
      </c>
      <c r="N862">
        <v>2400</v>
      </c>
    </row>
    <row r="863" spans="1:14" x14ac:dyDescent="0.25">
      <c r="A863">
        <v>459.74938800000001</v>
      </c>
      <c r="B863" s="1">
        <f>DATE(2011,8,3) + TIME(17,59,7)</f>
        <v>40758.749386574076</v>
      </c>
      <c r="C863">
        <v>80</v>
      </c>
      <c r="D863">
        <v>79.93812561</v>
      </c>
      <c r="E863">
        <v>50</v>
      </c>
      <c r="F863">
        <v>41.328151703000003</v>
      </c>
      <c r="G863">
        <v>1383.0565185999999</v>
      </c>
      <c r="H863">
        <v>1369.4038086</v>
      </c>
      <c r="I863">
        <v>1282.3254394999999</v>
      </c>
      <c r="J863">
        <v>1261.4296875</v>
      </c>
      <c r="K863">
        <v>2400</v>
      </c>
      <c r="L863">
        <v>0</v>
      </c>
      <c r="M863">
        <v>0</v>
      </c>
      <c r="N863">
        <v>2400</v>
      </c>
    </row>
    <row r="864" spans="1:14" x14ac:dyDescent="0.25">
      <c r="A864">
        <v>461.15016900000001</v>
      </c>
      <c r="B864" s="1">
        <f>DATE(2011,8,5) + TIME(3,36,14)</f>
        <v>40760.15016203704</v>
      </c>
      <c r="C864">
        <v>80</v>
      </c>
      <c r="D864">
        <v>79.938186646000005</v>
      </c>
      <c r="E864">
        <v>50</v>
      </c>
      <c r="F864">
        <v>41.192253113</v>
      </c>
      <c r="G864">
        <v>1382.9918213000001</v>
      </c>
      <c r="H864">
        <v>1369.3466797000001</v>
      </c>
      <c r="I864">
        <v>1282.199707</v>
      </c>
      <c r="J864">
        <v>1261.2336425999999</v>
      </c>
      <c r="K864">
        <v>2400</v>
      </c>
      <c r="L864">
        <v>0</v>
      </c>
      <c r="M864">
        <v>0</v>
      </c>
      <c r="N864">
        <v>2400</v>
      </c>
    </row>
    <row r="865" spans="1:14" x14ac:dyDescent="0.25">
      <c r="A865">
        <v>462.57000499999998</v>
      </c>
      <c r="B865" s="1">
        <f>DATE(2011,8,6) + TIME(13,40,48)</f>
        <v>40761.57</v>
      </c>
      <c r="C865">
        <v>80</v>
      </c>
      <c r="D865">
        <v>79.938247681000007</v>
      </c>
      <c r="E865">
        <v>50</v>
      </c>
      <c r="F865">
        <v>41.052757262999997</v>
      </c>
      <c r="G865">
        <v>1382.9272461</v>
      </c>
      <c r="H865">
        <v>1369.2894286999999</v>
      </c>
      <c r="I865">
        <v>1282.0710449000001</v>
      </c>
      <c r="J865">
        <v>1261.0319824000001</v>
      </c>
      <c r="K865">
        <v>2400</v>
      </c>
      <c r="L865">
        <v>0</v>
      </c>
      <c r="M865">
        <v>0</v>
      </c>
      <c r="N865">
        <v>2400</v>
      </c>
    </row>
    <row r="866" spans="1:14" x14ac:dyDescent="0.25">
      <c r="A866">
        <v>464.01246300000003</v>
      </c>
      <c r="B866" s="1">
        <f>DATE(2011,8,8) + TIME(0,17,56)</f>
        <v>40763.012453703705</v>
      </c>
      <c r="C866">
        <v>80</v>
      </c>
      <c r="D866">
        <v>79.938308715999995</v>
      </c>
      <c r="E866">
        <v>50</v>
      </c>
      <c r="F866">
        <v>40.909744263</v>
      </c>
      <c r="G866">
        <v>1382.8624268000001</v>
      </c>
      <c r="H866">
        <v>1369.2320557</v>
      </c>
      <c r="I866">
        <v>1281.9393310999999</v>
      </c>
      <c r="J866">
        <v>1260.8244629000001</v>
      </c>
      <c r="K866">
        <v>2400</v>
      </c>
      <c r="L866">
        <v>0</v>
      </c>
      <c r="M866">
        <v>0</v>
      </c>
      <c r="N866">
        <v>2400</v>
      </c>
    </row>
    <row r="867" spans="1:14" x14ac:dyDescent="0.25">
      <c r="A867">
        <v>465.47251199999999</v>
      </c>
      <c r="B867" s="1">
        <f>DATE(2011,8,9) + TIME(11,20,25)</f>
        <v>40764.472511574073</v>
      </c>
      <c r="C867">
        <v>80</v>
      </c>
      <c r="D867">
        <v>79.938369750999996</v>
      </c>
      <c r="E867">
        <v>50</v>
      </c>
      <c r="F867">
        <v>40.763339995999999</v>
      </c>
      <c r="G867">
        <v>1382.7972411999999</v>
      </c>
      <c r="H867">
        <v>1369.1743164</v>
      </c>
      <c r="I867">
        <v>1281.8043213000001</v>
      </c>
      <c r="J867">
        <v>1260.6107178</v>
      </c>
      <c r="K867">
        <v>2400</v>
      </c>
      <c r="L867">
        <v>0</v>
      </c>
      <c r="M867">
        <v>0</v>
      </c>
      <c r="N867">
        <v>2400</v>
      </c>
    </row>
    <row r="868" spans="1:14" x14ac:dyDescent="0.25">
      <c r="A868">
        <v>466.94182499999999</v>
      </c>
      <c r="B868" s="1">
        <f>DATE(2011,8,10) + TIME(22,36,13)</f>
        <v>40765.941817129627</v>
      </c>
      <c r="C868">
        <v>80</v>
      </c>
      <c r="D868">
        <v>79.938430785999998</v>
      </c>
      <c r="E868">
        <v>50</v>
      </c>
      <c r="F868">
        <v>40.614032745000003</v>
      </c>
      <c r="G868">
        <v>1382.7319336</v>
      </c>
      <c r="H868">
        <v>1369.1163329999999</v>
      </c>
      <c r="I868">
        <v>1281.6663818</v>
      </c>
      <c r="J868">
        <v>1260.3916016000001</v>
      </c>
      <c r="K868">
        <v>2400</v>
      </c>
      <c r="L868">
        <v>0</v>
      </c>
      <c r="M868">
        <v>0</v>
      </c>
      <c r="N868">
        <v>2400</v>
      </c>
    </row>
    <row r="869" spans="1:14" x14ac:dyDescent="0.25">
      <c r="A869">
        <v>468.42386199999999</v>
      </c>
      <c r="B869" s="1">
        <f>DATE(2011,8,12) + TIME(10,10,21)</f>
        <v>40767.423854166664</v>
      </c>
      <c r="C869">
        <v>80</v>
      </c>
      <c r="D869">
        <v>79.938491821</v>
      </c>
      <c r="E869">
        <v>50</v>
      </c>
      <c r="F869">
        <v>40.462097168</v>
      </c>
      <c r="G869">
        <v>1382.6668701000001</v>
      </c>
      <c r="H869">
        <v>1369.0585937999999</v>
      </c>
      <c r="I869">
        <v>1281.5263672000001</v>
      </c>
      <c r="J869">
        <v>1260.1680908000001</v>
      </c>
      <c r="K869">
        <v>2400</v>
      </c>
      <c r="L869">
        <v>0</v>
      </c>
      <c r="M869">
        <v>0</v>
      </c>
      <c r="N869">
        <v>2400</v>
      </c>
    </row>
    <row r="870" spans="1:14" x14ac:dyDescent="0.25">
      <c r="A870">
        <v>469.92210499999999</v>
      </c>
      <c r="B870" s="1">
        <f>DATE(2011,8,13) + TIME(22,7,49)</f>
        <v>40768.922094907408</v>
      </c>
      <c r="C870">
        <v>80</v>
      </c>
      <c r="D870">
        <v>79.938560486</v>
      </c>
      <c r="E870">
        <v>50</v>
      </c>
      <c r="F870">
        <v>40.307460785000004</v>
      </c>
      <c r="G870">
        <v>1382.6019286999999</v>
      </c>
      <c r="H870">
        <v>1369.0008545000001</v>
      </c>
      <c r="I870">
        <v>1281.3840332</v>
      </c>
      <c r="J870">
        <v>1259.9398193</v>
      </c>
      <c r="K870">
        <v>2400</v>
      </c>
      <c r="L870">
        <v>0</v>
      </c>
      <c r="M870">
        <v>0</v>
      </c>
      <c r="N870">
        <v>2400</v>
      </c>
    </row>
    <row r="871" spans="1:14" x14ac:dyDescent="0.25">
      <c r="A871">
        <v>471.43541499999998</v>
      </c>
      <c r="B871" s="1">
        <f>DATE(2011,8,15) + TIME(10,26,59)</f>
        <v>40770.43540509259</v>
      </c>
      <c r="C871">
        <v>80</v>
      </c>
      <c r="D871">
        <v>79.938621521000002</v>
      </c>
      <c r="E871">
        <v>50</v>
      </c>
      <c r="F871">
        <v>40.150081634999999</v>
      </c>
      <c r="G871">
        <v>1382.5369873</v>
      </c>
      <c r="H871">
        <v>1368.9431152</v>
      </c>
      <c r="I871">
        <v>1281.2392577999999</v>
      </c>
      <c r="J871">
        <v>1259.7064209</v>
      </c>
      <c r="K871">
        <v>2400</v>
      </c>
      <c r="L871">
        <v>0</v>
      </c>
      <c r="M871">
        <v>0</v>
      </c>
      <c r="N871">
        <v>2400</v>
      </c>
    </row>
    <row r="872" spans="1:14" x14ac:dyDescent="0.25">
      <c r="A872">
        <v>472.95626900000002</v>
      </c>
      <c r="B872" s="1">
        <f>DATE(2011,8,16) + TIME(22,57,1)</f>
        <v>40771.956261574072</v>
      </c>
      <c r="C872">
        <v>80</v>
      </c>
      <c r="D872">
        <v>79.938690186000002</v>
      </c>
      <c r="E872">
        <v>50</v>
      </c>
      <c r="F872">
        <v>39.990318297999998</v>
      </c>
      <c r="G872">
        <v>1382.4719238</v>
      </c>
      <c r="H872">
        <v>1368.8851318</v>
      </c>
      <c r="I872">
        <v>1281.0921631000001</v>
      </c>
      <c r="J872">
        <v>1259.4683838000001</v>
      </c>
      <c r="K872">
        <v>2400</v>
      </c>
      <c r="L872">
        <v>0</v>
      </c>
      <c r="M872">
        <v>0</v>
      </c>
      <c r="N872">
        <v>2400</v>
      </c>
    </row>
    <row r="873" spans="1:14" x14ac:dyDescent="0.25">
      <c r="A873">
        <v>474.48985800000003</v>
      </c>
      <c r="B873" s="1">
        <f>DATE(2011,8,18) + TIME(11,45,23)</f>
        <v>40773.489849537036</v>
      </c>
      <c r="C873">
        <v>80</v>
      </c>
      <c r="D873">
        <v>79.938758849999999</v>
      </c>
      <c r="E873">
        <v>50</v>
      </c>
      <c r="F873">
        <v>39.828433990000001</v>
      </c>
      <c r="G873">
        <v>1382.4072266000001</v>
      </c>
      <c r="H873">
        <v>1368.8273925999999</v>
      </c>
      <c r="I873">
        <v>1280.9434814000001</v>
      </c>
      <c r="J873">
        <v>1259.2264404</v>
      </c>
      <c r="K873">
        <v>2400</v>
      </c>
      <c r="L873">
        <v>0</v>
      </c>
      <c r="M873">
        <v>0</v>
      </c>
      <c r="N873">
        <v>2400</v>
      </c>
    </row>
    <row r="874" spans="1:14" x14ac:dyDescent="0.25">
      <c r="A874">
        <v>476.03967299999999</v>
      </c>
      <c r="B874" s="1">
        <f>DATE(2011,8,20) + TIME(0,57,7)</f>
        <v>40775.039664351854</v>
      </c>
      <c r="C874">
        <v>80</v>
      </c>
      <c r="D874">
        <v>79.938827515</v>
      </c>
      <c r="E874">
        <v>50</v>
      </c>
      <c r="F874">
        <v>39.664199828999998</v>
      </c>
      <c r="G874">
        <v>1382.3425293</v>
      </c>
      <c r="H874">
        <v>1368.7697754000001</v>
      </c>
      <c r="I874">
        <v>1280.7929687999999</v>
      </c>
      <c r="J874">
        <v>1258.9802245999999</v>
      </c>
      <c r="K874">
        <v>2400</v>
      </c>
      <c r="L874">
        <v>0</v>
      </c>
      <c r="M874">
        <v>0</v>
      </c>
      <c r="N874">
        <v>2400</v>
      </c>
    </row>
    <row r="875" spans="1:14" x14ac:dyDescent="0.25">
      <c r="A875">
        <v>477.60938299999998</v>
      </c>
      <c r="B875" s="1">
        <f>DATE(2011,8,21) + TIME(14,37,30)</f>
        <v>40776.609375</v>
      </c>
      <c r="C875">
        <v>80</v>
      </c>
      <c r="D875">
        <v>79.938896178999997</v>
      </c>
      <c r="E875">
        <v>50</v>
      </c>
      <c r="F875">
        <v>39.497348785</v>
      </c>
      <c r="G875">
        <v>1382.277832</v>
      </c>
      <c r="H875">
        <v>1368.7119141000001</v>
      </c>
      <c r="I875">
        <v>1280.6402588000001</v>
      </c>
      <c r="J875">
        <v>1258.7292480000001</v>
      </c>
      <c r="K875">
        <v>2400</v>
      </c>
      <c r="L875">
        <v>0</v>
      </c>
      <c r="M875">
        <v>0</v>
      </c>
      <c r="N875">
        <v>2400</v>
      </c>
    </row>
    <row r="876" spans="1:14" x14ac:dyDescent="0.25">
      <c r="A876">
        <v>479.202832</v>
      </c>
      <c r="B876" s="1">
        <f>DATE(2011,8,23) + TIME(4,52,4)</f>
        <v>40778.202824074076</v>
      </c>
      <c r="C876">
        <v>80</v>
      </c>
      <c r="D876">
        <v>79.938964843999997</v>
      </c>
      <c r="E876">
        <v>50</v>
      </c>
      <c r="F876">
        <v>39.327587127999998</v>
      </c>
      <c r="G876">
        <v>1382.2127685999999</v>
      </c>
      <c r="H876">
        <v>1368.6538086</v>
      </c>
      <c r="I876">
        <v>1280.4852295000001</v>
      </c>
      <c r="J876">
        <v>1258.4731445</v>
      </c>
      <c r="K876">
        <v>2400</v>
      </c>
      <c r="L876">
        <v>0</v>
      </c>
      <c r="M876">
        <v>0</v>
      </c>
      <c r="N876">
        <v>2400</v>
      </c>
    </row>
    <row r="877" spans="1:14" x14ac:dyDescent="0.25">
      <c r="A877">
        <v>480.80422299999998</v>
      </c>
      <c r="B877" s="1">
        <f>DATE(2011,8,24) + TIME(19,18,4)</f>
        <v>40779.804212962961</v>
      </c>
      <c r="C877">
        <v>80</v>
      </c>
      <c r="D877">
        <v>79.939033507999994</v>
      </c>
      <c r="E877">
        <v>50</v>
      </c>
      <c r="F877">
        <v>39.155361176</v>
      </c>
      <c r="G877">
        <v>1382.1473389</v>
      </c>
      <c r="H877">
        <v>1368.5952147999999</v>
      </c>
      <c r="I877">
        <v>1280.3277588000001</v>
      </c>
      <c r="J877">
        <v>1258.2119141000001</v>
      </c>
      <c r="K877">
        <v>2400</v>
      </c>
      <c r="L877">
        <v>0</v>
      </c>
      <c r="M877">
        <v>0</v>
      </c>
      <c r="N877">
        <v>2400</v>
      </c>
    </row>
    <row r="878" spans="1:14" x14ac:dyDescent="0.25">
      <c r="A878">
        <v>482.41670699999997</v>
      </c>
      <c r="B878" s="1">
        <f>DATE(2011,8,26) + TIME(10,0,3)</f>
        <v>40781.416701388887</v>
      </c>
      <c r="C878">
        <v>80</v>
      </c>
      <c r="D878">
        <v>79.939102172999995</v>
      </c>
      <c r="E878">
        <v>50</v>
      </c>
      <c r="F878">
        <v>38.981296538999999</v>
      </c>
      <c r="G878">
        <v>1382.0821533000001</v>
      </c>
      <c r="H878">
        <v>1368.5367432</v>
      </c>
      <c r="I878">
        <v>1280.1691894999999</v>
      </c>
      <c r="J878">
        <v>1257.9473877</v>
      </c>
      <c r="K878">
        <v>2400</v>
      </c>
      <c r="L878">
        <v>0</v>
      </c>
      <c r="M878">
        <v>0</v>
      </c>
      <c r="N878">
        <v>2400</v>
      </c>
    </row>
    <row r="879" spans="1:14" x14ac:dyDescent="0.25">
      <c r="A879">
        <v>484.04398099999997</v>
      </c>
      <c r="B879" s="1">
        <f>DATE(2011,8,28) + TIME(1,3,19)</f>
        <v>40783.043969907405</v>
      </c>
      <c r="C879">
        <v>80</v>
      </c>
      <c r="D879">
        <v>79.939178467000005</v>
      </c>
      <c r="E879">
        <v>50</v>
      </c>
      <c r="F879">
        <v>38.805488586000003</v>
      </c>
      <c r="G879">
        <v>1382.0170897999999</v>
      </c>
      <c r="H879">
        <v>1368.4783935999999</v>
      </c>
      <c r="I879">
        <v>1280.0097656</v>
      </c>
      <c r="J879">
        <v>1257.6795654</v>
      </c>
      <c r="K879">
        <v>2400</v>
      </c>
      <c r="L879">
        <v>0</v>
      </c>
      <c r="M879">
        <v>0</v>
      </c>
      <c r="N879">
        <v>2400</v>
      </c>
    </row>
    <row r="880" spans="1:14" x14ac:dyDescent="0.25">
      <c r="A880">
        <v>485.68588999999997</v>
      </c>
      <c r="B880" s="1">
        <f>DATE(2011,8,29) + TIME(16,27,40)</f>
        <v>40784.685879629629</v>
      </c>
      <c r="C880">
        <v>80</v>
      </c>
      <c r="D880">
        <v>79.939247131000002</v>
      </c>
      <c r="E880">
        <v>50</v>
      </c>
      <c r="F880">
        <v>38.628005981000001</v>
      </c>
      <c r="G880">
        <v>1381.9519043</v>
      </c>
      <c r="H880">
        <v>1368.4199219</v>
      </c>
      <c r="I880">
        <v>1279.848999</v>
      </c>
      <c r="J880">
        <v>1257.4084473</v>
      </c>
      <c r="K880">
        <v>2400</v>
      </c>
      <c r="L880">
        <v>0</v>
      </c>
      <c r="M880">
        <v>0</v>
      </c>
      <c r="N880">
        <v>2400</v>
      </c>
    </row>
    <row r="881" spans="1:14" x14ac:dyDescent="0.25">
      <c r="A881">
        <v>487.33725800000002</v>
      </c>
      <c r="B881" s="1">
        <f>DATE(2011,8,31) + TIME(8,5,39)</f>
        <v>40786.337256944447</v>
      </c>
      <c r="C881">
        <v>80</v>
      </c>
      <c r="D881">
        <v>79.939323424999998</v>
      </c>
      <c r="E881">
        <v>50</v>
      </c>
      <c r="F881">
        <v>38.449234009000001</v>
      </c>
      <c r="G881">
        <v>1381.8867187999999</v>
      </c>
      <c r="H881">
        <v>1368.3612060999999</v>
      </c>
      <c r="I881">
        <v>1279.6873779</v>
      </c>
      <c r="J881">
        <v>1257.1342772999999</v>
      </c>
      <c r="K881">
        <v>2400</v>
      </c>
      <c r="L881">
        <v>0</v>
      </c>
      <c r="M881">
        <v>0</v>
      </c>
      <c r="N881">
        <v>2400</v>
      </c>
    </row>
    <row r="882" spans="1:14" x14ac:dyDescent="0.25">
      <c r="A882">
        <v>488</v>
      </c>
      <c r="B882" s="1">
        <f>DATE(2011,9,1) + TIME(0,0,0)</f>
        <v>40787</v>
      </c>
      <c r="C882">
        <v>80</v>
      </c>
      <c r="D882">
        <v>79.939338684000006</v>
      </c>
      <c r="E882">
        <v>50</v>
      </c>
      <c r="F882">
        <v>38.331218718999999</v>
      </c>
      <c r="G882">
        <v>1381.8215332</v>
      </c>
      <c r="H882">
        <v>1368.3024902</v>
      </c>
      <c r="I882">
        <v>1279.5303954999999</v>
      </c>
      <c r="J882">
        <v>1256.8933105000001</v>
      </c>
      <c r="K882">
        <v>2400</v>
      </c>
      <c r="L882">
        <v>0</v>
      </c>
      <c r="M882">
        <v>0</v>
      </c>
      <c r="N882">
        <v>2400</v>
      </c>
    </row>
    <row r="883" spans="1:14" x14ac:dyDescent="0.25">
      <c r="A883">
        <v>489.66526099999999</v>
      </c>
      <c r="B883" s="1">
        <f>DATE(2011,9,2) + TIME(15,57,58)</f>
        <v>40788.665254629632</v>
      </c>
      <c r="C883">
        <v>80</v>
      </c>
      <c r="D883">
        <v>79.939422606999997</v>
      </c>
      <c r="E883">
        <v>50</v>
      </c>
      <c r="F883">
        <v>38.181682586999997</v>
      </c>
      <c r="G883">
        <v>1381.7952881000001</v>
      </c>
      <c r="H883">
        <v>1368.2789307</v>
      </c>
      <c r="I883">
        <v>1279.4562988</v>
      </c>
      <c r="J883">
        <v>1256.7321777</v>
      </c>
      <c r="K883">
        <v>2400</v>
      </c>
      <c r="L883">
        <v>0</v>
      </c>
      <c r="M883">
        <v>0</v>
      </c>
      <c r="N883">
        <v>2400</v>
      </c>
    </row>
    <row r="884" spans="1:14" x14ac:dyDescent="0.25">
      <c r="A884">
        <v>491.34859</v>
      </c>
      <c r="B884" s="1">
        <f>DATE(2011,9,4) + TIME(8,21,58)</f>
        <v>40790.348587962966</v>
      </c>
      <c r="C884">
        <v>80</v>
      </c>
      <c r="D884">
        <v>79.939498900999993</v>
      </c>
      <c r="E884">
        <v>50</v>
      </c>
      <c r="F884">
        <v>38.011653899999999</v>
      </c>
      <c r="G884">
        <v>1381.7305908000001</v>
      </c>
      <c r="H884">
        <v>1368.2205810999999</v>
      </c>
      <c r="I884">
        <v>1279.2976074000001</v>
      </c>
      <c r="J884">
        <v>1256.4636230000001</v>
      </c>
      <c r="K884">
        <v>2400</v>
      </c>
      <c r="L884">
        <v>0</v>
      </c>
      <c r="M884">
        <v>0</v>
      </c>
      <c r="N884">
        <v>2400</v>
      </c>
    </row>
    <row r="885" spans="1:14" x14ac:dyDescent="0.25">
      <c r="A885">
        <v>493.044307</v>
      </c>
      <c r="B885" s="1">
        <f>DATE(2011,9,6) + TIME(1,3,48)</f>
        <v>40792.044305555559</v>
      </c>
      <c r="C885">
        <v>80</v>
      </c>
      <c r="D885">
        <v>79.939575195000003</v>
      </c>
      <c r="E885">
        <v>50</v>
      </c>
      <c r="F885">
        <v>37.834255218999999</v>
      </c>
      <c r="G885">
        <v>1381.6654053</v>
      </c>
      <c r="H885">
        <v>1368.1617432</v>
      </c>
      <c r="I885">
        <v>1279.1364745999999</v>
      </c>
      <c r="J885">
        <v>1256.1860352000001</v>
      </c>
      <c r="K885">
        <v>2400</v>
      </c>
      <c r="L885">
        <v>0</v>
      </c>
      <c r="M885">
        <v>0</v>
      </c>
      <c r="N885">
        <v>2400</v>
      </c>
    </row>
    <row r="886" spans="1:14" x14ac:dyDescent="0.25">
      <c r="A886">
        <v>494.758353</v>
      </c>
      <c r="B886" s="1">
        <f>DATE(2011,9,7) + TIME(18,12,1)</f>
        <v>40793.758344907408</v>
      </c>
      <c r="C886">
        <v>80</v>
      </c>
      <c r="D886">
        <v>79.939651488999999</v>
      </c>
      <c r="E886">
        <v>50</v>
      </c>
      <c r="F886">
        <v>37.654289245999998</v>
      </c>
      <c r="G886">
        <v>1381.6000977000001</v>
      </c>
      <c r="H886">
        <v>1368.1027832</v>
      </c>
      <c r="I886">
        <v>1278.9748535000001</v>
      </c>
      <c r="J886">
        <v>1255.9049072</v>
      </c>
      <c r="K886">
        <v>2400</v>
      </c>
      <c r="L886">
        <v>0</v>
      </c>
      <c r="M886">
        <v>0</v>
      </c>
      <c r="N886">
        <v>2400</v>
      </c>
    </row>
    <row r="887" spans="1:14" x14ac:dyDescent="0.25">
      <c r="A887">
        <v>496.48536899999999</v>
      </c>
      <c r="B887" s="1">
        <f>DATE(2011,9,9) + TIME(11,38,55)</f>
        <v>40795.485358796293</v>
      </c>
      <c r="C887">
        <v>80</v>
      </c>
      <c r="D887">
        <v>79.939727782999995</v>
      </c>
      <c r="E887">
        <v>50</v>
      </c>
      <c r="F887">
        <v>37.473709106000001</v>
      </c>
      <c r="G887">
        <v>1381.5345459</v>
      </c>
      <c r="H887">
        <v>1368.043457</v>
      </c>
      <c r="I887">
        <v>1278.8132324000001</v>
      </c>
      <c r="J887">
        <v>1255.6217041</v>
      </c>
      <c r="K887">
        <v>2400</v>
      </c>
      <c r="L887">
        <v>0</v>
      </c>
      <c r="M887">
        <v>0</v>
      </c>
      <c r="N887">
        <v>2400</v>
      </c>
    </row>
    <row r="888" spans="1:14" x14ac:dyDescent="0.25">
      <c r="A888">
        <v>498.21723800000001</v>
      </c>
      <c r="B888" s="1">
        <f>DATE(2011,9,11) + TIME(5,12,49)</f>
        <v>40797.217233796298</v>
      </c>
      <c r="C888">
        <v>80</v>
      </c>
      <c r="D888">
        <v>79.939804077000005</v>
      </c>
      <c r="E888">
        <v>50</v>
      </c>
      <c r="F888">
        <v>37.293987274000003</v>
      </c>
      <c r="G888">
        <v>1381.4689940999999</v>
      </c>
      <c r="H888">
        <v>1367.9840088000001</v>
      </c>
      <c r="I888">
        <v>1278.6524658000001</v>
      </c>
      <c r="J888">
        <v>1255.3381348</v>
      </c>
      <c r="K888">
        <v>2400</v>
      </c>
      <c r="L888">
        <v>0</v>
      </c>
      <c r="M888">
        <v>0</v>
      </c>
      <c r="N888">
        <v>2400</v>
      </c>
    </row>
    <row r="889" spans="1:14" x14ac:dyDescent="0.25">
      <c r="A889">
        <v>499.95964300000003</v>
      </c>
      <c r="B889" s="1">
        <f>DATE(2011,9,12) + TIME(23,1,53)</f>
        <v>40798.959641203706</v>
      </c>
      <c r="C889">
        <v>80</v>
      </c>
      <c r="D889">
        <v>79.939880371000001</v>
      </c>
      <c r="E889">
        <v>50</v>
      </c>
      <c r="F889">
        <v>37.116065978999998</v>
      </c>
      <c r="G889">
        <v>1381.4035644999999</v>
      </c>
      <c r="H889">
        <v>1367.9248047000001</v>
      </c>
      <c r="I889">
        <v>1278.4935303</v>
      </c>
      <c r="J889">
        <v>1255.0557861</v>
      </c>
      <c r="K889">
        <v>2400</v>
      </c>
      <c r="L889">
        <v>0</v>
      </c>
      <c r="M889">
        <v>0</v>
      </c>
      <c r="N889">
        <v>2400</v>
      </c>
    </row>
    <row r="890" spans="1:14" x14ac:dyDescent="0.25">
      <c r="A890">
        <v>501.71734600000002</v>
      </c>
      <c r="B890" s="1">
        <f>DATE(2011,9,14) + TIME(17,12,58)</f>
        <v>40800.71733796296</v>
      </c>
      <c r="C890">
        <v>80</v>
      </c>
      <c r="D890">
        <v>79.939964294000006</v>
      </c>
      <c r="E890">
        <v>50</v>
      </c>
      <c r="F890">
        <v>36.940307617000002</v>
      </c>
      <c r="G890">
        <v>1381.3381348</v>
      </c>
      <c r="H890">
        <v>1367.8653564000001</v>
      </c>
      <c r="I890">
        <v>1278.3364257999999</v>
      </c>
      <c r="J890">
        <v>1254.7747803</v>
      </c>
      <c r="K890">
        <v>2400</v>
      </c>
      <c r="L890">
        <v>0</v>
      </c>
      <c r="M890">
        <v>0</v>
      </c>
      <c r="N890">
        <v>2400</v>
      </c>
    </row>
    <row r="891" spans="1:14" x14ac:dyDescent="0.25">
      <c r="A891">
        <v>503.486086</v>
      </c>
      <c r="B891" s="1">
        <f>DATE(2011,9,16) + TIME(11,39,57)</f>
        <v>40802.486076388886</v>
      </c>
      <c r="C891">
        <v>80</v>
      </c>
      <c r="D891">
        <v>79.940040588000002</v>
      </c>
      <c r="E891">
        <v>50</v>
      </c>
      <c r="F891">
        <v>36.76726532</v>
      </c>
      <c r="G891">
        <v>1381.2724608999999</v>
      </c>
      <c r="H891">
        <v>1367.8056641000001</v>
      </c>
      <c r="I891">
        <v>1278.1811522999999</v>
      </c>
      <c r="J891">
        <v>1254.4952393000001</v>
      </c>
      <c r="K891">
        <v>2400</v>
      </c>
      <c r="L891">
        <v>0</v>
      </c>
      <c r="M891">
        <v>0</v>
      </c>
      <c r="N891">
        <v>2400</v>
      </c>
    </row>
    <row r="892" spans="1:14" x14ac:dyDescent="0.25">
      <c r="A892">
        <v>505.25632999999999</v>
      </c>
      <c r="B892" s="1">
        <f>DATE(2011,9,18) + TIME(6,9,6)</f>
        <v>40804.256319444445</v>
      </c>
      <c r="C892">
        <v>80</v>
      </c>
      <c r="D892">
        <v>79.940116881999998</v>
      </c>
      <c r="E892">
        <v>50</v>
      </c>
      <c r="F892">
        <v>36.598060607999997</v>
      </c>
      <c r="G892">
        <v>1381.2067870999999</v>
      </c>
      <c r="H892">
        <v>1367.7458495999999</v>
      </c>
      <c r="I892">
        <v>1278.0283202999999</v>
      </c>
      <c r="J892">
        <v>1254.2182617000001</v>
      </c>
      <c r="K892">
        <v>2400</v>
      </c>
      <c r="L892">
        <v>0</v>
      </c>
      <c r="M892">
        <v>0</v>
      </c>
      <c r="N892">
        <v>2400</v>
      </c>
    </row>
    <row r="893" spans="1:14" x14ac:dyDescent="0.25">
      <c r="A893">
        <v>507.03876600000001</v>
      </c>
      <c r="B893" s="1">
        <f>DATE(2011,9,20) + TIME(0,55,49)</f>
        <v>40806.038761574076</v>
      </c>
      <c r="C893">
        <v>80</v>
      </c>
      <c r="D893">
        <v>79.940200806000007</v>
      </c>
      <c r="E893">
        <v>50</v>
      </c>
      <c r="F893">
        <v>36.433513640999998</v>
      </c>
      <c r="G893">
        <v>1381.1413574000001</v>
      </c>
      <c r="H893">
        <v>1367.6862793</v>
      </c>
      <c r="I893">
        <v>1277.8790283000001</v>
      </c>
      <c r="J893">
        <v>1253.9458007999999</v>
      </c>
      <c r="K893">
        <v>2400</v>
      </c>
      <c r="L893">
        <v>0</v>
      </c>
      <c r="M893">
        <v>0</v>
      </c>
      <c r="N893">
        <v>2400</v>
      </c>
    </row>
    <row r="894" spans="1:14" x14ac:dyDescent="0.25">
      <c r="A894">
        <v>508.84347400000001</v>
      </c>
      <c r="B894" s="1">
        <f>DATE(2011,9,21) + TIME(20,14,36)</f>
        <v>40807.843472222223</v>
      </c>
      <c r="C894">
        <v>80</v>
      </c>
      <c r="D894">
        <v>79.940277100000003</v>
      </c>
      <c r="E894">
        <v>50</v>
      </c>
      <c r="F894">
        <v>36.273830414000003</v>
      </c>
      <c r="G894">
        <v>1381.0758057</v>
      </c>
      <c r="H894">
        <v>1367.6264647999999</v>
      </c>
      <c r="I894">
        <v>1277.7327881000001</v>
      </c>
      <c r="J894">
        <v>1253.6770019999999</v>
      </c>
      <c r="K894">
        <v>2400</v>
      </c>
      <c r="L894">
        <v>0</v>
      </c>
      <c r="M894">
        <v>0</v>
      </c>
      <c r="N894">
        <v>2400</v>
      </c>
    </row>
    <row r="895" spans="1:14" x14ac:dyDescent="0.25">
      <c r="A895">
        <v>510.65494699999999</v>
      </c>
      <c r="B895" s="1">
        <f>DATE(2011,9,23) + TIME(15,43,7)</f>
        <v>40809.654942129629</v>
      </c>
      <c r="C895">
        <v>80</v>
      </c>
      <c r="D895">
        <v>79.940361022999994</v>
      </c>
      <c r="E895">
        <v>50</v>
      </c>
      <c r="F895">
        <v>36.119846344000003</v>
      </c>
      <c r="G895">
        <v>1381.0097656</v>
      </c>
      <c r="H895">
        <v>1367.5661620999999</v>
      </c>
      <c r="I895">
        <v>1277.5893555</v>
      </c>
      <c r="J895">
        <v>1253.4118652</v>
      </c>
      <c r="K895">
        <v>2400</v>
      </c>
      <c r="L895">
        <v>0</v>
      </c>
      <c r="M895">
        <v>0</v>
      </c>
      <c r="N895">
        <v>2400</v>
      </c>
    </row>
    <row r="896" spans="1:14" x14ac:dyDescent="0.25">
      <c r="A896">
        <v>512.47613899999999</v>
      </c>
      <c r="B896" s="1">
        <f>DATE(2011,9,25) + TIME(11,25,38)</f>
        <v>40811.476134259261</v>
      </c>
      <c r="C896">
        <v>80</v>
      </c>
      <c r="D896">
        <v>79.940444946</v>
      </c>
      <c r="E896">
        <v>50</v>
      </c>
      <c r="F896">
        <v>35.972854613999999</v>
      </c>
      <c r="G896">
        <v>1380.9437256000001</v>
      </c>
      <c r="H896">
        <v>1367.5057373</v>
      </c>
      <c r="I896">
        <v>1277.4501952999999</v>
      </c>
      <c r="J896">
        <v>1253.152832</v>
      </c>
      <c r="K896">
        <v>2400</v>
      </c>
      <c r="L896">
        <v>0</v>
      </c>
      <c r="M896">
        <v>0</v>
      </c>
      <c r="N896">
        <v>2400</v>
      </c>
    </row>
    <row r="897" spans="1:14" x14ac:dyDescent="0.25">
      <c r="A897">
        <v>514.31219699999997</v>
      </c>
      <c r="B897" s="1">
        <f>DATE(2011,9,27) + TIME(7,29,33)</f>
        <v>40813.3121875</v>
      </c>
      <c r="C897">
        <v>80</v>
      </c>
      <c r="D897">
        <v>79.940521239999995</v>
      </c>
      <c r="E897">
        <v>50</v>
      </c>
      <c r="F897">
        <v>35.833717346</v>
      </c>
      <c r="G897">
        <v>1380.8776855000001</v>
      </c>
      <c r="H897">
        <v>1367.4451904</v>
      </c>
      <c r="I897">
        <v>1277.3153076000001</v>
      </c>
      <c r="J897">
        <v>1252.9002685999999</v>
      </c>
      <c r="K897">
        <v>2400</v>
      </c>
      <c r="L897">
        <v>0</v>
      </c>
      <c r="M897">
        <v>0</v>
      </c>
      <c r="N897">
        <v>2400</v>
      </c>
    </row>
    <row r="898" spans="1:14" x14ac:dyDescent="0.25">
      <c r="A898">
        <v>516.17193999999995</v>
      </c>
      <c r="B898" s="1">
        <f>DATE(2011,9,29) + TIME(4,7,35)</f>
        <v>40815.171932870369</v>
      </c>
      <c r="C898">
        <v>80</v>
      </c>
      <c r="D898">
        <v>79.940605164000004</v>
      </c>
      <c r="E898">
        <v>50</v>
      </c>
      <c r="F898">
        <v>35.703121185000001</v>
      </c>
      <c r="G898">
        <v>1380.8114014</v>
      </c>
      <c r="H898">
        <v>1367.3843993999999</v>
      </c>
      <c r="I898">
        <v>1277.1848144999999</v>
      </c>
      <c r="J898">
        <v>1252.6545410000001</v>
      </c>
      <c r="K898">
        <v>2400</v>
      </c>
      <c r="L898">
        <v>0</v>
      </c>
      <c r="M898">
        <v>0</v>
      </c>
      <c r="N898">
        <v>2400</v>
      </c>
    </row>
    <row r="899" spans="1:14" x14ac:dyDescent="0.25">
      <c r="A899">
        <v>518</v>
      </c>
      <c r="B899" s="1">
        <f>DATE(2011,10,1) + TIME(0,0,0)</f>
        <v>40817</v>
      </c>
      <c r="C899">
        <v>80</v>
      </c>
      <c r="D899">
        <v>79.940689086999996</v>
      </c>
      <c r="E899">
        <v>50</v>
      </c>
      <c r="F899">
        <v>35.583042145</v>
      </c>
      <c r="G899">
        <v>1380.7445068</v>
      </c>
      <c r="H899">
        <v>1367.3229980000001</v>
      </c>
      <c r="I899">
        <v>1277.0588379000001</v>
      </c>
      <c r="J899">
        <v>1252.4163818</v>
      </c>
      <c r="K899">
        <v>2400</v>
      </c>
      <c r="L899">
        <v>0</v>
      </c>
      <c r="M899">
        <v>0</v>
      </c>
      <c r="N899">
        <v>2400</v>
      </c>
    </row>
    <row r="900" spans="1:14" x14ac:dyDescent="0.25">
      <c r="A900">
        <v>519.88953000000004</v>
      </c>
      <c r="B900" s="1">
        <f>DATE(2011,10,2) + TIME(21,20,55)</f>
        <v>40818.889525462961</v>
      </c>
      <c r="C900">
        <v>80</v>
      </c>
      <c r="D900">
        <v>79.940773010000001</v>
      </c>
      <c r="E900">
        <v>50</v>
      </c>
      <c r="F900">
        <v>35.474037170000003</v>
      </c>
      <c r="G900">
        <v>1380.6790771000001</v>
      </c>
      <c r="H900">
        <v>1367.2628173999999</v>
      </c>
      <c r="I900">
        <v>1276.9401855000001</v>
      </c>
      <c r="J900">
        <v>1252.1903076000001</v>
      </c>
      <c r="K900">
        <v>2400</v>
      </c>
      <c r="L900">
        <v>0</v>
      </c>
      <c r="M900">
        <v>0</v>
      </c>
      <c r="N900">
        <v>2400</v>
      </c>
    </row>
    <row r="901" spans="1:14" x14ac:dyDescent="0.25">
      <c r="A901">
        <v>521.80570799999998</v>
      </c>
      <c r="B901" s="1">
        <f>DATE(2011,10,4) + TIME(19,20,13)</f>
        <v>40820.805706018517</v>
      </c>
      <c r="C901">
        <v>80</v>
      </c>
      <c r="D901">
        <v>79.940856933999996</v>
      </c>
      <c r="E901">
        <v>50</v>
      </c>
      <c r="F901">
        <v>35.375999450999998</v>
      </c>
      <c r="G901">
        <v>1380.6116943</v>
      </c>
      <c r="H901">
        <v>1367.2008057</v>
      </c>
      <c r="I901">
        <v>1276.8245850000001</v>
      </c>
      <c r="J901">
        <v>1251.9697266000001</v>
      </c>
      <c r="K901">
        <v>2400</v>
      </c>
      <c r="L901">
        <v>0</v>
      </c>
      <c r="M901">
        <v>0</v>
      </c>
      <c r="N901">
        <v>2400</v>
      </c>
    </row>
    <row r="902" spans="1:14" x14ac:dyDescent="0.25">
      <c r="A902">
        <v>523.727575</v>
      </c>
      <c r="B902" s="1">
        <f>DATE(2011,10,6) + TIME(17,27,42)</f>
        <v>40822.727569444447</v>
      </c>
      <c r="C902">
        <v>80</v>
      </c>
      <c r="D902">
        <v>79.940948485999996</v>
      </c>
      <c r="E902">
        <v>50</v>
      </c>
      <c r="F902">
        <v>35.290927887000002</v>
      </c>
      <c r="G902">
        <v>1380.5435791</v>
      </c>
      <c r="H902">
        <v>1367.1381836</v>
      </c>
      <c r="I902">
        <v>1276.7142334</v>
      </c>
      <c r="J902">
        <v>1251.7585449000001</v>
      </c>
      <c r="K902">
        <v>2400</v>
      </c>
      <c r="L902">
        <v>0</v>
      </c>
      <c r="M902">
        <v>0</v>
      </c>
      <c r="N902">
        <v>2400</v>
      </c>
    </row>
    <row r="903" spans="1:14" x14ac:dyDescent="0.25">
      <c r="A903">
        <v>525.65081099999998</v>
      </c>
      <c r="B903" s="1">
        <f>DATE(2011,10,8) + TIME(15,37,10)</f>
        <v>40824.650810185187</v>
      </c>
      <c r="C903">
        <v>80</v>
      </c>
      <c r="D903">
        <v>79.941032410000005</v>
      </c>
      <c r="E903">
        <v>50</v>
      </c>
      <c r="F903">
        <v>35.220565796000002</v>
      </c>
      <c r="G903">
        <v>1380.4757079999999</v>
      </c>
      <c r="H903">
        <v>1367.0754394999999</v>
      </c>
      <c r="I903">
        <v>1276.6102295000001</v>
      </c>
      <c r="J903">
        <v>1251.5594481999999</v>
      </c>
      <c r="K903">
        <v>2400</v>
      </c>
      <c r="L903">
        <v>0</v>
      </c>
      <c r="M903">
        <v>0</v>
      </c>
      <c r="N903">
        <v>2400</v>
      </c>
    </row>
    <row r="904" spans="1:14" x14ac:dyDescent="0.25">
      <c r="A904">
        <v>527.58507499999996</v>
      </c>
      <c r="B904" s="1">
        <f>DATE(2011,10,10) + TIME(14,2,30)</f>
        <v>40826.585069444445</v>
      </c>
      <c r="C904">
        <v>80</v>
      </c>
      <c r="D904">
        <v>79.941116332999997</v>
      </c>
      <c r="E904">
        <v>50</v>
      </c>
      <c r="F904">
        <v>35.165943145999996</v>
      </c>
      <c r="G904">
        <v>1380.4079589999999</v>
      </c>
      <c r="H904">
        <v>1367.0129394999999</v>
      </c>
      <c r="I904">
        <v>1276.5133057</v>
      </c>
      <c r="J904">
        <v>1251.3736572</v>
      </c>
      <c r="K904">
        <v>2400</v>
      </c>
      <c r="L904">
        <v>0</v>
      </c>
      <c r="M904">
        <v>0</v>
      </c>
      <c r="N904">
        <v>2400</v>
      </c>
    </row>
    <row r="905" spans="1:14" x14ac:dyDescent="0.25">
      <c r="A905">
        <v>529.53459399999997</v>
      </c>
      <c r="B905" s="1">
        <f>DATE(2011,10,12) + TIME(12,49,48)</f>
        <v>40828.534583333334</v>
      </c>
      <c r="C905">
        <v>80</v>
      </c>
      <c r="D905">
        <v>79.941200256000002</v>
      </c>
      <c r="E905">
        <v>50</v>
      </c>
      <c r="F905">
        <v>35.127803802000003</v>
      </c>
      <c r="G905">
        <v>1380.340332</v>
      </c>
      <c r="H905">
        <v>1366.9503173999999</v>
      </c>
      <c r="I905">
        <v>1276.4229736</v>
      </c>
      <c r="J905">
        <v>1251.2010498</v>
      </c>
      <c r="K905">
        <v>2400</v>
      </c>
      <c r="L905">
        <v>0</v>
      </c>
      <c r="M905">
        <v>0</v>
      </c>
      <c r="N905">
        <v>2400</v>
      </c>
    </row>
    <row r="906" spans="1:14" x14ac:dyDescent="0.25">
      <c r="A906">
        <v>531.50811499999998</v>
      </c>
      <c r="B906" s="1">
        <f>DATE(2011,10,14) + TIME(12,11,41)</f>
        <v>40830.508113425924</v>
      </c>
      <c r="C906">
        <v>80</v>
      </c>
      <c r="D906">
        <v>79.941291809000006</v>
      </c>
      <c r="E906">
        <v>50</v>
      </c>
      <c r="F906">
        <v>35.106864928999997</v>
      </c>
      <c r="G906">
        <v>1380.2723389</v>
      </c>
      <c r="H906">
        <v>1366.8874512</v>
      </c>
      <c r="I906">
        <v>1276.3391113</v>
      </c>
      <c r="J906">
        <v>1251.041626</v>
      </c>
      <c r="K906">
        <v>2400</v>
      </c>
      <c r="L906">
        <v>0</v>
      </c>
      <c r="M906">
        <v>0</v>
      </c>
      <c r="N906">
        <v>2400</v>
      </c>
    </row>
    <row r="907" spans="1:14" x14ac:dyDescent="0.25">
      <c r="A907">
        <v>533.51139599999999</v>
      </c>
      <c r="B907" s="1">
        <f>DATE(2011,10,16) + TIME(12,16,24)</f>
        <v>40832.511388888888</v>
      </c>
      <c r="C907">
        <v>80</v>
      </c>
      <c r="D907">
        <v>79.941383361999996</v>
      </c>
      <c r="E907">
        <v>50</v>
      </c>
      <c r="F907">
        <v>35.103897095000001</v>
      </c>
      <c r="G907">
        <v>1380.2039795000001</v>
      </c>
      <c r="H907">
        <v>1366.8240966999999</v>
      </c>
      <c r="I907">
        <v>1276.2615966999999</v>
      </c>
      <c r="J907">
        <v>1250.8956298999999</v>
      </c>
      <c r="K907">
        <v>2400</v>
      </c>
      <c r="L907">
        <v>0</v>
      </c>
      <c r="M907">
        <v>0</v>
      </c>
      <c r="N907">
        <v>2400</v>
      </c>
    </row>
    <row r="908" spans="1:14" x14ac:dyDescent="0.25">
      <c r="A908">
        <v>535.53371500000003</v>
      </c>
      <c r="B908" s="1">
        <f>DATE(2011,10,18) + TIME(12,48,32)</f>
        <v>40834.533703703702</v>
      </c>
      <c r="C908">
        <v>80</v>
      </c>
      <c r="D908">
        <v>79.941467285000002</v>
      </c>
      <c r="E908">
        <v>50</v>
      </c>
      <c r="F908">
        <v>35.119701384999999</v>
      </c>
      <c r="G908">
        <v>1380.1350098</v>
      </c>
      <c r="H908">
        <v>1366.7601318</v>
      </c>
      <c r="I908">
        <v>1276.1904297000001</v>
      </c>
      <c r="J908">
        <v>1250.7631836</v>
      </c>
      <c r="K908">
        <v>2400</v>
      </c>
      <c r="L908">
        <v>0</v>
      </c>
      <c r="M908">
        <v>0</v>
      </c>
      <c r="N908">
        <v>2400</v>
      </c>
    </row>
    <row r="909" spans="1:14" x14ac:dyDescent="0.25">
      <c r="A909">
        <v>537.57075399999997</v>
      </c>
      <c r="B909" s="1">
        <f>DATE(2011,10,20) + TIME(13,41,53)</f>
        <v>40836.570752314816</v>
      </c>
      <c r="C909">
        <v>80</v>
      </c>
      <c r="D909">
        <v>79.941558838000006</v>
      </c>
      <c r="E909">
        <v>50</v>
      </c>
      <c r="F909">
        <v>35.154773712000001</v>
      </c>
      <c r="G909">
        <v>1380.0657959</v>
      </c>
      <c r="H909">
        <v>1366.6959228999999</v>
      </c>
      <c r="I909">
        <v>1276.1260986</v>
      </c>
      <c r="J909">
        <v>1250.6455077999999</v>
      </c>
      <c r="K909">
        <v>2400</v>
      </c>
      <c r="L909">
        <v>0</v>
      </c>
      <c r="M909">
        <v>0</v>
      </c>
      <c r="N909">
        <v>2400</v>
      </c>
    </row>
    <row r="910" spans="1:14" x14ac:dyDescent="0.25">
      <c r="A910">
        <v>539.62868000000003</v>
      </c>
      <c r="B910" s="1">
        <f>DATE(2011,10,22) + TIME(15,5,17)</f>
        <v>40838.628668981481</v>
      </c>
      <c r="C910">
        <v>80</v>
      </c>
      <c r="D910">
        <v>79.941650390999996</v>
      </c>
      <c r="E910">
        <v>50</v>
      </c>
      <c r="F910">
        <v>35.209304809999999</v>
      </c>
      <c r="G910">
        <v>1379.996582</v>
      </c>
      <c r="H910">
        <v>1366.6317139</v>
      </c>
      <c r="I910">
        <v>1276.0686035000001</v>
      </c>
      <c r="J910">
        <v>1250.5429687999999</v>
      </c>
      <c r="K910">
        <v>2400</v>
      </c>
      <c r="L910">
        <v>0</v>
      </c>
      <c r="M910">
        <v>0</v>
      </c>
      <c r="N910">
        <v>2400</v>
      </c>
    </row>
    <row r="911" spans="1:14" x14ac:dyDescent="0.25">
      <c r="A911">
        <v>541.70609999999999</v>
      </c>
      <c r="B911" s="1">
        <f>DATE(2011,10,24) + TIME(16,56,47)</f>
        <v>40840.706099537034</v>
      </c>
      <c r="C911">
        <v>80</v>
      </c>
      <c r="D911">
        <v>79.941741942999997</v>
      </c>
      <c r="E911">
        <v>50</v>
      </c>
      <c r="F911">
        <v>35.283298492</v>
      </c>
      <c r="G911">
        <v>1379.9272461</v>
      </c>
      <c r="H911">
        <v>1366.5671387</v>
      </c>
      <c r="I911">
        <v>1276.0178223</v>
      </c>
      <c r="J911">
        <v>1250.4553223</v>
      </c>
      <c r="K911">
        <v>2400</v>
      </c>
      <c r="L911">
        <v>0</v>
      </c>
      <c r="M911">
        <v>0</v>
      </c>
      <c r="N911">
        <v>2400</v>
      </c>
    </row>
    <row r="912" spans="1:14" x14ac:dyDescent="0.25">
      <c r="A912">
        <v>543.79597200000001</v>
      </c>
      <c r="B912" s="1">
        <f>DATE(2011,10,26) + TIME(19,6,11)</f>
        <v>40842.795960648145</v>
      </c>
      <c r="C912">
        <v>80</v>
      </c>
      <c r="D912">
        <v>79.941833496000001</v>
      </c>
      <c r="E912">
        <v>50</v>
      </c>
      <c r="F912">
        <v>35.376426696999999</v>
      </c>
      <c r="G912">
        <v>1379.8577881000001</v>
      </c>
      <c r="H912">
        <v>1366.5025635</v>
      </c>
      <c r="I912">
        <v>1275.9736327999999</v>
      </c>
      <c r="J912">
        <v>1250.3826904</v>
      </c>
      <c r="K912">
        <v>2400</v>
      </c>
      <c r="L912">
        <v>0</v>
      </c>
      <c r="M912">
        <v>0</v>
      </c>
      <c r="N912">
        <v>2400</v>
      </c>
    </row>
    <row r="913" spans="1:14" x14ac:dyDescent="0.25">
      <c r="A913">
        <v>545.90465400000005</v>
      </c>
      <c r="B913" s="1">
        <f>DATE(2011,10,28) + TIME(21,42,42)</f>
        <v>40844.904652777775</v>
      </c>
      <c r="C913">
        <v>80</v>
      </c>
      <c r="D913">
        <v>79.941925049000005</v>
      </c>
      <c r="E913">
        <v>50</v>
      </c>
      <c r="F913">
        <v>35.487937926999997</v>
      </c>
      <c r="G913">
        <v>1379.7885742000001</v>
      </c>
      <c r="H913">
        <v>1366.4381103999999</v>
      </c>
      <c r="I913">
        <v>1275.9361572</v>
      </c>
      <c r="J913">
        <v>1250.3250731999999</v>
      </c>
      <c r="K913">
        <v>2400</v>
      </c>
      <c r="L913">
        <v>0</v>
      </c>
      <c r="M913">
        <v>0</v>
      </c>
      <c r="N913">
        <v>2400</v>
      </c>
    </row>
    <row r="914" spans="1:14" x14ac:dyDescent="0.25">
      <c r="A914">
        <v>548.03800899999999</v>
      </c>
      <c r="B914" s="1">
        <f>DATE(2011,10,31) + TIME(0,54,44)</f>
        <v>40847.03800925926</v>
      </c>
      <c r="C914">
        <v>80</v>
      </c>
      <c r="D914">
        <v>79.942024231000005</v>
      </c>
      <c r="E914">
        <v>50</v>
      </c>
      <c r="F914">
        <v>35.617141724</v>
      </c>
      <c r="G914">
        <v>1379.7193603999999</v>
      </c>
      <c r="H914">
        <v>1366.3737793</v>
      </c>
      <c r="I914">
        <v>1275.9049072</v>
      </c>
      <c r="J914">
        <v>1250.2819824000001</v>
      </c>
      <c r="K914">
        <v>2400</v>
      </c>
      <c r="L914">
        <v>0</v>
      </c>
      <c r="M914">
        <v>0</v>
      </c>
      <c r="N914">
        <v>2400</v>
      </c>
    </row>
    <row r="915" spans="1:14" x14ac:dyDescent="0.25">
      <c r="A915">
        <v>549</v>
      </c>
      <c r="B915" s="1">
        <f>DATE(2011,11,1) + TIME(0,0,0)</f>
        <v>40848</v>
      </c>
      <c r="C915">
        <v>80</v>
      </c>
      <c r="D915">
        <v>79.942054748999993</v>
      </c>
      <c r="E915">
        <v>50</v>
      </c>
      <c r="F915">
        <v>35.726093292000002</v>
      </c>
      <c r="G915">
        <v>1379.6503906</v>
      </c>
      <c r="H915">
        <v>1366.3094481999999</v>
      </c>
      <c r="I915">
        <v>1275.894043</v>
      </c>
      <c r="J915">
        <v>1250.2576904</v>
      </c>
      <c r="K915">
        <v>2400</v>
      </c>
      <c r="L915">
        <v>0</v>
      </c>
      <c r="M915">
        <v>0</v>
      </c>
      <c r="N915">
        <v>2400</v>
      </c>
    </row>
    <row r="916" spans="1:14" x14ac:dyDescent="0.25">
      <c r="A916">
        <v>549.000001</v>
      </c>
      <c r="B916" s="1">
        <f>DATE(2011,11,1) + TIME(0,0,0)</f>
        <v>40848</v>
      </c>
      <c r="C916">
        <v>80</v>
      </c>
      <c r="D916">
        <v>79.941932678000001</v>
      </c>
      <c r="E916">
        <v>50</v>
      </c>
      <c r="F916">
        <v>35.726219176999997</v>
      </c>
      <c r="G916">
        <v>1365.4377440999999</v>
      </c>
      <c r="H916">
        <v>1353.4637451000001</v>
      </c>
      <c r="I916">
        <v>1302.3492432</v>
      </c>
      <c r="J916">
        <v>1276.8034668</v>
      </c>
      <c r="K916">
        <v>0</v>
      </c>
      <c r="L916">
        <v>2400</v>
      </c>
      <c r="M916">
        <v>2400</v>
      </c>
      <c r="N916">
        <v>0</v>
      </c>
    </row>
    <row r="917" spans="1:14" x14ac:dyDescent="0.25">
      <c r="A917">
        <v>549.00000399999999</v>
      </c>
      <c r="B917" s="1">
        <f>DATE(2011,11,1) + TIME(0,0,0)</f>
        <v>40848</v>
      </c>
      <c r="C917">
        <v>80</v>
      </c>
      <c r="D917">
        <v>79.941619872999993</v>
      </c>
      <c r="E917">
        <v>50</v>
      </c>
      <c r="F917">
        <v>35.7265625</v>
      </c>
      <c r="G917">
        <v>1363.2353516000001</v>
      </c>
      <c r="H917">
        <v>1351.2606201000001</v>
      </c>
      <c r="I917">
        <v>1304.7691649999999</v>
      </c>
      <c r="J917">
        <v>1279.2905272999999</v>
      </c>
      <c r="K917">
        <v>0</v>
      </c>
      <c r="L917">
        <v>2400</v>
      </c>
      <c r="M917">
        <v>2400</v>
      </c>
      <c r="N917">
        <v>0</v>
      </c>
    </row>
    <row r="918" spans="1:14" x14ac:dyDescent="0.25">
      <c r="A918">
        <v>549.00001299999997</v>
      </c>
      <c r="B918" s="1">
        <f>DATE(2011,11,1) + TIME(0,0,1)</f>
        <v>40848.000011574077</v>
      </c>
      <c r="C918">
        <v>80</v>
      </c>
      <c r="D918">
        <v>79.940986632999994</v>
      </c>
      <c r="E918">
        <v>50</v>
      </c>
      <c r="F918">
        <v>35.727409363</v>
      </c>
      <c r="G918">
        <v>1358.7893065999999</v>
      </c>
      <c r="H918">
        <v>1346.8138428</v>
      </c>
      <c r="I918">
        <v>1310.5339355000001</v>
      </c>
      <c r="J918">
        <v>1285.1799315999999</v>
      </c>
      <c r="K918">
        <v>0</v>
      </c>
      <c r="L918">
        <v>2400</v>
      </c>
      <c r="M918">
        <v>2400</v>
      </c>
      <c r="N918">
        <v>0</v>
      </c>
    </row>
    <row r="919" spans="1:14" x14ac:dyDescent="0.25">
      <c r="A919">
        <v>549.00004000000001</v>
      </c>
      <c r="B919" s="1">
        <f>DATE(2011,11,1) + TIME(0,0,3)</f>
        <v>40848.000034722223</v>
      </c>
      <c r="C919">
        <v>80</v>
      </c>
      <c r="D919">
        <v>79.940055846999996</v>
      </c>
      <c r="E919">
        <v>50</v>
      </c>
      <c r="F919">
        <v>35.729118346999996</v>
      </c>
      <c r="G919">
        <v>1352.2923584</v>
      </c>
      <c r="H919">
        <v>1340.3197021000001</v>
      </c>
      <c r="I919">
        <v>1321.0632324000001</v>
      </c>
      <c r="J919">
        <v>1295.8179932</v>
      </c>
      <c r="K919">
        <v>0</v>
      </c>
      <c r="L919">
        <v>2400</v>
      </c>
      <c r="M919">
        <v>2400</v>
      </c>
      <c r="N919">
        <v>0</v>
      </c>
    </row>
    <row r="920" spans="1:14" x14ac:dyDescent="0.25">
      <c r="A920">
        <v>549.00012100000004</v>
      </c>
      <c r="B920" s="1">
        <f>DATE(2011,11,1) + TIME(0,0,10)</f>
        <v>40848.000115740739</v>
      </c>
      <c r="C920">
        <v>80</v>
      </c>
      <c r="D920">
        <v>79.939010620000005</v>
      </c>
      <c r="E920">
        <v>50</v>
      </c>
      <c r="F920">
        <v>35.732139586999999</v>
      </c>
      <c r="G920">
        <v>1345.0605469</v>
      </c>
      <c r="H920">
        <v>1333.0948486</v>
      </c>
      <c r="I920">
        <v>1334.9792480000001</v>
      </c>
      <c r="J920">
        <v>1309.7635498</v>
      </c>
      <c r="K920">
        <v>0</v>
      </c>
      <c r="L920">
        <v>2400</v>
      </c>
      <c r="M920">
        <v>2400</v>
      </c>
      <c r="N920">
        <v>0</v>
      </c>
    </row>
    <row r="921" spans="1:14" x14ac:dyDescent="0.25">
      <c r="A921">
        <v>549.00036399999999</v>
      </c>
      <c r="B921" s="1">
        <f>DATE(2011,11,1) + TIME(0,0,31)</f>
        <v>40848.000358796293</v>
      </c>
      <c r="C921">
        <v>80</v>
      </c>
      <c r="D921">
        <v>79.937911987000007</v>
      </c>
      <c r="E921">
        <v>50</v>
      </c>
      <c r="F921">
        <v>35.738037108999997</v>
      </c>
      <c r="G921">
        <v>1337.7869873</v>
      </c>
      <c r="H921">
        <v>1325.8306885</v>
      </c>
      <c r="I921">
        <v>1349.8601074000001</v>
      </c>
      <c r="J921">
        <v>1324.6557617000001</v>
      </c>
      <c r="K921">
        <v>0</v>
      </c>
      <c r="L921">
        <v>2400</v>
      </c>
      <c r="M921">
        <v>2400</v>
      </c>
      <c r="N921">
        <v>0</v>
      </c>
    </row>
    <row r="922" spans="1:14" x14ac:dyDescent="0.25">
      <c r="A922">
        <v>549.00109299999997</v>
      </c>
      <c r="B922" s="1">
        <f>DATE(2011,11,1) + TIME(0,1,34)</f>
        <v>40848.001087962963</v>
      </c>
      <c r="C922">
        <v>80</v>
      </c>
      <c r="D922">
        <v>79.936676024999997</v>
      </c>
      <c r="E922">
        <v>50</v>
      </c>
      <c r="F922">
        <v>35.752258300999998</v>
      </c>
      <c r="G922">
        <v>1330.4475098</v>
      </c>
      <c r="H922">
        <v>1318.4750977000001</v>
      </c>
      <c r="I922">
        <v>1365.0313721</v>
      </c>
      <c r="J922">
        <v>1339.8387451000001</v>
      </c>
      <c r="K922">
        <v>0</v>
      </c>
      <c r="L922">
        <v>2400</v>
      </c>
      <c r="M922">
        <v>2400</v>
      </c>
      <c r="N922">
        <v>0</v>
      </c>
    </row>
    <row r="923" spans="1:14" x14ac:dyDescent="0.25">
      <c r="A923">
        <v>549.00328000000002</v>
      </c>
      <c r="B923" s="1">
        <f>DATE(2011,11,1) + TIME(0,4,43)</f>
        <v>40848.003275462965</v>
      </c>
      <c r="C923">
        <v>80</v>
      </c>
      <c r="D923">
        <v>79.934974670000003</v>
      </c>
      <c r="E923">
        <v>50</v>
      </c>
      <c r="F923">
        <v>35.791362761999999</v>
      </c>
      <c r="G923">
        <v>1322.671875</v>
      </c>
      <c r="H923">
        <v>1310.5981445</v>
      </c>
      <c r="I923">
        <v>1380.4836425999999</v>
      </c>
      <c r="J923">
        <v>1355.2556152</v>
      </c>
      <c r="K923">
        <v>0</v>
      </c>
      <c r="L923">
        <v>2400</v>
      </c>
      <c r="M923">
        <v>2400</v>
      </c>
      <c r="N923">
        <v>0</v>
      </c>
    </row>
    <row r="924" spans="1:14" x14ac:dyDescent="0.25">
      <c r="A924">
        <v>549.00984100000005</v>
      </c>
      <c r="B924" s="1">
        <f>DATE(2011,11,1) + TIME(0,14,10)</f>
        <v>40848.009837962964</v>
      </c>
      <c r="C924">
        <v>80</v>
      </c>
      <c r="D924">
        <v>79.932014464999995</v>
      </c>
      <c r="E924">
        <v>50</v>
      </c>
      <c r="F924">
        <v>35.904651641999997</v>
      </c>
      <c r="G924">
        <v>1314.4023437999999</v>
      </c>
      <c r="H924">
        <v>1302.1973877</v>
      </c>
      <c r="I924">
        <v>1394.9567870999999</v>
      </c>
      <c r="J924">
        <v>1369.6472168</v>
      </c>
      <c r="K924">
        <v>0</v>
      </c>
      <c r="L924">
        <v>2400</v>
      </c>
      <c r="M924">
        <v>2400</v>
      </c>
      <c r="N924">
        <v>0</v>
      </c>
    </row>
    <row r="925" spans="1:14" x14ac:dyDescent="0.25">
      <c r="A925">
        <v>549.02952400000004</v>
      </c>
      <c r="B925" s="1">
        <f>DATE(2011,11,1) + TIME(0,42,30)</f>
        <v>40848.029513888891</v>
      </c>
      <c r="C925">
        <v>80</v>
      </c>
      <c r="D925">
        <v>79.925689696999996</v>
      </c>
      <c r="E925">
        <v>50</v>
      </c>
      <c r="F925">
        <v>36.234718323000003</v>
      </c>
      <c r="G925">
        <v>1307.2330322</v>
      </c>
      <c r="H925">
        <v>1294.9595947</v>
      </c>
      <c r="I925">
        <v>1405.2791748</v>
      </c>
      <c r="J925">
        <v>1379.9887695</v>
      </c>
      <c r="K925">
        <v>0</v>
      </c>
      <c r="L925">
        <v>2400</v>
      </c>
      <c r="M925">
        <v>2400</v>
      </c>
      <c r="N925">
        <v>0</v>
      </c>
    </row>
    <row r="926" spans="1:14" x14ac:dyDescent="0.25">
      <c r="A926">
        <v>549.07264699999996</v>
      </c>
      <c r="B926" s="1">
        <f>DATE(2011,11,1) + TIME(1,44,36)</f>
        <v>40848.072638888887</v>
      </c>
      <c r="C926">
        <v>80</v>
      </c>
      <c r="D926">
        <v>79.913917541999993</v>
      </c>
      <c r="E926">
        <v>50</v>
      </c>
      <c r="F926">
        <v>36.921859740999999</v>
      </c>
      <c r="G926">
        <v>1303.6442870999999</v>
      </c>
      <c r="H926">
        <v>1291.3507079999999</v>
      </c>
      <c r="I926">
        <v>1409.0283202999999</v>
      </c>
      <c r="J926">
        <v>1384.0002440999999</v>
      </c>
      <c r="K926">
        <v>0</v>
      </c>
      <c r="L926">
        <v>2400</v>
      </c>
      <c r="M926">
        <v>2400</v>
      </c>
      <c r="N926">
        <v>0</v>
      </c>
    </row>
    <row r="927" spans="1:14" x14ac:dyDescent="0.25">
      <c r="A927">
        <v>549.11765500000001</v>
      </c>
      <c r="B927" s="1">
        <f>DATE(2011,11,1) + TIME(2,49,25)</f>
        <v>40848.117650462962</v>
      </c>
      <c r="C927">
        <v>80</v>
      </c>
      <c r="D927">
        <v>79.902198791999993</v>
      </c>
      <c r="E927">
        <v>50</v>
      </c>
      <c r="F927">
        <v>37.602638245000001</v>
      </c>
      <c r="G927">
        <v>1302.6435547000001</v>
      </c>
      <c r="H927">
        <v>1290.3454589999999</v>
      </c>
      <c r="I927">
        <v>1409.4338379000001</v>
      </c>
      <c r="J927">
        <v>1384.6964111</v>
      </c>
      <c r="K927">
        <v>0</v>
      </c>
      <c r="L927">
        <v>2400</v>
      </c>
      <c r="M927">
        <v>2400</v>
      </c>
      <c r="N927">
        <v>0</v>
      </c>
    </row>
    <row r="928" spans="1:14" x14ac:dyDescent="0.25">
      <c r="A928">
        <v>549.16450499999996</v>
      </c>
      <c r="B928" s="1">
        <f>DATE(2011,11,1) + TIME(3,56,53)</f>
        <v>40848.164502314816</v>
      </c>
      <c r="C928">
        <v>80</v>
      </c>
      <c r="D928">
        <v>79.890289307000003</v>
      </c>
      <c r="E928">
        <v>50</v>
      </c>
      <c r="F928">
        <v>38.273788451999998</v>
      </c>
      <c r="G928">
        <v>1302.3380127</v>
      </c>
      <c r="H928">
        <v>1290.0383300999999</v>
      </c>
      <c r="I928">
        <v>1409.1269531</v>
      </c>
      <c r="J928">
        <v>1384.6801757999999</v>
      </c>
      <c r="K928">
        <v>0</v>
      </c>
      <c r="L928">
        <v>2400</v>
      </c>
      <c r="M928">
        <v>2400</v>
      </c>
      <c r="N928">
        <v>0</v>
      </c>
    </row>
    <row r="929" spans="1:14" x14ac:dyDescent="0.25">
      <c r="A929">
        <v>549.21332099999995</v>
      </c>
      <c r="B929" s="1">
        <f>DATE(2011,11,1) + TIME(5,7,10)</f>
        <v>40848.213310185187</v>
      </c>
      <c r="C929">
        <v>80</v>
      </c>
      <c r="D929">
        <v>79.878120421999995</v>
      </c>
      <c r="E929">
        <v>50</v>
      </c>
      <c r="F929">
        <v>38.93453598</v>
      </c>
      <c r="G929">
        <v>1302.2366943</v>
      </c>
      <c r="H929">
        <v>1289.9360352000001</v>
      </c>
      <c r="I929">
        <v>1408.6848144999999</v>
      </c>
      <c r="J929">
        <v>1384.5203856999999</v>
      </c>
      <c r="K929">
        <v>0</v>
      </c>
      <c r="L929">
        <v>2400</v>
      </c>
      <c r="M929">
        <v>2400</v>
      </c>
      <c r="N929">
        <v>0</v>
      </c>
    </row>
    <row r="930" spans="1:14" x14ac:dyDescent="0.25">
      <c r="A930">
        <v>549.26428099999998</v>
      </c>
      <c r="B930" s="1">
        <f>DATE(2011,11,1) + TIME(6,20,33)</f>
        <v>40848.264270833337</v>
      </c>
      <c r="C930">
        <v>80</v>
      </c>
      <c r="D930">
        <v>79.865638732999997</v>
      </c>
      <c r="E930">
        <v>50</v>
      </c>
      <c r="F930">
        <v>39.584575653000002</v>
      </c>
      <c r="G930">
        <v>1302.199707</v>
      </c>
      <c r="H930">
        <v>1289.8984375</v>
      </c>
      <c r="I930">
        <v>1408.2336425999999</v>
      </c>
      <c r="J930">
        <v>1384.3414307</v>
      </c>
      <c r="K930">
        <v>0</v>
      </c>
      <c r="L930">
        <v>2400</v>
      </c>
      <c r="M930">
        <v>2400</v>
      </c>
      <c r="N930">
        <v>0</v>
      </c>
    </row>
    <row r="931" spans="1:14" x14ac:dyDescent="0.25">
      <c r="A931">
        <v>549.31759899999997</v>
      </c>
      <c r="B931" s="1">
        <f>DATE(2011,11,1) + TIME(7,37,20)</f>
        <v>40848.31759259259</v>
      </c>
      <c r="C931">
        <v>80</v>
      </c>
      <c r="D931">
        <v>79.852806091000005</v>
      </c>
      <c r="E931">
        <v>50</v>
      </c>
      <c r="F931">
        <v>40.223731995000001</v>
      </c>
      <c r="G931">
        <v>1302.1846923999999</v>
      </c>
      <c r="H931">
        <v>1289.8826904</v>
      </c>
      <c r="I931">
        <v>1407.7973632999999</v>
      </c>
      <c r="J931">
        <v>1384.1671143000001</v>
      </c>
      <c r="K931">
        <v>0</v>
      </c>
      <c r="L931">
        <v>2400</v>
      </c>
      <c r="M931">
        <v>2400</v>
      </c>
      <c r="N931">
        <v>0</v>
      </c>
    </row>
    <row r="932" spans="1:14" x14ac:dyDescent="0.25">
      <c r="A932">
        <v>549.37353499999995</v>
      </c>
      <c r="B932" s="1">
        <f>DATE(2011,11,1) + TIME(8,57,53)</f>
        <v>40848.373530092591</v>
      </c>
      <c r="C932">
        <v>80</v>
      </c>
      <c r="D932">
        <v>79.839584350999999</v>
      </c>
      <c r="E932">
        <v>50</v>
      </c>
      <c r="F932">
        <v>40.851978301999999</v>
      </c>
      <c r="G932">
        <v>1302.1773682</v>
      </c>
      <c r="H932">
        <v>1289.8748779</v>
      </c>
      <c r="I932">
        <v>1407.3778076000001</v>
      </c>
      <c r="J932">
        <v>1383.9995117000001</v>
      </c>
      <c r="K932">
        <v>0</v>
      </c>
      <c r="L932">
        <v>2400</v>
      </c>
      <c r="M932">
        <v>2400</v>
      </c>
      <c r="N932">
        <v>0</v>
      </c>
    </row>
    <row r="933" spans="1:14" x14ac:dyDescent="0.25">
      <c r="A933">
        <v>549.43238399999996</v>
      </c>
      <c r="B933" s="1">
        <f>DATE(2011,11,1) + TIME(10,22,37)</f>
        <v>40848.432372685187</v>
      </c>
      <c r="C933">
        <v>80</v>
      </c>
      <c r="D933">
        <v>79.825904846</v>
      </c>
      <c r="E933">
        <v>50</v>
      </c>
      <c r="F933">
        <v>41.469005584999998</v>
      </c>
      <c r="G933">
        <v>1302.1729736</v>
      </c>
      <c r="H933">
        <v>1289.8698730000001</v>
      </c>
      <c r="I933">
        <v>1406.9731445</v>
      </c>
      <c r="J933">
        <v>1383.8374022999999</v>
      </c>
      <c r="K933">
        <v>0</v>
      </c>
      <c r="L933">
        <v>2400</v>
      </c>
      <c r="M933">
        <v>2400</v>
      </c>
      <c r="N933">
        <v>0</v>
      </c>
    </row>
    <row r="934" spans="1:14" x14ac:dyDescent="0.25">
      <c r="A934">
        <v>549.49449200000004</v>
      </c>
      <c r="B934" s="1">
        <f>DATE(2011,11,1) + TIME(11,52,4)</f>
        <v>40848.494490740741</v>
      </c>
      <c r="C934">
        <v>80</v>
      </c>
      <c r="D934">
        <v>79.811737061000002</v>
      </c>
      <c r="E934">
        <v>50</v>
      </c>
      <c r="F934">
        <v>42.074562073000003</v>
      </c>
      <c r="G934">
        <v>1302.1696777</v>
      </c>
      <c r="H934">
        <v>1289.8658447</v>
      </c>
      <c r="I934">
        <v>1406.5819091999999</v>
      </c>
      <c r="J934">
        <v>1383.6795654</v>
      </c>
      <c r="K934">
        <v>0</v>
      </c>
      <c r="L934">
        <v>2400</v>
      </c>
      <c r="M934">
        <v>2400</v>
      </c>
      <c r="N934">
        <v>0</v>
      </c>
    </row>
    <row r="935" spans="1:14" x14ac:dyDescent="0.25">
      <c r="A935">
        <v>549.56026599999996</v>
      </c>
      <c r="B935" s="1">
        <f>DATE(2011,11,1) + TIME(13,26,47)</f>
        <v>40848.560266203705</v>
      </c>
      <c r="C935">
        <v>80</v>
      </c>
      <c r="D935">
        <v>79.796997070000003</v>
      </c>
      <c r="E935">
        <v>50</v>
      </c>
      <c r="F935">
        <v>42.668338775999999</v>
      </c>
      <c r="G935">
        <v>1302.1665039</v>
      </c>
      <c r="H935">
        <v>1289.8620605000001</v>
      </c>
      <c r="I935">
        <v>1406.2028809000001</v>
      </c>
      <c r="J935">
        <v>1383.5249022999999</v>
      </c>
      <c r="K935">
        <v>0</v>
      </c>
      <c r="L935">
        <v>2400</v>
      </c>
      <c r="M935">
        <v>2400</v>
      </c>
      <c r="N935">
        <v>0</v>
      </c>
    </row>
    <row r="936" spans="1:14" x14ac:dyDescent="0.25">
      <c r="A936">
        <v>549.63019499999996</v>
      </c>
      <c r="B936" s="1">
        <f>DATE(2011,11,1) + TIME(15,7,28)</f>
        <v>40848.630185185182</v>
      </c>
      <c r="C936">
        <v>80</v>
      </c>
      <c r="D936">
        <v>79.781623839999995</v>
      </c>
      <c r="E936">
        <v>50</v>
      </c>
      <c r="F936">
        <v>43.249961853000002</v>
      </c>
      <c r="G936">
        <v>1302.1634521000001</v>
      </c>
      <c r="H936">
        <v>1289.8582764</v>
      </c>
      <c r="I936">
        <v>1405.8350829999999</v>
      </c>
      <c r="J936">
        <v>1383.3729248</v>
      </c>
      <c r="K936">
        <v>0</v>
      </c>
      <c r="L936">
        <v>2400</v>
      </c>
      <c r="M936">
        <v>2400</v>
      </c>
      <c r="N936">
        <v>0</v>
      </c>
    </row>
    <row r="937" spans="1:14" x14ac:dyDescent="0.25">
      <c r="A937">
        <v>549.70486200000005</v>
      </c>
      <c r="B937" s="1">
        <f>DATE(2011,11,1) + TIME(16,55,0)</f>
        <v>40848.704861111109</v>
      </c>
      <c r="C937">
        <v>80</v>
      </c>
      <c r="D937">
        <v>79.765518188000001</v>
      </c>
      <c r="E937">
        <v>50</v>
      </c>
      <c r="F937">
        <v>43.818992614999999</v>
      </c>
      <c r="G937">
        <v>1302.1601562000001</v>
      </c>
      <c r="H937">
        <v>1289.8542480000001</v>
      </c>
      <c r="I937">
        <v>1405.4779053</v>
      </c>
      <c r="J937">
        <v>1383.2230225000001</v>
      </c>
      <c r="K937">
        <v>0</v>
      </c>
      <c r="L937">
        <v>2400</v>
      </c>
      <c r="M937">
        <v>2400</v>
      </c>
      <c r="N937">
        <v>0</v>
      </c>
    </row>
    <row r="938" spans="1:14" x14ac:dyDescent="0.25">
      <c r="A938">
        <v>549.78498200000001</v>
      </c>
      <c r="B938" s="1">
        <f>DATE(2011,11,1) + TIME(18,50,22)</f>
        <v>40848.78497685185</v>
      </c>
      <c r="C938">
        <v>80</v>
      </c>
      <c r="D938">
        <v>79.748573303000001</v>
      </c>
      <c r="E938">
        <v>50</v>
      </c>
      <c r="F938">
        <v>44.374900818</v>
      </c>
      <c r="G938">
        <v>1302.1567382999999</v>
      </c>
      <c r="H938">
        <v>1289.8500977000001</v>
      </c>
      <c r="I938">
        <v>1405.1303711</v>
      </c>
      <c r="J938">
        <v>1383.074707</v>
      </c>
      <c r="K938">
        <v>0</v>
      </c>
      <c r="L938">
        <v>2400</v>
      </c>
      <c r="M938">
        <v>2400</v>
      </c>
      <c r="N938">
        <v>0</v>
      </c>
    </row>
    <row r="939" spans="1:14" x14ac:dyDescent="0.25">
      <c r="A939">
        <v>549.87143500000002</v>
      </c>
      <c r="B939" s="1">
        <f>DATE(2011,11,1) + TIME(20,54,51)</f>
        <v>40848.871423611112</v>
      </c>
      <c r="C939">
        <v>80</v>
      </c>
      <c r="D939">
        <v>79.730659485000004</v>
      </c>
      <c r="E939">
        <v>50</v>
      </c>
      <c r="F939">
        <v>44.917060851999999</v>
      </c>
      <c r="G939">
        <v>1302.1529541</v>
      </c>
      <c r="H939">
        <v>1289.8454589999999</v>
      </c>
      <c r="I939">
        <v>1404.7919922000001</v>
      </c>
      <c r="J939">
        <v>1382.9274902</v>
      </c>
      <c r="K939">
        <v>0</v>
      </c>
      <c r="L939">
        <v>2400</v>
      </c>
      <c r="M939">
        <v>2400</v>
      </c>
      <c r="N939">
        <v>0</v>
      </c>
    </row>
    <row r="940" spans="1:14" x14ac:dyDescent="0.25">
      <c r="A940">
        <v>549.96532500000001</v>
      </c>
      <c r="B940" s="1">
        <f>DATE(2011,11,1) + TIME(23,10,4)</f>
        <v>40848.965324074074</v>
      </c>
      <c r="C940">
        <v>80</v>
      </c>
      <c r="D940">
        <v>79.711616516000007</v>
      </c>
      <c r="E940">
        <v>50</v>
      </c>
      <c r="F940">
        <v>45.444717406999999</v>
      </c>
      <c r="G940">
        <v>1302.1488036999999</v>
      </c>
      <c r="H940">
        <v>1289.8405762</v>
      </c>
      <c r="I940">
        <v>1404.4621582</v>
      </c>
      <c r="J940">
        <v>1382.7808838000001</v>
      </c>
      <c r="K940">
        <v>0</v>
      </c>
      <c r="L940">
        <v>2400</v>
      </c>
      <c r="M940">
        <v>2400</v>
      </c>
      <c r="N940">
        <v>0</v>
      </c>
    </row>
    <row r="941" spans="1:14" x14ac:dyDescent="0.25">
      <c r="A941">
        <v>550.06804099999999</v>
      </c>
      <c r="B941" s="1">
        <f>DATE(2011,11,2) + TIME(1,37,58)</f>
        <v>40849.068032407406</v>
      </c>
      <c r="C941">
        <v>80</v>
      </c>
      <c r="D941">
        <v>79.691230774000005</v>
      </c>
      <c r="E941">
        <v>50</v>
      </c>
      <c r="F941">
        <v>45.956878662000001</v>
      </c>
      <c r="G941">
        <v>1302.1444091999999</v>
      </c>
      <c r="H941">
        <v>1289.8352050999999</v>
      </c>
      <c r="I941">
        <v>1404.1400146000001</v>
      </c>
      <c r="J941">
        <v>1382.6341553</v>
      </c>
      <c r="K941">
        <v>0</v>
      </c>
      <c r="L941">
        <v>2400</v>
      </c>
      <c r="M941">
        <v>2400</v>
      </c>
      <c r="N941">
        <v>0</v>
      </c>
    </row>
    <row r="942" spans="1:14" x14ac:dyDescent="0.25">
      <c r="A942">
        <v>550.18141400000002</v>
      </c>
      <c r="B942" s="1">
        <f>DATE(2011,11,2) + TIME(4,21,14)</f>
        <v>40849.18141203704</v>
      </c>
      <c r="C942">
        <v>80</v>
      </c>
      <c r="D942">
        <v>79.669242858999993</v>
      </c>
      <c r="E942">
        <v>50</v>
      </c>
      <c r="F942">
        <v>46.452491760000001</v>
      </c>
      <c r="G942">
        <v>1302.1395264</v>
      </c>
      <c r="H942">
        <v>1289.8293457</v>
      </c>
      <c r="I942">
        <v>1403.8250731999999</v>
      </c>
      <c r="J942">
        <v>1382.4868164</v>
      </c>
      <c r="K942">
        <v>0</v>
      </c>
      <c r="L942">
        <v>2400</v>
      </c>
      <c r="M942">
        <v>2400</v>
      </c>
      <c r="N942">
        <v>0</v>
      </c>
    </row>
    <row r="943" spans="1:14" x14ac:dyDescent="0.25">
      <c r="A943">
        <v>550.30788099999995</v>
      </c>
      <c r="B943" s="1">
        <f>DATE(2011,11,2) + TIME(7,23,20)</f>
        <v>40849.307870370372</v>
      </c>
      <c r="C943">
        <v>80</v>
      </c>
      <c r="D943">
        <v>79.645317078000005</v>
      </c>
      <c r="E943">
        <v>50</v>
      </c>
      <c r="F943">
        <v>46.930236815999997</v>
      </c>
      <c r="G943">
        <v>1302.1341553</v>
      </c>
      <c r="H943">
        <v>1289.8229980000001</v>
      </c>
      <c r="I943">
        <v>1403.5163574000001</v>
      </c>
      <c r="J943">
        <v>1382.3378906</v>
      </c>
      <c r="K943">
        <v>0</v>
      </c>
      <c r="L943">
        <v>2400</v>
      </c>
      <c r="M943">
        <v>2400</v>
      </c>
      <c r="N943">
        <v>0</v>
      </c>
    </row>
    <row r="944" spans="1:14" x14ac:dyDescent="0.25">
      <c r="A944">
        <v>550.45076200000005</v>
      </c>
      <c r="B944" s="1">
        <f>DATE(2011,11,2) + TIME(10,49,5)</f>
        <v>40849.450752314813</v>
      </c>
      <c r="C944">
        <v>80</v>
      </c>
      <c r="D944">
        <v>79.618988036999994</v>
      </c>
      <c r="E944">
        <v>50</v>
      </c>
      <c r="F944">
        <v>47.388442992999998</v>
      </c>
      <c r="G944">
        <v>1302.1281738</v>
      </c>
      <c r="H944">
        <v>1289.8157959</v>
      </c>
      <c r="I944">
        <v>1403.2130127</v>
      </c>
      <c r="J944">
        <v>1382.1864014</v>
      </c>
      <c r="K944">
        <v>0</v>
      </c>
      <c r="L944">
        <v>2400</v>
      </c>
      <c r="M944">
        <v>2400</v>
      </c>
      <c r="N944">
        <v>0</v>
      </c>
    </row>
    <row r="945" spans="1:14" x14ac:dyDescent="0.25">
      <c r="A945">
        <v>550.61474599999997</v>
      </c>
      <c r="B945" s="1">
        <f>DATE(2011,11,2) + TIME(14,45,14)</f>
        <v>40849.614745370367</v>
      </c>
      <c r="C945">
        <v>80</v>
      </c>
      <c r="D945">
        <v>79.589645386000001</v>
      </c>
      <c r="E945">
        <v>50</v>
      </c>
      <c r="F945">
        <v>47.824985503999997</v>
      </c>
      <c r="G945">
        <v>1302.1213379000001</v>
      </c>
      <c r="H945">
        <v>1289.8078613</v>
      </c>
      <c r="I945">
        <v>1402.9140625</v>
      </c>
      <c r="J945">
        <v>1382.03125</v>
      </c>
      <c r="K945">
        <v>0</v>
      </c>
      <c r="L945">
        <v>2400</v>
      </c>
      <c r="M945">
        <v>2400</v>
      </c>
      <c r="N945">
        <v>0</v>
      </c>
    </row>
    <row r="946" spans="1:14" x14ac:dyDescent="0.25">
      <c r="A946">
        <v>550.79558899999995</v>
      </c>
      <c r="B946" s="1">
        <f>DATE(2011,11,2) + TIME(19,5,38)</f>
        <v>40849.795578703706</v>
      </c>
      <c r="C946">
        <v>80</v>
      </c>
      <c r="D946">
        <v>79.557975768999995</v>
      </c>
      <c r="E946">
        <v>50</v>
      </c>
      <c r="F946">
        <v>48.217670441000003</v>
      </c>
      <c r="G946">
        <v>1302.1136475000001</v>
      </c>
      <c r="H946">
        <v>1289.7987060999999</v>
      </c>
      <c r="I946">
        <v>1402.6304932</v>
      </c>
      <c r="J946">
        <v>1381.8757324000001</v>
      </c>
      <c r="K946">
        <v>0</v>
      </c>
      <c r="L946">
        <v>2400</v>
      </c>
      <c r="M946">
        <v>2400</v>
      </c>
      <c r="N946">
        <v>0</v>
      </c>
    </row>
    <row r="947" spans="1:14" x14ac:dyDescent="0.25">
      <c r="A947">
        <v>550.97719300000006</v>
      </c>
      <c r="B947" s="1">
        <f>DATE(2011,11,2) + TIME(23,27,9)</f>
        <v>40849.977187500001</v>
      </c>
      <c r="C947">
        <v>80</v>
      </c>
      <c r="D947">
        <v>79.526290893999999</v>
      </c>
      <c r="E947">
        <v>50</v>
      </c>
      <c r="F947">
        <v>48.539012909</v>
      </c>
      <c r="G947">
        <v>1302.1048584</v>
      </c>
      <c r="H947">
        <v>1289.7888184000001</v>
      </c>
      <c r="I947">
        <v>1402.3790283000001</v>
      </c>
      <c r="J947">
        <v>1381.7285156</v>
      </c>
      <c r="K947">
        <v>0</v>
      </c>
      <c r="L947">
        <v>2400</v>
      </c>
      <c r="M947">
        <v>2400</v>
      </c>
      <c r="N947">
        <v>0</v>
      </c>
    </row>
    <row r="948" spans="1:14" x14ac:dyDescent="0.25">
      <c r="A948">
        <v>551.16243199999997</v>
      </c>
      <c r="B948" s="1">
        <f>DATE(2011,11,3) + TIME(3,53,54)</f>
        <v>40850.162430555552</v>
      </c>
      <c r="C948">
        <v>80</v>
      </c>
      <c r="D948">
        <v>79.494201660000002</v>
      </c>
      <c r="E948">
        <v>50</v>
      </c>
      <c r="F948">
        <v>48.805091857999997</v>
      </c>
      <c r="G948">
        <v>1302.0961914</v>
      </c>
      <c r="H948">
        <v>1289.7789307</v>
      </c>
      <c r="I948">
        <v>1402.1560059000001</v>
      </c>
      <c r="J948">
        <v>1381.5922852000001</v>
      </c>
      <c r="K948">
        <v>0</v>
      </c>
      <c r="L948">
        <v>2400</v>
      </c>
      <c r="M948">
        <v>2400</v>
      </c>
      <c r="N948">
        <v>0</v>
      </c>
    </row>
    <row r="949" spans="1:14" x14ac:dyDescent="0.25">
      <c r="A949">
        <v>551.35270800000001</v>
      </c>
      <c r="B949" s="1">
        <f>DATE(2011,11,3) + TIME(8,27,53)</f>
        <v>40850.352696759262</v>
      </c>
      <c r="C949">
        <v>80</v>
      </c>
      <c r="D949">
        <v>79.461509704999997</v>
      </c>
      <c r="E949">
        <v>50</v>
      </c>
      <c r="F949">
        <v>49.025806426999999</v>
      </c>
      <c r="G949">
        <v>1302.0874022999999</v>
      </c>
      <c r="H949">
        <v>1289.7687988</v>
      </c>
      <c r="I949">
        <v>1401.9554443</v>
      </c>
      <c r="J949">
        <v>1381.4643555</v>
      </c>
      <c r="K949">
        <v>0</v>
      </c>
      <c r="L949">
        <v>2400</v>
      </c>
      <c r="M949">
        <v>2400</v>
      </c>
      <c r="N949">
        <v>0</v>
      </c>
    </row>
    <row r="950" spans="1:14" x14ac:dyDescent="0.25">
      <c r="A950">
        <v>551.54954199999997</v>
      </c>
      <c r="B950" s="1">
        <f>DATE(2011,11,3) + TIME(13,11,20)</f>
        <v>40850.549537037034</v>
      </c>
      <c r="C950">
        <v>80</v>
      </c>
      <c r="D950">
        <v>79.428024292000003</v>
      </c>
      <c r="E950">
        <v>50</v>
      </c>
      <c r="F950">
        <v>49.208972930999998</v>
      </c>
      <c r="G950">
        <v>1302.0782471</v>
      </c>
      <c r="H950">
        <v>1289.7584228999999</v>
      </c>
      <c r="I950">
        <v>1401.7729492000001</v>
      </c>
      <c r="J950">
        <v>1381.3431396000001</v>
      </c>
      <c r="K950">
        <v>0</v>
      </c>
      <c r="L950">
        <v>2400</v>
      </c>
      <c r="M950">
        <v>2400</v>
      </c>
      <c r="N950">
        <v>0</v>
      </c>
    </row>
    <row r="951" spans="1:14" x14ac:dyDescent="0.25">
      <c r="A951">
        <v>551.75454200000001</v>
      </c>
      <c r="B951" s="1">
        <f>DATE(2011,11,3) + TIME(18,6,32)</f>
        <v>40850.754537037035</v>
      </c>
      <c r="C951">
        <v>80</v>
      </c>
      <c r="D951">
        <v>79.393516540999997</v>
      </c>
      <c r="E951">
        <v>50</v>
      </c>
      <c r="F951">
        <v>49.360782622999999</v>
      </c>
      <c r="G951">
        <v>1302.0689697</v>
      </c>
      <c r="H951">
        <v>1289.7476807</v>
      </c>
      <c r="I951">
        <v>1401.6052245999999</v>
      </c>
      <c r="J951">
        <v>1381.2272949000001</v>
      </c>
      <c r="K951">
        <v>0</v>
      </c>
      <c r="L951">
        <v>2400</v>
      </c>
      <c r="M951">
        <v>2400</v>
      </c>
      <c r="N951">
        <v>0</v>
      </c>
    </row>
    <row r="952" spans="1:14" x14ac:dyDescent="0.25">
      <c r="A952">
        <v>551.96949600000005</v>
      </c>
      <c r="B952" s="1">
        <f>DATE(2011,11,3) + TIME(23,16,4)</f>
        <v>40850.969490740739</v>
      </c>
      <c r="C952">
        <v>80</v>
      </c>
      <c r="D952">
        <v>79.357749939000001</v>
      </c>
      <c r="E952">
        <v>50</v>
      </c>
      <c r="F952">
        <v>49.486236572000003</v>
      </c>
      <c r="G952">
        <v>1302.0593262</v>
      </c>
      <c r="H952">
        <v>1289.7365723</v>
      </c>
      <c r="I952">
        <v>1401.4493408000001</v>
      </c>
      <c r="J952">
        <v>1381.1154785000001</v>
      </c>
      <c r="K952">
        <v>0</v>
      </c>
      <c r="L952">
        <v>2400</v>
      </c>
      <c r="M952">
        <v>2400</v>
      </c>
      <c r="N952">
        <v>0</v>
      </c>
    </row>
    <row r="953" spans="1:14" x14ac:dyDescent="0.25">
      <c r="A953">
        <v>552.19646</v>
      </c>
      <c r="B953" s="1">
        <f>DATE(2011,11,4) + TIME(4,42,54)</f>
        <v>40851.196458333332</v>
      </c>
      <c r="C953">
        <v>80</v>
      </c>
      <c r="D953">
        <v>79.320465088000006</v>
      </c>
      <c r="E953">
        <v>50</v>
      </c>
      <c r="F953">
        <v>49.589439392000003</v>
      </c>
      <c r="G953">
        <v>1302.0491943</v>
      </c>
      <c r="H953">
        <v>1289.7249756000001</v>
      </c>
      <c r="I953">
        <v>1401.3031006000001</v>
      </c>
      <c r="J953">
        <v>1381.0067139</v>
      </c>
      <c r="K953">
        <v>0</v>
      </c>
      <c r="L953">
        <v>2400</v>
      </c>
      <c r="M953">
        <v>2400</v>
      </c>
      <c r="N953">
        <v>0</v>
      </c>
    </row>
    <row r="954" spans="1:14" x14ac:dyDescent="0.25">
      <c r="A954">
        <v>552.43786499999999</v>
      </c>
      <c r="B954" s="1">
        <f>DATE(2011,11,4) + TIME(10,30,31)</f>
        <v>40851.437858796293</v>
      </c>
      <c r="C954">
        <v>80</v>
      </c>
      <c r="D954">
        <v>79.281333923000005</v>
      </c>
      <c r="E954">
        <v>50</v>
      </c>
      <c r="F954">
        <v>49.673816680999998</v>
      </c>
      <c r="G954">
        <v>1302.0384521000001</v>
      </c>
      <c r="H954">
        <v>1289.7127685999999</v>
      </c>
      <c r="I954">
        <v>1401.1644286999999</v>
      </c>
      <c r="J954">
        <v>1380.8999022999999</v>
      </c>
      <c r="K954">
        <v>0</v>
      </c>
      <c r="L954">
        <v>2400</v>
      </c>
      <c r="M954">
        <v>2400</v>
      </c>
      <c r="N954">
        <v>0</v>
      </c>
    </row>
    <row r="955" spans="1:14" x14ac:dyDescent="0.25">
      <c r="A955">
        <v>552.69666600000005</v>
      </c>
      <c r="B955" s="1">
        <f>DATE(2011,11,4) + TIME(16,43,11)</f>
        <v>40851.696655092594</v>
      </c>
      <c r="C955">
        <v>80</v>
      </c>
      <c r="D955">
        <v>79.240005492999998</v>
      </c>
      <c r="E955">
        <v>50</v>
      </c>
      <c r="F955">
        <v>49.742248535000002</v>
      </c>
      <c r="G955">
        <v>1302.0272216999999</v>
      </c>
      <c r="H955">
        <v>1289.699707</v>
      </c>
      <c r="I955">
        <v>1401.0313721</v>
      </c>
      <c r="J955">
        <v>1380.7943115</v>
      </c>
      <c r="K955">
        <v>0</v>
      </c>
      <c r="L955">
        <v>2400</v>
      </c>
      <c r="M955">
        <v>2400</v>
      </c>
      <c r="N955">
        <v>0</v>
      </c>
    </row>
    <row r="956" spans="1:14" x14ac:dyDescent="0.25">
      <c r="A956">
        <v>552.97650799999997</v>
      </c>
      <c r="B956" s="1">
        <f>DATE(2011,11,4) + TIME(23,26,10)</f>
        <v>40851.976504629631</v>
      </c>
      <c r="C956">
        <v>80</v>
      </c>
      <c r="D956">
        <v>79.196014403999996</v>
      </c>
      <c r="E956">
        <v>50</v>
      </c>
      <c r="F956">
        <v>49.797187805</v>
      </c>
      <c r="G956">
        <v>1302.0150146000001</v>
      </c>
      <c r="H956">
        <v>1289.6859131000001</v>
      </c>
      <c r="I956">
        <v>1400.9023437999999</v>
      </c>
      <c r="J956">
        <v>1380.6889647999999</v>
      </c>
      <c r="K956">
        <v>0</v>
      </c>
      <c r="L956">
        <v>2400</v>
      </c>
      <c r="M956">
        <v>2400</v>
      </c>
      <c r="N956">
        <v>0</v>
      </c>
    </row>
    <row r="957" spans="1:14" x14ac:dyDescent="0.25">
      <c r="A957">
        <v>553.27891499999998</v>
      </c>
      <c r="B957" s="1">
        <f>DATE(2011,11,5) + TIME(6,41,38)</f>
        <v>40852.278912037036</v>
      </c>
      <c r="C957">
        <v>80</v>
      </c>
      <c r="D957">
        <v>79.149162292</v>
      </c>
      <c r="E957">
        <v>50</v>
      </c>
      <c r="F957">
        <v>49.840427398999999</v>
      </c>
      <c r="G957">
        <v>1302.0019531</v>
      </c>
      <c r="H957">
        <v>1289.6708983999999</v>
      </c>
      <c r="I957">
        <v>1400.7758789</v>
      </c>
      <c r="J957">
        <v>1380.5830077999999</v>
      </c>
      <c r="K957">
        <v>0</v>
      </c>
      <c r="L957">
        <v>2400</v>
      </c>
      <c r="M957">
        <v>2400</v>
      </c>
      <c r="N957">
        <v>0</v>
      </c>
    </row>
    <row r="958" spans="1:14" x14ac:dyDescent="0.25">
      <c r="A958">
        <v>553.60540600000002</v>
      </c>
      <c r="B958" s="1">
        <f>DATE(2011,11,5) + TIME(14,31,47)</f>
        <v>40852.605405092596</v>
      </c>
      <c r="C958">
        <v>80</v>
      </c>
      <c r="D958">
        <v>79.099250792999996</v>
      </c>
      <c r="E958">
        <v>50</v>
      </c>
      <c r="F958">
        <v>49.873756409000002</v>
      </c>
      <c r="G958">
        <v>1301.9879149999999</v>
      </c>
      <c r="H958">
        <v>1289.6547852000001</v>
      </c>
      <c r="I958">
        <v>1400.6514893000001</v>
      </c>
      <c r="J958">
        <v>1380.4763184000001</v>
      </c>
      <c r="K958">
        <v>0</v>
      </c>
      <c r="L958">
        <v>2400</v>
      </c>
      <c r="M958">
        <v>2400</v>
      </c>
      <c r="N958">
        <v>0</v>
      </c>
    </row>
    <row r="959" spans="1:14" x14ac:dyDescent="0.25">
      <c r="A959">
        <v>553.96140400000002</v>
      </c>
      <c r="B959" s="1">
        <f>DATE(2011,11,5) + TIME(23,4,25)</f>
        <v>40852.961400462962</v>
      </c>
      <c r="C959">
        <v>80</v>
      </c>
      <c r="D959">
        <v>79.045677185000002</v>
      </c>
      <c r="E959">
        <v>50</v>
      </c>
      <c r="F959">
        <v>49.899108886999997</v>
      </c>
      <c r="G959">
        <v>1301.9726562000001</v>
      </c>
      <c r="H959">
        <v>1289.6374512</v>
      </c>
      <c r="I959">
        <v>1400.5284423999999</v>
      </c>
      <c r="J959">
        <v>1380.3690185999999</v>
      </c>
      <c r="K959">
        <v>0</v>
      </c>
      <c r="L959">
        <v>2400</v>
      </c>
      <c r="M959">
        <v>2400</v>
      </c>
      <c r="N959">
        <v>0</v>
      </c>
    </row>
    <row r="960" spans="1:14" x14ac:dyDescent="0.25">
      <c r="A960">
        <v>554.33172999999999</v>
      </c>
      <c r="B960" s="1">
        <f>DATE(2011,11,6) + TIME(7,57,41)</f>
        <v>40853.331724537034</v>
      </c>
      <c r="C960">
        <v>80</v>
      </c>
      <c r="D960">
        <v>78.989936829000001</v>
      </c>
      <c r="E960">
        <v>50</v>
      </c>
      <c r="F960">
        <v>49.917335510000001</v>
      </c>
      <c r="G960">
        <v>1301.9560547000001</v>
      </c>
      <c r="H960">
        <v>1289.6185303</v>
      </c>
      <c r="I960">
        <v>1400.4056396000001</v>
      </c>
      <c r="J960">
        <v>1380.2602539</v>
      </c>
      <c r="K960">
        <v>0</v>
      </c>
      <c r="L960">
        <v>2400</v>
      </c>
      <c r="M960">
        <v>2400</v>
      </c>
      <c r="N960">
        <v>0</v>
      </c>
    </row>
    <row r="961" spans="1:14" x14ac:dyDescent="0.25">
      <c r="A961">
        <v>554.70653300000004</v>
      </c>
      <c r="B961" s="1">
        <f>DATE(2011,11,6) + TIME(16,57,24)</f>
        <v>40853.70652777778</v>
      </c>
      <c r="C961">
        <v>80</v>
      </c>
      <c r="D961">
        <v>78.933197020999998</v>
      </c>
      <c r="E961">
        <v>50</v>
      </c>
      <c r="F961">
        <v>49.930080414000003</v>
      </c>
      <c r="G961">
        <v>1301.9385986</v>
      </c>
      <c r="H961">
        <v>1289.598999</v>
      </c>
      <c r="I961">
        <v>1400.2877197</v>
      </c>
      <c r="J961">
        <v>1380.1546631000001</v>
      </c>
      <c r="K961">
        <v>0</v>
      </c>
      <c r="L961">
        <v>2400</v>
      </c>
      <c r="M961">
        <v>2400</v>
      </c>
      <c r="N961">
        <v>0</v>
      </c>
    </row>
    <row r="962" spans="1:14" x14ac:dyDescent="0.25">
      <c r="A962">
        <v>555.08970099999999</v>
      </c>
      <c r="B962" s="1">
        <f>DATE(2011,11,7) + TIME(2,9,10)</f>
        <v>40854.089699074073</v>
      </c>
      <c r="C962">
        <v>80</v>
      </c>
      <c r="D962">
        <v>78.875297545999999</v>
      </c>
      <c r="E962">
        <v>50</v>
      </c>
      <c r="F962">
        <v>49.939064025999997</v>
      </c>
      <c r="G962">
        <v>1301.9211425999999</v>
      </c>
      <c r="H962">
        <v>1289.5792236</v>
      </c>
      <c r="I962">
        <v>1400.1766356999999</v>
      </c>
      <c r="J962">
        <v>1380.0546875</v>
      </c>
      <c r="K962">
        <v>0</v>
      </c>
      <c r="L962">
        <v>2400</v>
      </c>
      <c r="M962">
        <v>2400</v>
      </c>
      <c r="N962">
        <v>0</v>
      </c>
    </row>
    <row r="963" spans="1:14" x14ac:dyDescent="0.25">
      <c r="A963">
        <v>555.48494000000005</v>
      </c>
      <c r="B963" s="1">
        <f>DATE(2011,11,7) + TIME(11,38,18)</f>
        <v>40854.484930555554</v>
      </c>
      <c r="C963">
        <v>80</v>
      </c>
      <c r="D963">
        <v>78.815994262999993</v>
      </c>
      <c r="E963">
        <v>50</v>
      </c>
      <c r="F963">
        <v>49.945423126000001</v>
      </c>
      <c r="G963">
        <v>1301.9033202999999</v>
      </c>
      <c r="H963">
        <v>1289.5588379000001</v>
      </c>
      <c r="I963">
        <v>1400.0705565999999</v>
      </c>
      <c r="J963">
        <v>1379.9587402</v>
      </c>
      <c r="K963">
        <v>0</v>
      </c>
      <c r="L963">
        <v>2400</v>
      </c>
      <c r="M963">
        <v>2400</v>
      </c>
      <c r="N963">
        <v>0</v>
      </c>
    </row>
    <row r="964" spans="1:14" x14ac:dyDescent="0.25">
      <c r="A964">
        <v>555.89608599999997</v>
      </c>
      <c r="B964" s="1">
        <f>DATE(2011,11,7) + TIME(21,30,21)</f>
        <v>40854.89607638889</v>
      </c>
      <c r="C964">
        <v>80</v>
      </c>
      <c r="D964">
        <v>78.754936217999997</v>
      </c>
      <c r="E964">
        <v>50</v>
      </c>
      <c r="F964">
        <v>49.949939727999997</v>
      </c>
      <c r="G964">
        <v>1301.8848877</v>
      </c>
      <c r="H964">
        <v>1289.5379639</v>
      </c>
      <c r="I964">
        <v>1399.9677733999999</v>
      </c>
      <c r="J964">
        <v>1379.8656006000001</v>
      </c>
      <c r="K964">
        <v>0</v>
      </c>
      <c r="L964">
        <v>2400</v>
      </c>
      <c r="M964">
        <v>2400</v>
      </c>
      <c r="N964">
        <v>0</v>
      </c>
    </row>
    <row r="965" spans="1:14" x14ac:dyDescent="0.25">
      <c r="A965">
        <v>556.32737799999995</v>
      </c>
      <c r="B965" s="1">
        <f>DATE(2011,11,8) + TIME(7,51,25)</f>
        <v>40855.327372685184</v>
      </c>
      <c r="C965">
        <v>80</v>
      </c>
      <c r="D965">
        <v>78.691719054999993</v>
      </c>
      <c r="E965">
        <v>50</v>
      </c>
      <c r="F965">
        <v>49.953151703000003</v>
      </c>
      <c r="G965">
        <v>1301.8658447</v>
      </c>
      <c r="H965">
        <v>1289.5162353999999</v>
      </c>
      <c r="I965">
        <v>1399.8671875</v>
      </c>
      <c r="J965">
        <v>1379.7742920000001</v>
      </c>
      <c r="K965">
        <v>0</v>
      </c>
      <c r="L965">
        <v>2400</v>
      </c>
      <c r="M965">
        <v>2400</v>
      </c>
      <c r="N965">
        <v>0</v>
      </c>
    </row>
    <row r="966" spans="1:14" x14ac:dyDescent="0.25">
      <c r="A966">
        <v>556.782466</v>
      </c>
      <c r="B966" s="1">
        <f>DATE(2011,11,8) + TIME(18,46,45)</f>
        <v>40855.782465277778</v>
      </c>
      <c r="C966">
        <v>80</v>
      </c>
      <c r="D966">
        <v>78.625938415999997</v>
      </c>
      <c r="E966">
        <v>50</v>
      </c>
      <c r="F966">
        <v>49.955436706999997</v>
      </c>
      <c r="G966">
        <v>1301.8458252</v>
      </c>
      <c r="H966">
        <v>1289.4934082</v>
      </c>
      <c r="I966">
        <v>1399.7678223</v>
      </c>
      <c r="J966">
        <v>1379.6839600000001</v>
      </c>
      <c r="K966">
        <v>0</v>
      </c>
      <c r="L966">
        <v>2400</v>
      </c>
      <c r="M966">
        <v>2400</v>
      </c>
      <c r="N966">
        <v>0</v>
      </c>
    </row>
    <row r="967" spans="1:14" x14ac:dyDescent="0.25">
      <c r="A967">
        <v>557.25823800000001</v>
      </c>
      <c r="B967" s="1">
        <f>DATE(2011,11,9) + TIME(6,11,51)</f>
        <v>40856.258229166669</v>
      </c>
      <c r="C967">
        <v>80</v>
      </c>
      <c r="D967">
        <v>78.557800293</v>
      </c>
      <c r="E967">
        <v>50</v>
      </c>
      <c r="F967">
        <v>49.957046509000001</v>
      </c>
      <c r="G967">
        <v>1301.824707</v>
      </c>
      <c r="H967">
        <v>1289.4693603999999</v>
      </c>
      <c r="I967">
        <v>1399.6687012</v>
      </c>
      <c r="J967">
        <v>1379.5939940999999</v>
      </c>
      <c r="K967">
        <v>0</v>
      </c>
      <c r="L967">
        <v>2400</v>
      </c>
      <c r="M967">
        <v>2400</v>
      </c>
      <c r="N967">
        <v>0</v>
      </c>
    </row>
    <row r="968" spans="1:14" x14ac:dyDescent="0.25">
      <c r="A968">
        <v>557.75972899999999</v>
      </c>
      <c r="B968" s="1">
        <f>DATE(2011,11,9) + TIME(18,14,0)</f>
        <v>40856.759722222225</v>
      </c>
      <c r="C968">
        <v>80</v>
      </c>
      <c r="D968">
        <v>78.486885071000003</v>
      </c>
      <c r="E968">
        <v>50</v>
      </c>
      <c r="F968">
        <v>49.958187103</v>
      </c>
      <c r="G968">
        <v>1301.8026123</v>
      </c>
      <c r="H968">
        <v>1289.4442139</v>
      </c>
      <c r="I968">
        <v>1399.5709228999999</v>
      </c>
      <c r="J968">
        <v>1379.5051269999999</v>
      </c>
      <c r="K968">
        <v>0</v>
      </c>
      <c r="L968">
        <v>2400</v>
      </c>
      <c r="M968">
        <v>2400</v>
      </c>
      <c r="N968">
        <v>0</v>
      </c>
    </row>
    <row r="969" spans="1:14" x14ac:dyDescent="0.25">
      <c r="A969">
        <v>558.29260399999998</v>
      </c>
      <c r="B969" s="1">
        <f>DATE(2011,11,10) + TIME(7,1,20)</f>
        <v>40857.292592592596</v>
      </c>
      <c r="C969">
        <v>80</v>
      </c>
      <c r="D969">
        <v>78.412628174000005</v>
      </c>
      <c r="E969">
        <v>50</v>
      </c>
      <c r="F969">
        <v>49.959007262999997</v>
      </c>
      <c r="G969">
        <v>1301.7792969</v>
      </c>
      <c r="H969">
        <v>1289.4177245999999</v>
      </c>
      <c r="I969">
        <v>1399.4735106999999</v>
      </c>
      <c r="J969">
        <v>1379.4167480000001</v>
      </c>
      <c r="K969">
        <v>0</v>
      </c>
      <c r="L969">
        <v>2400</v>
      </c>
      <c r="M969">
        <v>2400</v>
      </c>
      <c r="N969">
        <v>0</v>
      </c>
    </row>
    <row r="970" spans="1:14" x14ac:dyDescent="0.25">
      <c r="A970">
        <v>558.86373600000002</v>
      </c>
      <c r="B970" s="1">
        <f>DATE(2011,11,10) + TIME(20,43,46)</f>
        <v>40857.863726851851</v>
      </c>
      <c r="C970">
        <v>80</v>
      </c>
      <c r="D970">
        <v>78.334373474000003</v>
      </c>
      <c r="E970">
        <v>50</v>
      </c>
      <c r="F970">
        <v>49.959602355999998</v>
      </c>
      <c r="G970">
        <v>1301.7546387</v>
      </c>
      <c r="H970">
        <v>1289.3895264</v>
      </c>
      <c r="I970">
        <v>1399.3754882999999</v>
      </c>
      <c r="J970">
        <v>1379.3280029</v>
      </c>
      <c r="K970">
        <v>0</v>
      </c>
      <c r="L970">
        <v>2400</v>
      </c>
      <c r="M970">
        <v>2400</v>
      </c>
      <c r="N970">
        <v>0</v>
      </c>
    </row>
    <row r="971" spans="1:14" x14ac:dyDescent="0.25">
      <c r="A971">
        <v>559.45471399999997</v>
      </c>
      <c r="B971" s="1">
        <f>DATE(2011,11,11) + TIME(10,54,47)</f>
        <v>40858.454710648148</v>
      </c>
      <c r="C971">
        <v>80</v>
      </c>
      <c r="D971">
        <v>78.253395080999994</v>
      </c>
      <c r="E971">
        <v>50</v>
      </c>
      <c r="F971">
        <v>49.960021973000003</v>
      </c>
      <c r="G971">
        <v>1301.7280272999999</v>
      </c>
      <c r="H971">
        <v>1289.359375</v>
      </c>
      <c r="I971">
        <v>1399.2762451000001</v>
      </c>
      <c r="J971">
        <v>1379.2382812000001</v>
      </c>
      <c r="K971">
        <v>0</v>
      </c>
      <c r="L971">
        <v>2400</v>
      </c>
      <c r="M971">
        <v>2400</v>
      </c>
      <c r="N971">
        <v>0</v>
      </c>
    </row>
    <row r="972" spans="1:14" x14ac:dyDescent="0.25">
      <c r="A972">
        <v>560.05332799999996</v>
      </c>
      <c r="B972" s="1">
        <f>DATE(2011,11,12) + TIME(1,16,47)</f>
        <v>40859.05332175926</v>
      </c>
      <c r="C972">
        <v>80</v>
      </c>
      <c r="D972">
        <v>78.170997619999994</v>
      </c>
      <c r="E972">
        <v>50</v>
      </c>
      <c r="F972">
        <v>49.960319519000002</v>
      </c>
      <c r="G972">
        <v>1301.7003173999999</v>
      </c>
      <c r="H972">
        <v>1289.328125</v>
      </c>
      <c r="I972">
        <v>1399.1790771000001</v>
      </c>
      <c r="J972">
        <v>1379.1505127</v>
      </c>
      <c r="K972">
        <v>0</v>
      </c>
      <c r="L972">
        <v>2400</v>
      </c>
      <c r="M972">
        <v>2400</v>
      </c>
      <c r="N972">
        <v>0</v>
      </c>
    </row>
    <row r="973" spans="1:14" x14ac:dyDescent="0.25">
      <c r="A973">
        <v>560.66544399999998</v>
      </c>
      <c r="B973" s="1">
        <f>DATE(2011,11,12) + TIME(15,58,14)</f>
        <v>40859.665439814817</v>
      </c>
      <c r="C973">
        <v>80</v>
      </c>
      <c r="D973">
        <v>78.087203978999995</v>
      </c>
      <c r="E973">
        <v>50</v>
      </c>
      <c r="F973">
        <v>49.960536957000002</v>
      </c>
      <c r="G973">
        <v>1301.6723632999999</v>
      </c>
      <c r="H973">
        <v>1289.2962646000001</v>
      </c>
      <c r="I973">
        <v>1399.0858154</v>
      </c>
      <c r="J973">
        <v>1379.0665283000001</v>
      </c>
      <c r="K973">
        <v>0</v>
      </c>
      <c r="L973">
        <v>2400</v>
      </c>
      <c r="M973">
        <v>2400</v>
      </c>
      <c r="N973">
        <v>0</v>
      </c>
    </row>
    <row r="974" spans="1:14" x14ac:dyDescent="0.25">
      <c r="A974">
        <v>561.29685099999995</v>
      </c>
      <c r="B974" s="1">
        <f>DATE(2011,11,13) + TIME(7,7,27)</f>
        <v>40860.296840277777</v>
      </c>
      <c r="C974">
        <v>80</v>
      </c>
      <c r="D974">
        <v>78.001731872999997</v>
      </c>
      <c r="E974">
        <v>50</v>
      </c>
      <c r="F974">
        <v>49.960700989000003</v>
      </c>
      <c r="G974">
        <v>1301.6436768000001</v>
      </c>
      <c r="H974">
        <v>1289.2636719</v>
      </c>
      <c r="I974">
        <v>1398.9954834</v>
      </c>
      <c r="J974">
        <v>1378.9851074000001</v>
      </c>
      <c r="K974">
        <v>0</v>
      </c>
      <c r="L974">
        <v>2400</v>
      </c>
      <c r="M974">
        <v>2400</v>
      </c>
      <c r="N974">
        <v>0</v>
      </c>
    </row>
    <row r="975" spans="1:14" x14ac:dyDescent="0.25">
      <c r="A975">
        <v>561.95370700000001</v>
      </c>
      <c r="B975" s="1">
        <f>DATE(2011,11,13) + TIME(22,53,20)</f>
        <v>40860.953703703701</v>
      </c>
      <c r="C975">
        <v>80</v>
      </c>
      <c r="D975">
        <v>77.914100646999998</v>
      </c>
      <c r="E975">
        <v>50</v>
      </c>
      <c r="F975">
        <v>49.960826873999999</v>
      </c>
      <c r="G975">
        <v>1301.6141356999999</v>
      </c>
      <c r="H975">
        <v>1289.2298584</v>
      </c>
      <c r="I975">
        <v>1398.9068603999999</v>
      </c>
      <c r="J975">
        <v>1378.9055175999999</v>
      </c>
      <c r="K975">
        <v>0</v>
      </c>
      <c r="L975">
        <v>2400</v>
      </c>
      <c r="M975">
        <v>2400</v>
      </c>
      <c r="N975">
        <v>0</v>
      </c>
    </row>
    <row r="976" spans="1:14" x14ac:dyDescent="0.25">
      <c r="A976">
        <v>562.64293399999997</v>
      </c>
      <c r="B976" s="1">
        <f>DATE(2011,11,14) + TIME(15,25,49)</f>
        <v>40861.642928240741</v>
      </c>
      <c r="C976">
        <v>80</v>
      </c>
      <c r="D976">
        <v>77.823692321999999</v>
      </c>
      <c r="E976">
        <v>50</v>
      </c>
      <c r="F976">
        <v>49.960926055999998</v>
      </c>
      <c r="G976">
        <v>1301.5832519999999</v>
      </c>
      <c r="H976">
        <v>1289.1945800999999</v>
      </c>
      <c r="I976">
        <v>1398.8190918</v>
      </c>
      <c r="J976">
        <v>1378.8267822</v>
      </c>
      <c r="K976">
        <v>0</v>
      </c>
      <c r="L976">
        <v>2400</v>
      </c>
      <c r="M976">
        <v>2400</v>
      </c>
      <c r="N976">
        <v>0</v>
      </c>
    </row>
    <row r="977" spans="1:14" x14ac:dyDescent="0.25">
      <c r="A977">
        <v>563.36466399999995</v>
      </c>
      <c r="B977" s="1">
        <f>DATE(2011,11,15) + TIME(8,45,6)</f>
        <v>40862.364652777775</v>
      </c>
      <c r="C977">
        <v>80</v>
      </c>
      <c r="D977">
        <v>77.730285644999995</v>
      </c>
      <c r="E977">
        <v>50</v>
      </c>
      <c r="F977">
        <v>49.961006165000001</v>
      </c>
      <c r="G977">
        <v>1301.5507812000001</v>
      </c>
      <c r="H977">
        <v>1289.1574707</v>
      </c>
      <c r="I977">
        <v>1398.7314452999999</v>
      </c>
      <c r="J977">
        <v>1378.7481689000001</v>
      </c>
      <c r="K977">
        <v>0</v>
      </c>
      <c r="L977">
        <v>2400</v>
      </c>
      <c r="M977">
        <v>2400</v>
      </c>
      <c r="N977">
        <v>0</v>
      </c>
    </row>
    <row r="978" spans="1:14" x14ac:dyDescent="0.25">
      <c r="A978">
        <v>564.11330999999996</v>
      </c>
      <c r="B978" s="1">
        <f>DATE(2011,11,16) + TIME(2,43,9)</f>
        <v>40863.113298611112</v>
      </c>
      <c r="C978">
        <v>80</v>
      </c>
      <c r="D978">
        <v>77.634170531999999</v>
      </c>
      <c r="E978">
        <v>50</v>
      </c>
      <c r="F978">
        <v>49.961071013999998</v>
      </c>
      <c r="G978">
        <v>1301.5167236</v>
      </c>
      <c r="H978">
        <v>1289.1185303</v>
      </c>
      <c r="I978">
        <v>1398.644043</v>
      </c>
      <c r="J978">
        <v>1378.6700439000001</v>
      </c>
      <c r="K978">
        <v>0</v>
      </c>
      <c r="L978">
        <v>2400</v>
      </c>
      <c r="M978">
        <v>2400</v>
      </c>
      <c r="N978">
        <v>0</v>
      </c>
    </row>
    <row r="979" spans="1:14" x14ac:dyDescent="0.25">
      <c r="A979">
        <v>564.89637000000005</v>
      </c>
      <c r="B979" s="1">
        <f>DATE(2011,11,16) + TIME(21,30,46)</f>
        <v>40863.896365740744</v>
      </c>
      <c r="C979">
        <v>80</v>
      </c>
      <c r="D979">
        <v>77.534996032999999</v>
      </c>
      <c r="E979">
        <v>50</v>
      </c>
      <c r="F979">
        <v>49.961124419999997</v>
      </c>
      <c r="G979">
        <v>1301.4810791</v>
      </c>
      <c r="H979">
        <v>1289.0777588000001</v>
      </c>
      <c r="I979">
        <v>1398.5576172000001</v>
      </c>
      <c r="J979">
        <v>1378.5928954999999</v>
      </c>
      <c r="K979">
        <v>0</v>
      </c>
      <c r="L979">
        <v>2400</v>
      </c>
      <c r="M979">
        <v>2400</v>
      </c>
      <c r="N979">
        <v>0</v>
      </c>
    </row>
    <row r="980" spans="1:14" x14ac:dyDescent="0.25">
      <c r="A980">
        <v>565.70018700000003</v>
      </c>
      <c r="B980" s="1">
        <f>DATE(2011,11,17) + TIME(16,48,16)</f>
        <v>40864.700185185182</v>
      </c>
      <c r="C980">
        <v>80</v>
      </c>
      <c r="D980">
        <v>77.433555603000002</v>
      </c>
      <c r="E980">
        <v>50</v>
      </c>
      <c r="F980">
        <v>49.961170197000001</v>
      </c>
      <c r="G980">
        <v>1301.4437256000001</v>
      </c>
      <c r="H980">
        <v>1289.0350341999999</v>
      </c>
      <c r="I980">
        <v>1398.4715576000001</v>
      </c>
      <c r="J980">
        <v>1378.5159911999999</v>
      </c>
      <c r="K980">
        <v>0</v>
      </c>
      <c r="L980">
        <v>2400</v>
      </c>
      <c r="M980">
        <v>2400</v>
      </c>
      <c r="N980">
        <v>0</v>
      </c>
    </row>
    <row r="981" spans="1:14" x14ac:dyDescent="0.25">
      <c r="A981">
        <v>566.51825099999996</v>
      </c>
      <c r="B981" s="1">
        <f>DATE(2011,11,18) + TIME(12,26,16)</f>
        <v>40865.518240740741</v>
      </c>
      <c r="C981">
        <v>80</v>
      </c>
      <c r="D981">
        <v>77.330650329999997</v>
      </c>
      <c r="E981">
        <v>50</v>
      </c>
      <c r="F981">
        <v>49.961212158000002</v>
      </c>
      <c r="G981">
        <v>1301.4051514</v>
      </c>
      <c r="H981">
        <v>1288.9908447</v>
      </c>
      <c r="I981">
        <v>1398.387207</v>
      </c>
      <c r="J981">
        <v>1378.440918</v>
      </c>
      <c r="K981">
        <v>0</v>
      </c>
      <c r="L981">
        <v>2400</v>
      </c>
      <c r="M981">
        <v>2400</v>
      </c>
      <c r="N981">
        <v>0</v>
      </c>
    </row>
    <row r="982" spans="1:14" x14ac:dyDescent="0.25">
      <c r="A982">
        <v>567.35869300000002</v>
      </c>
      <c r="B982" s="1">
        <f>DATE(2011,11,19) + TIME(8,36,31)</f>
        <v>40866.35869212963</v>
      </c>
      <c r="C982">
        <v>80</v>
      </c>
      <c r="D982">
        <v>77.226181030000006</v>
      </c>
      <c r="E982">
        <v>50</v>
      </c>
      <c r="F982">
        <v>49.961246490000001</v>
      </c>
      <c r="G982">
        <v>1301.3656006000001</v>
      </c>
      <c r="H982">
        <v>1288.9455565999999</v>
      </c>
      <c r="I982">
        <v>1398.3054199000001</v>
      </c>
      <c r="J982">
        <v>1378.3680420000001</v>
      </c>
      <c r="K982">
        <v>0</v>
      </c>
      <c r="L982">
        <v>2400</v>
      </c>
      <c r="M982">
        <v>2400</v>
      </c>
      <c r="N982">
        <v>0</v>
      </c>
    </row>
    <row r="983" spans="1:14" x14ac:dyDescent="0.25">
      <c r="A983">
        <v>568.229964</v>
      </c>
      <c r="B983" s="1">
        <f>DATE(2011,11,20) + TIME(5,31,8)</f>
        <v>40867.229953703703</v>
      </c>
      <c r="C983">
        <v>80</v>
      </c>
      <c r="D983">
        <v>77.119636536000002</v>
      </c>
      <c r="E983">
        <v>50</v>
      </c>
      <c r="F983">
        <v>49.961280823000003</v>
      </c>
      <c r="G983">
        <v>1301.3248291</v>
      </c>
      <c r="H983">
        <v>1288.8986815999999</v>
      </c>
      <c r="I983">
        <v>1398.2249756000001</v>
      </c>
      <c r="J983">
        <v>1378.2966309000001</v>
      </c>
      <c r="K983">
        <v>0</v>
      </c>
      <c r="L983">
        <v>2400</v>
      </c>
      <c r="M983">
        <v>2400</v>
      </c>
      <c r="N983">
        <v>0</v>
      </c>
    </row>
    <row r="984" spans="1:14" x14ac:dyDescent="0.25">
      <c r="A984">
        <v>569.14151100000004</v>
      </c>
      <c r="B984" s="1">
        <f>DATE(2011,11,21) + TIME(3,23,46)</f>
        <v>40868.141504629632</v>
      </c>
      <c r="C984">
        <v>80</v>
      </c>
      <c r="D984">
        <v>77.010269164999997</v>
      </c>
      <c r="E984">
        <v>50</v>
      </c>
      <c r="F984">
        <v>49.961315155000001</v>
      </c>
      <c r="G984">
        <v>1301.2823486</v>
      </c>
      <c r="H984">
        <v>1288.8496094</v>
      </c>
      <c r="I984">
        <v>1398.1452637</v>
      </c>
      <c r="J984">
        <v>1378.2258300999999</v>
      </c>
      <c r="K984">
        <v>0</v>
      </c>
      <c r="L984">
        <v>2400</v>
      </c>
      <c r="M984">
        <v>2400</v>
      </c>
      <c r="N984">
        <v>0</v>
      </c>
    </row>
    <row r="985" spans="1:14" x14ac:dyDescent="0.25">
      <c r="A985">
        <v>570.10439899999994</v>
      </c>
      <c r="B985" s="1">
        <f>DATE(2011,11,22) + TIME(2,30,20)</f>
        <v>40869.104398148149</v>
      </c>
      <c r="C985">
        <v>80</v>
      </c>
      <c r="D985">
        <v>76.897102356000005</v>
      </c>
      <c r="E985">
        <v>50</v>
      </c>
      <c r="F985">
        <v>49.961349487</v>
      </c>
      <c r="G985">
        <v>1301.2376709</v>
      </c>
      <c r="H985">
        <v>1288.7979736</v>
      </c>
      <c r="I985">
        <v>1398.0654297000001</v>
      </c>
      <c r="J985">
        <v>1378.1550293</v>
      </c>
      <c r="K985">
        <v>0</v>
      </c>
      <c r="L985">
        <v>2400</v>
      </c>
      <c r="M985">
        <v>2400</v>
      </c>
      <c r="N985">
        <v>0</v>
      </c>
    </row>
    <row r="986" spans="1:14" x14ac:dyDescent="0.25">
      <c r="A986">
        <v>571.10412099999996</v>
      </c>
      <c r="B986" s="1">
        <f>DATE(2011,11,23) + TIME(2,29,56)</f>
        <v>40870.104120370372</v>
      </c>
      <c r="C986">
        <v>80</v>
      </c>
      <c r="D986">
        <v>76.780471801999994</v>
      </c>
      <c r="E986">
        <v>50</v>
      </c>
      <c r="F986">
        <v>49.961383820000002</v>
      </c>
      <c r="G986">
        <v>1301.1899414</v>
      </c>
      <c r="H986">
        <v>1288.7429199000001</v>
      </c>
      <c r="I986">
        <v>1397.9847411999999</v>
      </c>
      <c r="J986">
        <v>1378.0834961</v>
      </c>
      <c r="K986">
        <v>0</v>
      </c>
      <c r="L986">
        <v>2400</v>
      </c>
      <c r="M986">
        <v>2400</v>
      </c>
      <c r="N986">
        <v>0</v>
      </c>
    </row>
    <row r="987" spans="1:14" x14ac:dyDescent="0.25">
      <c r="A987">
        <v>572.13404400000002</v>
      </c>
      <c r="B987" s="1">
        <f>DATE(2011,11,24) + TIME(3,13,1)</f>
        <v>40871.134039351855</v>
      </c>
      <c r="C987">
        <v>80</v>
      </c>
      <c r="D987">
        <v>76.661048889</v>
      </c>
      <c r="E987">
        <v>50</v>
      </c>
      <c r="F987">
        <v>49.961418152</v>
      </c>
      <c r="G987">
        <v>1301.1400146000001</v>
      </c>
      <c r="H987">
        <v>1288.6851807</v>
      </c>
      <c r="I987">
        <v>1397.9046631000001</v>
      </c>
      <c r="J987">
        <v>1378.0124512</v>
      </c>
      <c r="K987">
        <v>0</v>
      </c>
      <c r="L987">
        <v>2400</v>
      </c>
      <c r="M987">
        <v>2400</v>
      </c>
      <c r="N987">
        <v>0</v>
      </c>
    </row>
    <row r="988" spans="1:14" x14ac:dyDescent="0.25">
      <c r="A988">
        <v>573.19010600000001</v>
      </c>
      <c r="B988" s="1">
        <f>DATE(2011,11,25) + TIME(4,33,45)</f>
        <v>40872.190104166664</v>
      </c>
      <c r="C988">
        <v>80</v>
      </c>
      <c r="D988">
        <v>76.539489746000001</v>
      </c>
      <c r="E988">
        <v>50</v>
      </c>
      <c r="F988">
        <v>49.961452483999999</v>
      </c>
      <c r="G988">
        <v>1301.0881348</v>
      </c>
      <c r="H988">
        <v>1288.6248779</v>
      </c>
      <c r="I988">
        <v>1397.8255615</v>
      </c>
      <c r="J988">
        <v>1377.9426269999999</v>
      </c>
      <c r="K988">
        <v>0</v>
      </c>
      <c r="L988">
        <v>2400</v>
      </c>
      <c r="M988">
        <v>2400</v>
      </c>
      <c r="N988">
        <v>0</v>
      </c>
    </row>
    <row r="989" spans="1:14" x14ac:dyDescent="0.25">
      <c r="A989">
        <v>574.26721499999996</v>
      </c>
      <c r="B989" s="1">
        <f>DATE(2011,11,26) + TIME(6,24,47)</f>
        <v>40873.267210648148</v>
      </c>
      <c r="C989">
        <v>80</v>
      </c>
      <c r="D989">
        <v>76.416427612000007</v>
      </c>
      <c r="E989">
        <v>50</v>
      </c>
      <c r="F989">
        <v>49.961490630999997</v>
      </c>
      <c r="G989">
        <v>1301.0343018000001</v>
      </c>
      <c r="H989">
        <v>1288.5623779</v>
      </c>
      <c r="I989">
        <v>1397.7480469</v>
      </c>
      <c r="J989">
        <v>1377.8740233999999</v>
      </c>
      <c r="K989">
        <v>0</v>
      </c>
      <c r="L989">
        <v>2400</v>
      </c>
      <c r="M989">
        <v>2400</v>
      </c>
      <c r="N989">
        <v>0</v>
      </c>
    </row>
    <row r="990" spans="1:14" x14ac:dyDescent="0.25">
      <c r="A990">
        <v>575.37668599999995</v>
      </c>
      <c r="B990" s="1">
        <f>DATE(2011,11,27) + TIME(9,2,25)</f>
        <v>40874.37667824074</v>
      </c>
      <c r="C990">
        <v>80</v>
      </c>
      <c r="D990">
        <v>76.291694641000007</v>
      </c>
      <c r="E990">
        <v>50</v>
      </c>
      <c r="F990">
        <v>49.961524963000002</v>
      </c>
      <c r="G990">
        <v>1300.9788818</v>
      </c>
      <c r="H990">
        <v>1288.4976807</v>
      </c>
      <c r="I990">
        <v>1397.6721190999999</v>
      </c>
      <c r="J990">
        <v>1377.8068848</v>
      </c>
      <c r="K990">
        <v>0</v>
      </c>
      <c r="L990">
        <v>2400</v>
      </c>
      <c r="M990">
        <v>2400</v>
      </c>
      <c r="N990">
        <v>0</v>
      </c>
    </row>
    <row r="991" spans="1:14" x14ac:dyDescent="0.25">
      <c r="A991">
        <v>576.51979300000005</v>
      </c>
      <c r="B991" s="1">
        <f>DATE(2011,11,28) + TIME(12,28,30)</f>
        <v>40875.519791666666</v>
      </c>
      <c r="C991">
        <v>80</v>
      </c>
      <c r="D991">
        <v>76.165061950999998</v>
      </c>
      <c r="E991">
        <v>50</v>
      </c>
      <c r="F991">
        <v>49.96156311</v>
      </c>
      <c r="G991">
        <v>1300.9211425999999</v>
      </c>
      <c r="H991">
        <v>1288.4301757999999</v>
      </c>
      <c r="I991">
        <v>1397.597168</v>
      </c>
      <c r="J991">
        <v>1377.7407227000001</v>
      </c>
      <c r="K991">
        <v>0</v>
      </c>
      <c r="L991">
        <v>2400</v>
      </c>
      <c r="M991">
        <v>2400</v>
      </c>
      <c r="N991">
        <v>0</v>
      </c>
    </row>
    <row r="992" spans="1:14" x14ac:dyDescent="0.25">
      <c r="A992">
        <v>577.70636300000001</v>
      </c>
      <c r="B992" s="1">
        <f>DATE(2011,11,29) + TIME(16,57,9)</f>
        <v>40876.706354166665</v>
      </c>
      <c r="C992">
        <v>80</v>
      </c>
      <c r="D992">
        <v>76.036003113000007</v>
      </c>
      <c r="E992">
        <v>50</v>
      </c>
      <c r="F992">
        <v>49.961605071999998</v>
      </c>
      <c r="G992">
        <v>1300.8610839999999</v>
      </c>
      <c r="H992">
        <v>1288.3594971</v>
      </c>
      <c r="I992">
        <v>1397.5229492000001</v>
      </c>
      <c r="J992">
        <v>1377.675293</v>
      </c>
      <c r="K992">
        <v>0</v>
      </c>
      <c r="L992">
        <v>2400</v>
      </c>
      <c r="M992">
        <v>2400</v>
      </c>
      <c r="N992">
        <v>0</v>
      </c>
    </row>
    <row r="993" spans="1:14" x14ac:dyDescent="0.25">
      <c r="A993">
        <v>579</v>
      </c>
      <c r="B993" s="1">
        <f>DATE(2011,12,1) + TIME(0,0,0)</f>
        <v>40878</v>
      </c>
      <c r="C993">
        <v>80</v>
      </c>
      <c r="D993">
        <v>75.901458739999995</v>
      </c>
      <c r="E993">
        <v>50</v>
      </c>
      <c r="F993">
        <v>49.961650847999998</v>
      </c>
      <c r="G993">
        <v>1300.7979736</v>
      </c>
      <c r="H993">
        <v>1288.2849120999999</v>
      </c>
      <c r="I993">
        <v>1397.4490966999999</v>
      </c>
      <c r="J993">
        <v>1377.6101074000001</v>
      </c>
      <c r="K993">
        <v>0</v>
      </c>
      <c r="L993">
        <v>2400</v>
      </c>
      <c r="M993">
        <v>2400</v>
      </c>
      <c r="N993">
        <v>0</v>
      </c>
    </row>
    <row r="994" spans="1:14" x14ac:dyDescent="0.25">
      <c r="A994">
        <v>580.24302999999998</v>
      </c>
      <c r="B994" s="1">
        <f>DATE(2011,12,2) + TIME(5,49,57)</f>
        <v>40879.243020833332</v>
      </c>
      <c r="C994">
        <v>80</v>
      </c>
      <c r="D994">
        <v>75.765739440999994</v>
      </c>
      <c r="E994">
        <v>50</v>
      </c>
      <c r="F994">
        <v>49.961692810000002</v>
      </c>
      <c r="G994">
        <v>1300.7280272999999</v>
      </c>
      <c r="H994">
        <v>1288.2030029</v>
      </c>
      <c r="I994">
        <v>1397.371582</v>
      </c>
      <c r="J994">
        <v>1377.5417480000001</v>
      </c>
      <c r="K994">
        <v>0</v>
      </c>
      <c r="L994">
        <v>2400</v>
      </c>
      <c r="M994">
        <v>2400</v>
      </c>
      <c r="N994">
        <v>0</v>
      </c>
    </row>
    <row r="995" spans="1:14" x14ac:dyDescent="0.25">
      <c r="A995">
        <v>581.55586900000003</v>
      </c>
      <c r="B995" s="1">
        <f>DATE(2011,12,3) + TIME(13,20,27)</f>
        <v>40880.555868055555</v>
      </c>
      <c r="C995">
        <v>80</v>
      </c>
      <c r="D995">
        <v>75.628723144999995</v>
      </c>
      <c r="E995">
        <v>50</v>
      </c>
      <c r="F995">
        <v>49.961738586000003</v>
      </c>
      <c r="G995">
        <v>1300.6599120999999</v>
      </c>
      <c r="H995">
        <v>1288.1219481999999</v>
      </c>
      <c r="I995">
        <v>1397.3001709</v>
      </c>
      <c r="J995">
        <v>1377.4788818</v>
      </c>
      <c r="K995">
        <v>0</v>
      </c>
      <c r="L995">
        <v>2400</v>
      </c>
      <c r="M995">
        <v>2400</v>
      </c>
      <c r="N995">
        <v>0</v>
      </c>
    </row>
    <row r="996" spans="1:14" x14ac:dyDescent="0.25">
      <c r="A996">
        <v>582.88537699999995</v>
      </c>
      <c r="B996" s="1">
        <f>DATE(2011,12,4) + TIME(21,14,56)</f>
        <v>40881.885370370372</v>
      </c>
      <c r="C996">
        <v>80</v>
      </c>
      <c r="D996">
        <v>75.490188599000007</v>
      </c>
      <c r="E996">
        <v>50</v>
      </c>
      <c r="F996">
        <v>49.961784363</v>
      </c>
      <c r="G996">
        <v>1300.5869141000001</v>
      </c>
      <c r="H996">
        <v>1288.0351562000001</v>
      </c>
      <c r="I996">
        <v>1397.2276611</v>
      </c>
      <c r="J996">
        <v>1377.4149170000001</v>
      </c>
      <c r="K996">
        <v>0</v>
      </c>
      <c r="L996">
        <v>2400</v>
      </c>
      <c r="M996">
        <v>2400</v>
      </c>
      <c r="N996">
        <v>0</v>
      </c>
    </row>
    <row r="997" spans="1:14" x14ac:dyDescent="0.25">
      <c r="A997">
        <v>584.24462500000004</v>
      </c>
      <c r="B997" s="1">
        <f>DATE(2011,12,6) + TIME(5,52,15)</f>
        <v>40883.244618055556</v>
      </c>
      <c r="C997">
        <v>80</v>
      </c>
      <c r="D997">
        <v>75.350654602000006</v>
      </c>
      <c r="E997">
        <v>50</v>
      </c>
      <c r="F997">
        <v>49.961830139</v>
      </c>
      <c r="G997">
        <v>1300.5118408000001</v>
      </c>
      <c r="H997">
        <v>1287.9454346</v>
      </c>
      <c r="I997">
        <v>1397.1569824000001</v>
      </c>
      <c r="J997">
        <v>1377.3526611</v>
      </c>
      <c r="K997">
        <v>0</v>
      </c>
      <c r="L997">
        <v>2400</v>
      </c>
      <c r="M997">
        <v>2400</v>
      </c>
      <c r="N997">
        <v>0</v>
      </c>
    </row>
    <row r="998" spans="1:14" x14ac:dyDescent="0.25">
      <c r="A998">
        <v>585.64713400000005</v>
      </c>
      <c r="B998" s="1">
        <f>DATE(2011,12,7) + TIME(15,31,52)</f>
        <v>40884.647129629629</v>
      </c>
      <c r="C998">
        <v>80</v>
      </c>
      <c r="D998">
        <v>75.209548949999999</v>
      </c>
      <c r="E998">
        <v>50</v>
      </c>
      <c r="F998">
        <v>49.96187973</v>
      </c>
      <c r="G998">
        <v>1300.4338379000001</v>
      </c>
      <c r="H998">
        <v>1287.8519286999999</v>
      </c>
      <c r="I998">
        <v>1397.0874022999999</v>
      </c>
      <c r="J998">
        <v>1377.2913818</v>
      </c>
      <c r="K998">
        <v>0</v>
      </c>
      <c r="L998">
        <v>2400</v>
      </c>
      <c r="M998">
        <v>2400</v>
      </c>
      <c r="N998">
        <v>0</v>
      </c>
    </row>
    <row r="999" spans="1:14" x14ac:dyDescent="0.25">
      <c r="A999">
        <v>587.10782900000004</v>
      </c>
      <c r="B999" s="1">
        <f>DATE(2011,12,9) + TIME(2,35,16)</f>
        <v>40886.107824074075</v>
      </c>
      <c r="C999">
        <v>80</v>
      </c>
      <c r="D999">
        <v>75.065864563000005</v>
      </c>
      <c r="E999">
        <v>50</v>
      </c>
      <c r="F999">
        <v>49.961933135999999</v>
      </c>
      <c r="G999">
        <v>1300.3519286999999</v>
      </c>
      <c r="H999">
        <v>1287.7532959</v>
      </c>
      <c r="I999">
        <v>1397.0183105000001</v>
      </c>
      <c r="J999">
        <v>1377.2305908000001</v>
      </c>
      <c r="K999">
        <v>0</v>
      </c>
      <c r="L999">
        <v>2400</v>
      </c>
      <c r="M999">
        <v>2400</v>
      </c>
      <c r="N999">
        <v>0</v>
      </c>
    </row>
    <row r="1000" spans="1:14" x14ac:dyDescent="0.25">
      <c r="A1000">
        <v>588.64407000000006</v>
      </c>
      <c r="B1000" s="1">
        <f>DATE(2011,12,10) + TIME(15,27,27)</f>
        <v>40887.644062500003</v>
      </c>
      <c r="C1000">
        <v>80</v>
      </c>
      <c r="D1000">
        <v>74.918281554999993</v>
      </c>
      <c r="E1000">
        <v>50</v>
      </c>
      <c r="F1000">
        <v>49.961986541999998</v>
      </c>
      <c r="G1000">
        <v>1300.2652588000001</v>
      </c>
      <c r="H1000">
        <v>1287.6484375</v>
      </c>
      <c r="I1000">
        <v>1396.9489745999999</v>
      </c>
      <c r="J1000">
        <v>1377.1694336</v>
      </c>
      <c r="K1000">
        <v>0</v>
      </c>
      <c r="L1000">
        <v>2400</v>
      </c>
      <c r="M1000">
        <v>2400</v>
      </c>
      <c r="N1000">
        <v>0</v>
      </c>
    </row>
    <row r="1001" spans="1:14" x14ac:dyDescent="0.25">
      <c r="A1001">
        <v>590.21099500000003</v>
      </c>
      <c r="B1001" s="1">
        <f>DATE(2011,12,12) + TIME(5,3,49)</f>
        <v>40889.2109837963</v>
      </c>
      <c r="C1001">
        <v>80</v>
      </c>
      <c r="D1001">
        <v>74.767463684000006</v>
      </c>
      <c r="E1001">
        <v>50</v>
      </c>
      <c r="F1001">
        <v>49.962043762</v>
      </c>
      <c r="G1001">
        <v>1300.1722411999999</v>
      </c>
      <c r="H1001">
        <v>1287.5358887</v>
      </c>
      <c r="I1001">
        <v>1396.8786620999999</v>
      </c>
      <c r="J1001">
        <v>1377.1075439000001</v>
      </c>
      <c r="K1001">
        <v>0</v>
      </c>
      <c r="L1001">
        <v>2400</v>
      </c>
      <c r="M1001">
        <v>2400</v>
      </c>
      <c r="N1001">
        <v>0</v>
      </c>
    </row>
    <row r="1002" spans="1:14" x14ac:dyDescent="0.25">
      <c r="A1002">
        <v>591.80580899999995</v>
      </c>
      <c r="B1002" s="1">
        <f>DATE(2011,12,13) + TIME(19,20,21)</f>
        <v>40890.805798611109</v>
      </c>
      <c r="C1002">
        <v>80</v>
      </c>
      <c r="D1002">
        <v>74.615089416999993</v>
      </c>
      <c r="E1002">
        <v>50</v>
      </c>
      <c r="F1002">
        <v>49.962100982999999</v>
      </c>
      <c r="G1002">
        <v>1300.0755615</v>
      </c>
      <c r="H1002">
        <v>1287.4180908000001</v>
      </c>
      <c r="I1002">
        <v>1396.8094481999999</v>
      </c>
      <c r="J1002">
        <v>1377.0467529</v>
      </c>
      <c r="K1002">
        <v>0</v>
      </c>
      <c r="L1002">
        <v>2400</v>
      </c>
      <c r="M1002">
        <v>2400</v>
      </c>
      <c r="N1002">
        <v>0</v>
      </c>
    </row>
    <row r="1003" spans="1:14" x14ac:dyDescent="0.25">
      <c r="A1003">
        <v>593.42893700000002</v>
      </c>
      <c r="B1003" s="1">
        <f>DATE(2011,12,15) + TIME(10,17,40)</f>
        <v>40892.428935185184</v>
      </c>
      <c r="C1003">
        <v>80</v>
      </c>
      <c r="D1003">
        <v>74.461822510000005</v>
      </c>
      <c r="E1003">
        <v>50</v>
      </c>
      <c r="F1003">
        <v>49.962158203000001</v>
      </c>
      <c r="G1003">
        <v>1299.9750977000001</v>
      </c>
      <c r="H1003">
        <v>1287.2951660000001</v>
      </c>
      <c r="I1003">
        <v>1396.7416992000001</v>
      </c>
      <c r="J1003">
        <v>1376.9870605000001</v>
      </c>
      <c r="K1003">
        <v>0</v>
      </c>
      <c r="L1003">
        <v>2400</v>
      </c>
      <c r="M1003">
        <v>2400</v>
      </c>
      <c r="N1003">
        <v>0</v>
      </c>
    </row>
    <row r="1004" spans="1:14" x14ac:dyDescent="0.25">
      <c r="A1004">
        <v>595.09694400000001</v>
      </c>
      <c r="B1004" s="1">
        <f>DATE(2011,12,17) + TIME(2,19,35)</f>
        <v>40894.096932870372</v>
      </c>
      <c r="C1004">
        <v>80</v>
      </c>
      <c r="D1004">
        <v>74.307373046999999</v>
      </c>
      <c r="E1004">
        <v>50</v>
      </c>
      <c r="F1004">
        <v>49.962219238000003</v>
      </c>
      <c r="G1004">
        <v>1299.8707274999999</v>
      </c>
      <c r="H1004">
        <v>1287.166626</v>
      </c>
      <c r="I1004">
        <v>1396.6751709</v>
      </c>
      <c r="J1004">
        <v>1376.9284668</v>
      </c>
      <c r="K1004">
        <v>0</v>
      </c>
      <c r="L1004">
        <v>2400</v>
      </c>
      <c r="M1004">
        <v>2400</v>
      </c>
      <c r="N1004">
        <v>0</v>
      </c>
    </row>
    <row r="1005" spans="1:14" x14ac:dyDescent="0.25">
      <c r="A1005">
        <v>596.825154</v>
      </c>
      <c r="B1005" s="1">
        <f>DATE(2011,12,18) + TIME(19,48,13)</f>
        <v>40895.825150462966</v>
      </c>
      <c r="C1005">
        <v>80</v>
      </c>
      <c r="D1005">
        <v>74.150741577000005</v>
      </c>
      <c r="E1005">
        <v>50</v>
      </c>
      <c r="F1005">
        <v>49.962284087999997</v>
      </c>
      <c r="G1005">
        <v>1299.7612305</v>
      </c>
      <c r="H1005">
        <v>1287.0313721</v>
      </c>
      <c r="I1005">
        <v>1396.6091309000001</v>
      </c>
      <c r="J1005">
        <v>1376.8702393000001</v>
      </c>
      <c r="K1005">
        <v>0</v>
      </c>
      <c r="L1005">
        <v>2400</v>
      </c>
      <c r="M1005">
        <v>2400</v>
      </c>
      <c r="N1005">
        <v>0</v>
      </c>
    </row>
    <row r="1006" spans="1:14" x14ac:dyDescent="0.25">
      <c r="A1006">
        <v>598.61893099999998</v>
      </c>
      <c r="B1006" s="1">
        <f>DATE(2011,12,20) + TIME(14,51,15)</f>
        <v>40897.618923611109</v>
      </c>
      <c r="C1006">
        <v>80</v>
      </c>
      <c r="D1006">
        <v>73.991004943999997</v>
      </c>
      <c r="E1006">
        <v>50</v>
      </c>
      <c r="F1006">
        <v>49.962348937999998</v>
      </c>
      <c r="G1006">
        <v>1299.6452637</v>
      </c>
      <c r="H1006">
        <v>1286.8874512</v>
      </c>
      <c r="I1006">
        <v>1396.5430908000001</v>
      </c>
      <c r="J1006">
        <v>1376.8121338000001</v>
      </c>
      <c r="K1006">
        <v>0</v>
      </c>
      <c r="L1006">
        <v>2400</v>
      </c>
      <c r="M1006">
        <v>2400</v>
      </c>
      <c r="N1006">
        <v>0</v>
      </c>
    </row>
    <row r="1007" spans="1:14" x14ac:dyDescent="0.25">
      <c r="A1007">
        <v>600.43141900000001</v>
      </c>
      <c r="B1007" s="1">
        <f>DATE(2011,12,22) + TIME(10,21,14)</f>
        <v>40899.43141203704</v>
      </c>
      <c r="C1007">
        <v>80</v>
      </c>
      <c r="D1007">
        <v>73.829116821</v>
      </c>
      <c r="E1007">
        <v>50</v>
      </c>
      <c r="F1007">
        <v>49.962413787999999</v>
      </c>
      <c r="G1007">
        <v>1299.5223389</v>
      </c>
      <c r="H1007">
        <v>1286.734375</v>
      </c>
      <c r="I1007">
        <v>1396.4768065999999</v>
      </c>
      <c r="J1007">
        <v>1376.7537841999999</v>
      </c>
      <c r="K1007">
        <v>0</v>
      </c>
      <c r="L1007">
        <v>2400</v>
      </c>
      <c r="M1007">
        <v>2400</v>
      </c>
      <c r="N1007">
        <v>0</v>
      </c>
    </row>
    <row r="1008" spans="1:14" x14ac:dyDescent="0.25">
      <c r="A1008">
        <v>602.26079700000003</v>
      </c>
      <c r="B1008" s="1">
        <f>DATE(2011,12,24) + TIME(6,15,32)</f>
        <v>40901.260787037034</v>
      </c>
      <c r="C1008">
        <v>80</v>
      </c>
      <c r="D1008">
        <v>73.666877747000001</v>
      </c>
      <c r="E1008">
        <v>50</v>
      </c>
      <c r="F1008">
        <v>49.962482452000003</v>
      </c>
      <c r="G1008">
        <v>1299.3950195</v>
      </c>
      <c r="H1008">
        <v>1286.5750731999999</v>
      </c>
      <c r="I1008">
        <v>1396.4122314000001</v>
      </c>
      <c r="J1008">
        <v>1376.6967772999999</v>
      </c>
      <c r="K1008">
        <v>0</v>
      </c>
      <c r="L1008">
        <v>2400</v>
      </c>
      <c r="M1008">
        <v>2400</v>
      </c>
      <c r="N1008">
        <v>0</v>
      </c>
    </row>
    <row r="1009" spans="1:14" x14ac:dyDescent="0.25">
      <c r="A1009">
        <v>604.12409300000002</v>
      </c>
      <c r="B1009" s="1">
        <f>DATE(2011,12,26) + TIME(2,58,41)</f>
        <v>40903.124085648145</v>
      </c>
      <c r="C1009">
        <v>80</v>
      </c>
      <c r="D1009">
        <v>73.504432678000001</v>
      </c>
      <c r="E1009">
        <v>50</v>
      </c>
      <c r="F1009">
        <v>49.962551116999997</v>
      </c>
      <c r="G1009">
        <v>1299.2635498</v>
      </c>
      <c r="H1009">
        <v>1286.4094238</v>
      </c>
      <c r="I1009">
        <v>1396.3491211</v>
      </c>
      <c r="J1009">
        <v>1376.6411132999999</v>
      </c>
      <c r="K1009">
        <v>0</v>
      </c>
      <c r="L1009">
        <v>2400</v>
      </c>
      <c r="M1009">
        <v>2400</v>
      </c>
      <c r="N1009">
        <v>0</v>
      </c>
    </row>
    <row r="1010" spans="1:14" x14ac:dyDescent="0.25">
      <c r="A1010">
        <v>606.03880700000002</v>
      </c>
      <c r="B1010" s="1">
        <f>DATE(2011,12,28) + TIME(0,55,52)</f>
        <v>40905.0387962963</v>
      </c>
      <c r="C1010">
        <v>80</v>
      </c>
      <c r="D1010">
        <v>73.340766907000003</v>
      </c>
      <c r="E1010">
        <v>50</v>
      </c>
      <c r="F1010">
        <v>49.962619781000001</v>
      </c>
      <c r="G1010">
        <v>1299.1264647999999</v>
      </c>
      <c r="H1010">
        <v>1286.2360839999999</v>
      </c>
      <c r="I1010">
        <v>1396.2869873</v>
      </c>
      <c r="J1010">
        <v>1376.5863036999999</v>
      </c>
      <c r="K1010">
        <v>0</v>
      </c>
      <c r="L1010">
        <v>2400</v>
      </c>
      <c r="M1010">
        <v>2400</v>
      </c>
      <c r="N1010">
        <v>0</v>
      </c>
    </row>
    <row r="1011" spans="1:14" x14ac:dyDescent="0.25">
      <c r="A1011">
        <v>608.02401099999997</v>
      </c>
      <c r="B1011" s="1">
        <f>DATE(2011,12,30) + TIME(0,34,34)</f>
        <v>40907.024004629631</v>
      </c>
      <c r="C1011">
        <v>80</v>
      </c>
      <c r="D1011">
        <v>73.174499511999997</v>
      </c>
      <c r="E1011">
        <v>50</v>
      </c>
      <c r="F1011">
        <v>49.962692261000001</v>
      </c>
      <c r="G1011">
        <v>1298.9822998</v>
      </c>
      <c r="H1011">
        <v>1286.0529785000001</v>
      </c>
      <c r="I1011">
        <v>1396.2252197</v>
      </c>
      <c r="J1011">
        <v>1376.5317382999999</v>
      </c>
      <c r="K1011">
        <v>0</v>
      </c>
      <c r="L1011">
        <v>2400</v>
      </c>
      <c r="M1011">
        <v>2400</v>
      </c>
      <c r="N1011">
        <v>0</v>
      </c>
    </row>
    <row r="1012" spans="1:14" x14ac:dyDescent="0.25">
      <c r="A1012">
        <v>610</v>
      </c>
      <c r="B1012" s="1">
        <f>DATE(2012,1,1) + TIME(0,0,0)</f>
        <v>40909</v>
      </c>
      <c r="C1012">
        <v>80</v>
      </c>
      <c r="D1012">
        <v>73.006591796999999</v>
      </c>
      <c r="E1012">
        <v>50</v>
      </c>
      <c r="F1012">
        <v>49.962764739999997</v>
      </c>
      <c r="G1012">
        <v>1298.8294678</v>
      </c>
      <c r="H1012">
        <v>1285.8582764</v>
      </c>
      <c r="I1012">
        <v>1396.1630858999999</v>
      </c>
      <c r="J1012">
        <v>1376.4769286999999</v>
      </c>
      <c r="K1012">
        <v>0</v>
      </c>
      <c r="L1012">
        <v>2400</v>
      </c>
      <c r="M1012">
        <v>2400</v>
      </c>
      <c r="N1012">
        <v>0</v>
      </c>
    </row>
    <row r="1013" spans="1:14" x14ac:dyDescent="0.25">
      <c r="A1013">
        <v>612.05301999999995</v>
      </c>
      <c r="B1013" s="1">
        <f>DATE(2012,1,3) + TIME(1,16,20)</f>
        <v>40911.05300925926</v>
      </c>
      <c r="C1013">
        <v>80</v>
      </c>
      <c r="D1013">
        <v>72.837715149000005</v>
      </c>
      <c r="E1013">
        <v>50</v>
      </c>
      <c r="F1013">
        <v>49.962841034</v>
      </c>
      <c r="G1013">
        <v>1298.6732178</v>
      </c>
      <c r="H1013">
        <v>1285.6577147999999</v>
      </c>
      <c r="I1013">
        <v>1396.1032714999999</v>
      </c>
      <c r="J1013">
        <v>1376.4241943</v>
      </c>
      <c r="K1013">
        <v>0</v>
      </c>
      <c r="L1013">
        <v>2400</v>
      </c>
      <c r="M1013">
        <v>2400</v>
      </c>
      <c r="N1013">
        <v>0</v>
      </c>
    </row>
    <row r="1014" spans="1:14" x14ac:dyDescent="0.25">
      <c r="A1014">
        <v>614.13764800000001</v>
      </c>
      <c r="B1014" s="1">
        <f>DATE(2012,1,5) + TIME(3,18,12)</f>
        <v>40913.137638888889</v>
      </c>
      <c r="C1014">
        <v>80</v>
      </c>
      <c r="D1014">
        <v>72.666275024000001</v>
      </c>
      <c r="E1014">
        <v>50</v>
      </c>
      <c r="F1014">
        <v>49.962917328000003</v>
      </c>
      <c r="G1014">
        <v>1298.5073242000001</v>
      </c>
      <c r="H1014">
        <v>1285.4443358999999</v>
      </c>
      <c r="I1014">
        <v>1396.0429687999999</v>
      </c>
      <c r="J1014">
        <v>1376.3708495999999</v>
      </c>
      <c r="K1014">
        <v>0</v>
      </c>
      <c r="L1014">
        <v>2400</v>
      </c>
      <c r="M1014">
        <v>2400</v>
      </c>
      <c r="N1014">
        <v>0</v>
      </c>
    </row>
    <row r="1015" spans="1:14" x14ac:dyDescent="0.25">
      <c r="A1015">
        <v>616.26641400000005</v>
      </c>
      <c r="B1015" s="1">
        <f>DATE(2012,1,7) + TIME(6,23,38)</f>
        <v>40915.266412037039</v>
      </c>
      <c r="C1015">
        <v>80</v>
      </c>
      <c r="D1015">
        <v>72.492927550999994</v>
      </c>
      <c r="E1015">
        <v>50</v>
      </c>
      <c r="F1015">
        <v>49.962997436999999</v>
      </c>
      <c r="G1015">
        <v>1298.3345947</v>
      </c>
      <c r="H1015">
        <v>1285.2209473</v>
      </c>
      <c r="I1015">
        <v>1395.9837646000001</v>
      </c>
      <c r="J1015">
        <v>1376.3184814000001</v>
      </c>
      <c r="K1015">
        <v>0</v>
      </c>
      <c r="L1015">
        <v>2400</v>
      </c>
      <c r="M1015">
        <v>2400</v>
      </c>
      <c r="N1015">
        <v>0</v>
      </c>
    </row>
    <row r="1016" spans="1:14" x14ac:dyDescent="0.25">
      <c r="A1016">
        <v>618.43170399999997</v>
      </c>
      <c r="B1016" s="1">
        <f>DATE(2012,1,9) + TIME(10,21,39)</f>
        <v>40917.431701388887</v>
      </c>
      <c r="C1016">
        <v>80</v>
      </c>
      <c r="D1016">
        <v>72.317504882999998</v>
      </c>
      <c r="E1016">
        <v>50</v>
      </c>
      <c r="F1016">
        <v>49.963077544999997</v>
      </c>
      <c r="G1016">
        <v>1298.1539307</v>
      </c>
      <c r="H1016">
        <v>1284.9862060999999</v>
      </c>
      <c r="I1016">
        <v>1395.9249268000001</v>
      </c>
      <c r="J1016">
        <v>1376.2664795000001</v>
      </c>
      <c r="K1016">
        <v>0</v>
      </c>
      <c r="L1016">
        <v>2400</v>
      </c>
      <c r="M1016">
        <v>2400</v>
      </c>
      <c r="N1016">
        <v>0</v>
      </c>
    </row>
    <row r="1017" spans="1:14" x14ac:dyDescent="0.25">
      <c r="A1017">
        <v>620.62905499999999</v>
      </c>
      <c r="B1017" s="1">
        <f>DATE(2012,1,11) + TIME(15,5,50)</f>
        <v>40919.629050925927</v>
      </c>
      <c r="C1017">
        <v>80</v>
      </c>
      <c r="D1017">
        <v>72.140190125000004</v>
      </c>
      <c r="E1017">
        <v>50</v>
      </c>
      <c r="F1017">
        <v>49.963157654</v>
      </c>
      <c r="G1017">
        <v>1297.9655762</v>
      </c>
      <c r="H1017">
        <v>1284.7406006000001</v>
      </c>
      <c r="I1017">
        <v>1395.8669434000001</v>
      </c>
      <c r="J1017">
        <v>1376.2150879000001</v>
      </c>
      <c r="K1017">
        <v>0</v>
      </c>
      <c r="L1017">
        <v>2400</v>
      </c>
      <c r="M1017">
        <v>2400</v>
      </c>
      <c r="N1017">
        <v>0</v>
      </c>
    </row>
    <row r="1018" spans="1:14" x14ac:dyDescent="0.25">
      <c r="A1018">
        <v>622.85349599999995</v>
      </c>
      <c r="B1018" s="1">
        <f>DATE(2012,1,13) + TIME(20,29,2)</f>
        <v>40921.853495370371</v>
      </c>
      <c r="C1018">
        <v>80</v>
      </c>
      <c r="D1018">
        <v>71.961143493999998</v>
      </c>
      <c r="E1018">
        <v>50</v>
      </c>
      <c r="F1018">
        <v>49.963237761999999</v>
      </c>
      <c r="G1018">
        <v>1297.7697754000001</v>
      </c>
      <c r="H1018">
        <v>1284.4840088000001</v>
      </c>
      <c r="I1018">
        <v>1395.8098144999999</v>
      </c>
      <c r="J1018">
        <v>1376.1645507999999</v>
      </c>
      <c r="K1018">
        <v>0</v>
      </c>
      <c r="L1018">
        <v>2400</v>
      </c>
      <c r="M1018">
        <v>2400</v>
      </c>
      <c r="N1018">
        <v>0</v>
      </c>
    </row>
    <row r="1019" spans="1:14" x14ac:dyDescent="0.25">
      <c r="A1019">
        <v>625.10077999999999</v>
      </c>
      <c r="B1019" s="1">
        <f>DATE(2012,1,16) + TIME(2,25,7)</f>
        <v>40924.100775462961</v>
      </c>
      <c r="C1019">
        <v>80</v>
      </c>
      <c r="D1019">
        <v>71.780494689999998</v>
      </c>
      <c r="E1019">
        <v>50</v>
      </c>
      <c r="F1019">
        <v>49.963317871000001</v>
      </c>
      <c r="G1019">
        <v>1297.5666504000001</v>
      </c>
      <c r="H1019">
        <v>1284.2167969</v>
      </c>
      <c r="I1019">
        <v>1395.7536620999999</v>
      </c>
      <c r="J1019">
        <v>1376.1147461</v>
      </c>
      <c r="K1019">
        <v>0</v>
      </c>
      <c r="L1019">
        <v>2400</v>
      </c>
      <c r="M1019">
        <v>2400</v>
      </c>
      <c r="N1019">
        <v>0</v>
      </c>
    </row>
    <row r="1020" spans="1:14" x14ac:dyDescent="0.25">
      <c r="A1020">
        <v>627.36978799999997</v>
      </c>
      <c r="B1020" s="1">
        <f>DATE(2012,1,18) + TIME(8,52,29)</f>
        <v>40926.369780092595</v>
      </c>
      <c r="C1020">
        <v>80</v>
      </c>
      <c r="D1020">
        <v>71.598251343000001</v>
      </c>
      <c r="E1020">
        <v>50</v>
      </c>
      <c r="F1020">
        <v>49.963401793999999</v>
      </c>
      <c r="G1020">
        <v>1297.3565673999999</v>
      </c>
      <c r="H1020">
        <v>1283.9392089999999</v>
      </c>
      <c r="I1020">
        <v>1395.6984863</v>
      </c>
      <c r="J1020">
        <v>1376.0657959</v>
      </c>
      <c r="K1020">
        <v>0</v>
      </c>
      <c r="L1020">
        <v>2400</v>
      </c>
      <c r="M1020">
        <v>2400</v>
      </c>
      <c r="N1020">
        <v>0</v>
      </c>
    </row>
    <row r="1021" spans="1:14" x14ac:dyDescent="0.25">
      <c r="A1021">
        <v>629.66428699999994</v>
      </c>
      <c r="B1021" s="1">
        <f>DATE(2012,1,20) + TIME(15,56,34)</f>
        <v>40928.664282407408</v>
      </c>
      <c r="C1021">
        <v>80</v>
      </c>
      <c r="D1021">
        <v>71.414138793999996</v>
      </c>
      <c r="E1021">
        <v>50</v>
      </c>
      <c r="F1021">
        <v>49.963485718000001</v>
      </c>
      <c r="G1021">
        <v>1297.1394043</v>
      </c>
      <c r="H1021">
        <v>1283.651001</v>
      </c>
      <c r="I1021">
        <v>1395.6442870999999</v>
      </c>
      <c r="J1021">
        <v>1376.0177002</v>
      </c>
      <c r="K1021">
        <v>0</v>
      </c>
      <c r="L1021">
        <v>2400</v>
      </c>
      <c r="M1021">
        <v>2400</v>
      </c>
      <c r="N1021">
        <v>0</v>
      </c>
    </row>
    <row r="1022" spans="1:14" x14ac:dyDescent="0.25">
      <c r="A1022">
        <v>631.98862699999995</v>
      </c>
      <c r="B1022" s="1">
        <f>DATE(2012,1,22) + TIME(23,43,37)</f>
        <v>40930.988622685189</v>
      </c>
      <c r="C1022">
        <v>80</v>
      </c>
      <c r="D1022">
        <v>71.227615356000001</v>
      </c>
      <c r="E1022">
        <v>50</v>
      </c>
      <c r="F1022">
        <v>49.963569640999999</v>
      </c>
      <c r="G1022">
        <v>1296.9147949000001</v>
      </c>
      <c r="H1022">
        <v>1283.3518065999999</v>
      </c>
      <c r="I1022">
        <v>1395.5909423999999</v>
      </c>
      <c r="J1022">
        <v>1375.9703368999999</v>
      </c>
      <c r="K1022">
        <v>0</v>
      </c>
      <c r="L1022">
        <v>2400</v>
      </c>
      <c r="M1022">
        <v>2400</v>
      </c>
      <c r="N1022">
        <v>0</v>
      </c>
    </row>
    <row r="1023" spans="1:14" x14ac:dyDescent="0.25">
      <c r="A1023">
        <v>634.33972100000005</v>
      </c>
      <c r="B1023" s="1">
        <f>DATE(2012,1,25) + TIME(8,9,11)</f>
        <v>40933.33971064815</v>
      </c>
      <c r="C1023">
        <v>80</v>
      </c>
      <c r="D1023">
        <v>71.038154602000006</v>
      </c>
      <c r="E1023">
        <v>50</v>
      </c>
      <c r="F1023">
        <v>49.963653563999998</v>
      </c>
      <c r="G1023">
        <v>1296.6821289</v>
      </c>
      <c r="H1023">
        <v>1283.0406493999999</v>
      </c>
      <c r="I1023">
        <v>1395.5382079999999</v>
      </c>
      <c r="J1023">
        <v>1375.9234618999999</v>
      </c>
      <c r="K1023">
        <v>0</v>
      </c>
      <c r="L1023">
        <v>2400</v>
      </c>
      <c r="M1023">
        <v>2400</v>
      </c>
      <c r="N1023">
        <v>0</v>
      </c>
    </row>
    <row r="1024" spans="1:14" x14ac:dyDescent="0.25">
      <c r="A1024">
        <v>636.71837300000004</v>
      </c>
      <c r="B1024" s="1">
        <f>DATE(2012,1,27) + TIME(17,14,27)</f>
        <v>40935.718368055554</v>
      </c>
      <c r="C1024">
        <v>80</v>
      </c>
      <c r="D1024">
        <v>70.845420837000006</v>
      </c>
      <c r="E1024">
        <v>50</v>
      </c>
      <c r="F1024">
        <v>49.963741302000003</v>
      </c>
      <c r="G1024">
        <v>1296.4416504000001</v>
      </c>
      <c r="H1024">
        <v>1282.7177733999999</v>
      </c>
      <c r="I1024">
        <v>1395.4863281</v>
      </c>
      <c r="J1024">
        <v>1375.8773193</v>
      </c>
      <c r="K1024">
        <v>0</v>
      </c>
      <c r="L1024">
        <v>2400</v>
      </c>
      <c r="M1024">
        <v>2400</v>
      </c>
      <c r="N1024">
        <v>0</v>
      </c>
    </row>
    <row r="1025" spans="1:14" x14ac:dyDescent="0.25">
      <c r="A1025">
        <v>639.12011600000005</v>
      </c>
      <c r="B1025" s="1">
        <f>DATE(2012,1,30) + TIME(2,52,57)</f>
        <v>40938.120104166665</v>
      </c>
      <c r="C1025">
        <v>80</v>
      </c>
      <c r="D1025">
        <v>70.649078368999994</v>
      </c>
      <c r="E1025">
        <v>50</v>
      </c>
      <c r="F1025">
        <v>49.963825225999997</v>
      </c>
      <c r="G1025">
        <v>1296.1929932</v>
      </c>
      <c r="H1025">
        <v>1282.3826904</v>
      </c>
      <c r="I1025">
        <v>1395.4351807</v>
      </c>
      <c r="J1025">
        <v>1375.8317870999999</v>
      </c>
      <c r="K1025">
        <v>0</v>
      </c>
      <c r="L1025">
        <v>2400</v>
      </c>
      <c r="M1025">
        <v>2400</v>
      </c>
      <c r="N1025">
        <v>0</v>
      </c>
    </row>
    <row r="1026" spans="1:14" x14ac:dyDescent="0.25">
      <c r="A1026">
        <v>641</v>
      </c>
      <c r="B1026" s="1">
        <f>DATE(2012,2,1) + TIME(0,0,0)</f>
        <v>40940</v>
      </c>
      <c r="C1026">
        <v>80</v>
      </c>
      <c r="D1026">
        <v>70.462821959999999</v>
      </c>
      <c r="E1026">
        <v>50</v>
      </c>
      <c r="F1026">
        <v>49.963890075999998</v>
      </c>
      <c r="G1026">
        <v>1295.9384766000001</v>
      </c>
      <c r="H1026">
        <v>1282.041626</v>
      </c>
      <c r="I1026">
        <v>1395.3842772999999</v>
      </c>
      <c r="J1026">
        <v>1375.786499</v>
      </c>
      <c r="K1026">
        <v>0</v>
      </c>
      <c r="L1026">
        <v>2400</v>
      </c>
      <c r="M1026">
        <v>2400</v>
      </c>
      <c r="N1026">
        <v>0</v>
      </c>
    </row>
    <row r="1027" spans="1:14" x14ac:dyDescent="0.25">
      <c r="A1027">
        <v>643.41904399999999</v>
      </c>
      <c r="B1027" s="1">
        <f>DATE(2012,2,3) + TIME(10,3,25)</f>
        <v>40942.419039351851</v>
      </c>
      <c r="C1027">
        <v>80</v>
      </c>
      <c r="D1027">
        <v>70.282707213999998</v>
      </c>
      <c r="E1027">
        <v>50</v>
      </c>
      <c r="F1027">
        <v>49.963977814000003</v>
      </c>
      <c r="G1027">
        <v>1295.7265625</v>
      </c>
      <c r="H1027">
        <v>1281.7478027</v>
      </c>
      <c r="I1027">
        <v>1395.3459473</v>
      </c>
      <c r="J1027">
        <v>1375.7523193</v>
      </c>
      <c r="K1027">
        <v>0</v>
      </c>
      <c r="L1027">
        <v>2400</v>
      </c>
      <c r="M1027">
        <v>2400</v>
      </c>
      <c r="N1027">
        <v>0</v>
      </c>
    </row>
    <row r="1028" spans="1:14" x14ac:dyDescent="0.25">
      <c r="A1028">
        <v>645.88120200000003</v>
      </c>
      <c r="B1028" s="1">
        <f>DATE(2012,2,5) + TIME(21,8,55)</f>
        <v>40944.881192129629</v>
      </c>
      <c r="C1028">
        <v>80</v>
      </c>
      <c r="D1028">
        <v>70.081748962000006</v>
      </c>
      <c r="E1028">
        <v>50</v>
      </c>
      <c r="F1028">
        <v>49.964065552000001</v>
      </c>
      <c r="G1028">
        <v>1295.4626464999999</v>
      </c>
      <c r="H1028">
        <v>1281.3903809000001</v>
      </c>
      <c r="I1028">
        <v>1395.2972411999999</v>
      </c>
      <c r="J1028">
        <v>1375.7088623</v>
      </c>
      <c r="K1028">
        <v>0</v>
      </c>
      <c r="L1028">
        <v>2400</v>
      </c>
      <c r="M1028">
        <v>2400</v>
      </c>
      <c r="N1028">
        <v>0</v>
      </c>
    </row>
    <row r="1029" spans="1:14" x14ac:dyDescent="0.25">
      <c r="A1029">
        <v>648.37346400000001</v>
      </c>
      <c r="B1029" s="1">
        <f>DATE(2012,2,8) + TIME(8,57,47)</f>
        <v>40947.373460648145</v>
      </c>
      <c r="C1029">
        <v>80</v>
      </c>
      <c r="D1029">
        <v>69.870399474999999</v>
      </c>
      <c r="E1029">
        <v>50</v>
      </c>
      <c r="F1029">
        <v>49.964153289999999</v>
      </c>
      <c r="G1029">
        <v>1295.1860352000001</v>
      </c>
      <c r="H1029">
        <v>1281.0130615</v>
      </c>
      <c r="I1029">
        <v>1395.2486572</v>
      </c>
      <c r="J1029">
        <v>1375.6655272999999</v>
      </c>
      <c r="K1029">
        <v>0</v>
      </c>
      <c r="L1029">
        <v>2400</v>
      </c>
      <c r="M1029">
        <v>2400</v>
      </c>
      <c r="N1029">
        <v>0</v>
      </c>
    </row>
    <row r="1030" spans="1:14" x14ac:dyDescent="0.25">
      <c r="A1030">
        <v>650.89180399999998</v>
      </c>
      <c r="B1030" s="1">
        <f>DATE(2012,2,10) + TIME(21,24,11)</f>
        <v>40949.891793981478</v>
      </c>
      <c r="C1030">
        <v>80</v>
      </c>
      <c r="D1030">
        <v>69.651535034000005</v>
      </c>
      <c r="E1030">
        <v>50</v>
      </c>
      <c r="F1030">
        <v>49.964241028000004</v>
      </c>
      <c r="G1030">
        <v>1294.9000243999999</v>
      </c>
      <c r="H1030">
        <v>1280.6208495999999</v>
      </c>
      <c r="I1030">
        <v>1395.2005615</v>
      </c>
      <c r="J1030">
        <v>1375.6225586</v>
      </c>
      <c r="K1030">
        <v>0</v>
      </c>
      <c r="L1030">
        <v>2400</v>
      </c>
      <c r="M1030">
        <v>2400</v>
      </c>
      <c r="N1030">
        <v>0</v>
      </c>
    </row>
    <row r="1031" spans="1:14" x14ac:dyDescent="0.25">
      <c r="A1031">
        <v>653.44007199999999</v>
      </c>
      <c r="B1031" s="1">
        <f>DATE(2012,2,13) + TIME(10,33,42)</f>
        <v>40952.440069444441</v>
      </c>
      <c r="C1031">
        <v>80</v>
      </c>
      <c r="D1031">
        <v>69.425613403</v>
      </c>
      <c r="E1031">
        <v>50</v>
      </c>
      <c r="F1031">
        <v>49.964332581000001</v>
      </c>
      <c r="G1031">
        <v>1294.6053466999999</v>
      </c>
      <c r="H1031">
        <v>1280.2152100000001</v>
      </c>
      <c r="I1031">
        <v>1395.1529541</v>
      </c>
      <c r="J1031">
        <v>1375.5799560999999</v>
      </c>
      <c r="K1031">
        <v>0</v>
      </c>
      <c r="L1031">
        <v>2400</v>
      </c>
      <c r="M1031">
        <v>2400</v>
      </c>
      <c r="N1031">
        <v>0</v>
      </c>
    </row>
    <row r="1032" spans="1:14" x14ac:dyDescent="0.25">
      <c r="A1032">
        <v>656.02280599999995</v>
      </c>
      <c r="B1032" s="1">
        <f>DATE(2012,2,16) + TIME(0,32,50)</f>
        <v>40955.022800925923</v>
      </c>
      <c r="C1032">
        <v>80</v>
      </c>
      <c r="D1032">
        <v>69.191955566000004</v>
      </c>
      <c r="E1032">
        <v>50</v>
      </c>
      <c r="F1032">
        <v>49.964420318999998</v>
      </c>
      <c r="G1032">
        <v>1294.3018798999999</v>
      </c>
      <c r="H1032">
        <v>1279.7960204999999</v>
      </c>
      <c r="I1032">
        <v>1395.1057129000001</v>
      </c>
      <c r="J1032">
        <v>1375.5377197</v>
      </c>
      <c r="K1032">
        <v>0</v>
      </c>
      <c r="L1032">
        <v>2400</v>
      </c>
      <c r="M1032">
        <v>2400</v>
      </c>
      <c r="N1032">
        <v>0</v>
      </c>
    </row>
    <row r="1033" spans="1:14" x14ac:dyDescent="0.25">
      <c r="A1033">
        <v>658.627792</v>
      </c>
      <c r="B1033" s="1">
        <f>DATE(2012,2,18) + TIME(15,4,1)</f>
        <v>40957.627789351849</v>
      </c>
      <c r="C1033">
        <v>80</v>
      </c>
      <c r="D1033">
        <v>68.949935913000004</v>
      </c>
      <c r="E1033">
        <v>50</v>
      </c>
      <c r="F1033">
        <v>49.964511870999999</v>
      </c>
      <c r="G1033">
        <v>1293.9891356999999</v>
      </c>
      <c r="H1033">
        <v>1279.3626709</v>
      </c>
      <c r="I1033">
        <v>1395.0588379000001</v>
      </c>
      <c r="J1033">
        <v>1375.4957274999999</v>
      </c>
      <c r="K1033">
        <v>0</v>
      </c>
      <c r="L1033">
        <v>2400</v>
      </c>
      <c r="M1033">
        <v>2400</v>
      </c>
      <c r="N1033">
        <v>0</v>
      </c>
    </row>
    <row r="1034" spans="1:14" x14ac:dyDescent="0.25">
      <c r="A1034">
        <v>661.25907900000004</v>
      </c>
      <c r="B1034" s="1">
        <f>DATE(2012,2,21) + TIME(6,13,4)</f>
        <v>40960.259074074071</v>
      </c>
      <c r="C1034">
        <v>80</v>
      </c>
      <c r="D1034">
        <v>68.699378967000001</v>
      </c>
      <c r="E1034">
        <v>50</v>
      </c>
      <c r="F1034">
        <v>49.964603424000003</v>
      </c>
      <c r="G1034">
        <v>1293.668457</v>
      </c>
      <c r="H1034">
        <v>1278.9163818</v>
      </c>
      <c r="I1034">
        <v>1395.0124512</v>
      </c>
      <c r="J1034">
        <v>1375.4542236</v>
      </c>
      <c r="K1034">
        <v>0</v>
      </c>
      <c r="L1034">
        <v>2400</v>
      </c>
      <c r="M1034">
        <v>2400</v>
      </c>
      <c r="N1034">
        <v>0</v>
      </c>
    </row>
    <row r="1035" spans="1:14" x14ac:dyDescent="0.25">
      <c r="A1035">
        <v>663.92075799999998</v>
      </c>
      <c r="B1035" s="1">
        <f>DATE(2012,2,23) + TIME(22,5,53)</f>
        <v>40962.920752314814</v>
      </c>
      <c r="C1035">
        <v>80</v>
      </c>
      <c r="D1035">
        <v>68.439437866000006</v>
      </c>
      <c r="E1035">
        <v>50</v>
      </c>
      <c r="F1035">
        <v>49.964691162000001</v>
      </c>
      <c r="G1035">
        <v>1293.3393555</v>
      </c>
      <c r="H1035">
        <v>1278.4570312000001</v>
      </c>
      <c r="I1035">
        <v>1394.9663086</v>
      </c>
      <c r="J1035">
        <v>1375.4128418</v>
      </c>
      <c r="K1035">
        <v>0</v>
      </c>
      <c r="L1035">
        <v>2400</v>
      </c>
      <c r="M1035">
        <v>2400</v>
      </c>
      <c r="N1035">
        <v>0</v>
      </c>
    </row>
    <row r="1036" spans="1:14" x14ac:dyDescent="0.25">
      <c r="A1036">
        <v>666.61249299999997</v>
      </c>
      <c r="B1036" s="1">
        <f>DATE(2012,2,26) + TIME(14,41,59)</f>
        <v>40965.612488425926</v>
      </c>
      <c r="C1036">
        <v>80</v>
      </c>
      <c r="D1036">
        <v>68.169136046999995</v>
      </c>
      <c r="E1036">
        <v>50</v>
      </c>
      <c r="F1036">
        <v>49.964782714999998</v>
      </c>
      <c r="G1036">
        <v>1293.0015868999999</v>
      </c>
      <c r="H1036">
        <v>1277.9837646000001</v>
      </c>
      <c r="I1036">
        <v>1394.9205322</v>
      </c>
      <c r="J1036">
        <v>1375.3718262</v>
      </c>
      <c r="K1036">
        <v>0</v>
      </c>
      <c r="L1036">
        <v>2400</v>
      </c>
      <c r="M1036">
        <v>2400</v>
      </c>
      <c r="N1036">
        <v>0</v>
      </c>
    </row>
    <row r="1037" spans="1:14" x14ac:dyDescent="0.25">
      <c r="A1037">
        <v>669.33917699999995</v>
      </c>
      <c r="B1037" s="1">
        <f>DATE(2012,2,29) + TIME(8,8,24)</f>
        <v>40968.339166666665</v>
      </c>
      <c r="C1037">
        <v>80</v>
      </c>
      <c r="D1037">
        <v>67.887580872000001</v>
      </c>
      <c r="E1037">
        <v>50</v>
      </c>
      <c r="F1037">
        <v>49.964878081999998</v>
      </c>
      <c r="G1037">
        <v>1292.6551514</v>
      </c>
      <c r="H1037">
        <v>1277.496582</v>
      </c>
      <c r="I1037">
        <v>1394.875</v>
      </c>
      <c r="J1037">
        <v>1375.3308105000001</v>
      </c>
      <c r="K1037">
        <v>0</v>
      </c>
      <c r="L1037">
        <v>2400</v>
      </c>
      <c r="M1037">
        <v>2400</v>
      </c>
      <c r="N1037">
        <v>0</v>
      </c>
    </row>
    <row r="1038" spans="1:14" x14ac:dyDescent="0.25">
      <c r="A1038">
        <v>670</v>
      </c>
      <c r="B1038" s="1">
        <f>DATE(2012,3,1) + TIME(0,0,0)</f>
        <v>40969</v>
      </c>
      <c r="C1038">
        <v>80</v>
      </c>
      <c r="D1038">
        <v>67.715843200999998</v>
      </c>
      <c r="E1038">
        <v>50</v>
      </c>
      <c r="F1038">
        <v>49.964893341</v>
      </c>
      <c r="G1038">
        <v>1292.3193358999999</v>
      </c>
      <c r="H1038">
        <v>1277.0545654</v>
      </c>
      <c r="I1038">
        <v>1394.8284911999999</v>
      </c>
      <c r="J1038">
        <v>1375.2889404</v>
      </c>
      <c r="K1038">
        <v>0</v>
      </c>
      <c r="L1038">
        <v>2400</v>
      </c>
      <c r="M1038">
        <v>2400</v>
      </c>
      <c r="N1038">
        <v>0</v>
      </c>
    </row>
    <row r="1039" spans="1:14" x14ac:dyDescent="0.25">
      <c r="A1039">
        <v>672.760717</v>
      </c>
      <c r="B1039" s="1">
        <f>DATE(2012,3,3) + TIME(18,15,25)</f>
        <v>40971.760706018518</v>
      </c>
      <c r="C1039">
        <v>80</v>
      </c>
      <c r="D1039">
        <v>67.497604370000005</v>
      </c>
      <c r="E1039">
        <v>50</v>
      </c>
      <c r="F1039">
        <v>49.964992522999999</v>
      </c>
      <c r="G1039">
        <v>1292.1949463000001</v>
      </c>
      <c r="H1039">
        <v>1276.8372803</v>
      </c>
      <c r="I1039">
        <v>1394.8187256000001</v>
      </c>
      <c r="J1039">
        <v>1375.2801514</v>
      </c>
      <c r="K1039">
        <v>0</v>
      </c>
      <c r="L1039">
        <v>2400</v>
      </c>
      <c r="M1039">
        <v>2400</v>
      </c>
      <c r="N1039">
        <v>0</v>
      </c>
    </row>
    <row r="1040" spans="1:14" x14ac:dyDescent="0.25">
      <c r="A1040">
        <v>675.55307600000003</v>
      </c>
      <c r="B1040" s="1">
        <f>DATE(2012,3,6) + TIME(13,16,25)</f>
        <v>40974.553067129629</v>
      </c>
      <c r="C1040">
        <v>80</v>
      </c>
      <c r="D1040">
        <v>67.205787658999995</v>
      </c>
      <c r="E1040">
        <v>50</v>
      </c>
      <c r="F1040">
        <v>49.965084075999997</v>
      </c>
      <c r="G1040">
        <v>1291.8430175999999</v>
      </c>
      <c r="H1040">
        <v>1276.3457031</v>
      </c>
      <c r="I1040">
        <v>1394.7735596</v>
      </c>
      <c r="J1040">
        <v>1375.2395019999999</v>
      </c>
      <c r="K1040">
        <v>0</v>
      </c>
      <c r="L1040">
        <v>2400</v>
      </c>
      <c r="M1040">
        <v>2400</v>
      </c>
      <c r="N1040">
        <v>0</v>
      </c>
    </row>
    <row r="1041" spans="1:14" x14ac:dyDescent="0.25">
      <c r="A1041">
        <v>678.37330299999996</v>
      </c>
      <c r="B1041" s="1">
        <f>DATE(2012,3,9) + TIME(8,57,33)</f>
        <v>40977.373298611114</v>
      </c>
      <c r="C1041">
        <v>80</v>
      </c>
      <c r="D1041">
        <v>66.886512756000002</v>
      </c>
      <c r="E1041">
        <v>50</v>
      </c>
      <c r="F1041">
        <v>49.965179442999997</v>
      </c>
      <c r="G1041">
        <v>1291.4719238</v>
      </c>
      <c r="H1041">
        <v>1275.8194579999999</v>
      </c>
      <c r="I1041">
        <v>1394.7283935999999</v>
      </c>
      <c r="J1041">
        <v>1375.1988524999999</v>
      </c>
      <c r="K1041">
        <v>0</v>
      </c>
      <c r="L1041">
        <v>2400</v>
      </c>
      <c r="M1041">
        <v>2400</v>
      </c>
      <c r="N1041">
        <v>0</v>
      </c>
    </row>
    <row r="1042" spans="1:14" x14ac:dyDescent="0.25">
      <c r="A1042">
        <v>681.22693400000003</v>
      </c>
      <c r="B1042" s="1">
        <f>DATE(2012,3,12) + TIME(5,26,47)</f>
        <v>40980.22693287037</v>
      </c>
      <c r="C1042">
        <v>80</v>
      </c>
      <c r="D1042">
        <v>66.549942017000006</v>
      </c>
      <c r="E1042">
        <v>50</v>
      </c>
      <c r="F1042">
        <v>49.965270996000001</v>
      </c>
      <c r="G1042">
        <v>1291.0906981999999</v>
      </c>
      <c r="H1042">
        <v>1275.2752685999999</v>
      </c>
      <c r="I1042">
        <v>1394.6834716999999</v>
      </c>
      <c r="J1042">
        <v>1375.1583252</v>
      </c>
      <c r="K1042">
        <v>0</v>
      </c>
      <c r="L1042">
        <v>2400</v>
      </c>
      <c r="M1042">
        <v>2400</v>
      </c>
      <c r="N1042">
        <v>0</v>
      </c>
    </row>
    <row r="1043" spans="1:14" x14ac:dyDescent="0.25">
      <c r="A1043">
        <v>684.11936400000002</v>
      </c>
      <c r="B1043" s="1">
        <f>DATE(2012,3,15) + TIME(2,51,53)</f>
        <v>40983.119363425925</v>
      </c>
      <c r="C1043">
        <v>80</v>
      </c>
      <c r="D1043">
        <v>66.197257996000005</v>
      </c>
      <c r="E1043">
        <v>50</v>
      </c>
      <c r="F1043">
        <v>49.965366363999998</v>
      </c>
      <c r="G1043">
        <v>1290.7005615</v>
      </c>
      <c r="H1043">
        <v>1274.7161865</v>
      </c>
      <c r="I1043">
        <v>1394.6385498</v>
      </c>
      <c r="J1043">
        <v>1375.1177978999999</v>
      </c>
      <c r="K1043">
        <v>0</v>
      </c>
      <c r="L1043">
        <v>2400</v>
      </c>
      <c r="M1043">
        <v>2400</v>
      </c>
      <c r="N1043">
        <v>0</v>
      </c>
    </row>
    <row r="1044" spans="1:14" x14ac:dyDescent="0.25">
      <c r="A1044">
        <v>687.05172400000004</v>
      </c>
      <c r="B1044" s="1">
        <f>DATE(2012,3,18) + TIME(1,14,28)</f>
        <v>40986.051712962966</v>
      </c>
      <c r="C1044">
        <v>80</v>
      </c>
      <c r="D1044">
        <v>65.827766417999996</v>
      </c>
      <c r="E1044">
        <v>50</v>
      </c>
      <c r="F1044">
        <v>49.965461730999998</v>
      </c>
      <c r="G1044">
        <v>1290.3016356999999</v>
      </c>
      <c r="H1044">
        <v>1274.1422118999999</v>
      </c>
      <c r="I1044">
        <v>1394.5935059000001</v>
      </c>
      <c r="J1044">
        <v>1375.0771483999999</v>
      </c>
      <c r="K1044">
        <v>0</v>
      </c>
      <c r="L1044">
        <v>2400</v>
      </c>
      <c r="M1044">
        <v>2400</v>
      </c>
      <c r="N1044">
        <v>0</v>
      </c>
    </row>
    <row r="1045" spans="1:14" x14ac:dyDescent="0.25">
      <c r="A1045">
        <v>690.01873000000001</v>
      </c>
      <c r="B1045" s="1">
        <f>DATE(2012,3,21) + TIME(0,26,58)</f>
        <v>40989.018726851849</v>
      </c>
      <c r="C1045">
        <v>80</v>
      </c>
      <c r="D1045">
        <v>65.440826415999993</v>
      </c>
      <c r="E1045">
        <v>50</v>
      </c>
      <c r="F1045">
        <v>49.965557097999998</v>
      </c>
      <c r="G1045">
        <v>1289.8939209</v>
      </c>
      <c r="H1045">
        <v>1273.5534668</v>
      </c>
      <c r="I1045">
        <v>1394.5483397999999</v>
      </c>
      <c r="J1045">
        <v>1375.0362548999999</v>
      </c>
      <c r="K1045">
        <v>0</v>
      </c>
      <c r="L1045">
        <v>2400</v>
      </c>
      <c r="M1045">
        <v>2400</v>
      </c>
      <c r="N1045">
        <v>0</v>
      </c>
    </row>
    <row r="1046" spans="1:14" x14ac:dyDescent="0.25">
      <c r="A1046">
        <v>693.02647000000002</v>
      </c>
      <c r="B1046" s="1">
        <f>DATE(2012,3,24) + TIME(0,38,6)</f>
        <v>40992.026458333334</v>
      </c>
      <c r="C1046">
        <v>80</v>
      </c>
      <c r="D1046">
        <v>65.035964965999995</v>
      </c>
      <c r="E1046">
        <v>50</v>
      </c>
      <c r="F1046">
        <v>49.965656281000001</v>
      </c>
      <c r="G1046">
        <v>1289.4783935999999</v>
      </c>
      <c r="H1046">
        <v>1272.9509277</v>
      </c>
      <c r="I1046">
        <v>1394.5031738</v>
      </c>
      <c r="J1046">
        <v>1374.9952393000001</v>
      </c>
      <c r="K1046">
        <v>0</v>
      </c>
      <c r="L1046">
        <v>2400</v>
      </c>
      <c r="M1046">
        <v>2400</v>
      </c>
      <c r="N1046">
        <v>0</v>
      </c>
    </row>
    <row r="1047" spans="1:14" x14ac:dyDescent="0.25">
      <c r="A1047">
        <v>696.07485299999996</v>
      </c>
      <c r="B1047" s="1">
        <f>DATE(2012,3,27) + TIME(1,47,47)</f>
        <v>40995.074849537035</v>
      </c>
      <c r="C1047">
        <v>80</v>
      </c>
      <c r="D1047">
        <v>64.612564086999996</v>
      </c>
      <c r="E1047">
        <v>50</v>
      </c>
      <c r="F1047">
        <v>49.965751648000001</v>
      </c>
      <c r="G1047">
        <v>1289.0546875</v>
      </c>
      <c r="H1047">
        <v>1272.3342285000001</v>
      </c>
      <c r="I1047">
        <v>1394.4576416</v>
      </c>
      <c r="J1047">
        <v>1374.9539795000001</v>
      </c>
      <c r="K1047">
        <v>0</v>
      </c>
      <c r="L1047">
        <v>2400</v>
      </c>
      <c r="M1047">
        <v>2400</v>
      </c>
      <c r="N1047">
        <v>0</v>
      </c>
    </row>
    <row r="1048" spans="1:14" x14ac:dyDescent="0.25">
      <c r="A1048">
        <v>699.15968599999997</v>
      </c>
      <c r="B1048" s="1">
        <f>DATE(2012,3,30) + TIME(3,49,56)</f>
        <v>40998.159675925926</v>
      </c>
      <c r="C1048">
        <v>80</v>
      </c>
      <c r="D1048">
        <v>64.170059203999998</v>
      </c>
      <c r="E1048">
        <v>50</v>
      </c>
      <c r="F1048">
        <v>49.965850830000001</v>
      </c>
      <c r="G1048">
        <v>1288.6232910000001</v>
      </c>
      <c r="H1048">
        <v>1271.7037353999999</v>
      </c>
      <c r="I1048">
        <v>1394.4118652</v>
      </c>
      <c r="J1048">
        <v>1374.9123535000001</v>
      </c>
      <c r="K1048">
        <v>0</v>
      </c>
      <c r="L1048">
        <v>2400</v>
      </c>
      <c r="M1048">
        <v>2400</v>
      </c>
      <c r="N1048">
        <v>0</v>
      </c>
    </row>
    <row r="1049" spans="1:14" x14ac:dyDescent="0.25">
      <c r="A1049">
        <v>701</v>
      </c>
      <c r="B1049" s="1">
        <f>DATE(2012,4,1) + TIME(0,0,0)</f>
        <v>41000</v>
      </c>
      <c r="C1049">
        <v>80</v>
      </c>
      <c r="D1049">
        <v>63.763549804999997</v>
      </c>
      <c r="E1049">
        <v>50</v>
      </c>
      <c r="F1049">
        <v>49.965904236</v>
      </c>
      <c r="G1049">
        <v>1288.1914062000001</v>
      </c>
      <c r="H1049">
        <v>1271.0856934000001</v>
      </c>
      <c r="I1049">
        <v>1394.3653564000001</v>
      </c>
      <c r="J1049">
        <v>1374.8699951000001</v>
      </c>
      <c r="K1049">
        <v>0</v>
      </c>
      <c r="L1049">
        <v>2400</v>
      </c>
      <c r="M1049">
        <v>2400</v>
      </c>
      <c r="N1049">
        <v>0</v>
      </c>
    </row>
    <row r="1050" spans="1:14" x14ac:dyDescent="0.25">
      <c r="A1050">
        <v>704.12376900000004</v>
      </c>
      <c r="B1050" s="1">
        <f>DATE(2012,4,4) + TIME(2,58,13)</f>
        <v>41003.123761574076</v>
      </c>
      <c r="C1050">
        <v>80</v>
      </c>
      <c r="D1050">
        <v>63.399196625000002</v>
      </c>
      <c r="E1050">
        <v>50</v>
      </c>
      <c r="F1050">
        <v>49.966007232999999</v>
      </c>
      <c r="G1050">
        <v>1287.9066161999999</v>
      </c>
      <c r="H1050">
        <v>1270.6400146000001</v>
      </c>
      <c r="I1050">
        <v>1394.3386230000001</v>
      </c>
      <c r="J1050">
        <v>1374.8455810999999</v>
      </c>
      <c r="K1050">
        <v>0</v>
      </c>
      <c r="L1050">
        <v>2400</v>
      </c>
      <c r="M1050">
        <v>2400</v>
      </c>
      <c r="N1050">
        <v>0</v>
      </c>
    </row>
    <row r="1051" spans="1:14" x14ac:dyDescent="0.25">
      <c r="A1051">
        <v>707.32456200000001</v>
      </c>
      <c r="B1051" s="1">
        <f>DATE(2012,4,7) + TIME(7,47,22)</f>
        <v>41006.324560185189</v>
      </c>
      <c r="C1051">
        <v>80</v>
      </c>
      <c r="D1051">
        <v>62.929779052999997</v>
      </c>
      <c r="E1051">
        <v>50</v>
      </c>
      <c r="F1051">
        <v>49.966106414999999</v>
      </c>
      <c r="G1051">
        <v>1287.4741211</v>
      </c>
      <c r="H1051">
        <v>1270.0090332</v>
      </c>
      <c r="I1051">
        <v>1394.2924805</v>
      </c>
      <c r="J1051">
        <v>1374.8035889</v>
      </c>
      <c r="K1051">
        <v>0</v>
      </c>
      <c r="L1051">
        <v>2400</v>
      </c>
      <c r="M1051">
        <v>2400</v>
      </c>
      <c r="N1051">
        <v>0</v>
      </c>
    </row>
    <row r="1052" spans="1:14" x14ac:dyDescent="0.25">
      <c r="A1052">
        <v>710.58097599999996</v>
      </c>
      <c r="B1052" s="1">
        <f>DATE(2012,4,10) + TIME(13,56,36)</f>
        <v>41009.580972222226</v>
      </c>
      <c r="C1052">
        <v>80</v>
      </c>
      <c r="D1052">
        <v>62.419559479</v>
      </c>
      <c r="E1052">
        <v>50</v>
      </c>
      <c r="F1052">
        <v>49.966205596999998</v>
      </c>
      <c r="G1052">
        <v>1287.0206298999999</v>
      </c>
      <c r="H1052">
        <v>1269.3381348</v>
      </c>
      <c r="I1052">
        <v>1394.2453613</v>
      </c>
      <c r="J1052">
        <v>1374.7606201000001</v>
      </c>
      <c r="K1052">
        <v>0</v>
      </c>
      <c r="L1052">
        <v>2400</v>
      </c>
      <c r="M1052">
        <v>2400</v>
      </c>
      <c r="N1052">
        <v>0</v>
      </c>
    </row>
    <row r="1053" spans="1:14" x14ac:dyDescent="0.25">
      <c r="A1053">
        <v>713.88155099999994</v>
      </c>
      <c r="B1053" s="1">
        <f>DATE(2012,4,13) + TIME(21,9,25)</f>
        <v>41012.881539351853</v>
      </c>
      <c r="C1053">
        <v>80</v>
      </c>
      <c r="D1053">
        <v>61.884155272999998</v>
      </c>
      <c r="E1053">
        <v>50</v>
      </c>
      <c r="F1053">
        <v>49.966304778999998</v>
      </c>
      <c r="G1053">
        <v>1286.557251</v>
      </c>
      <c r="H1053">
        <v>1268.6481934000001</v>
      </c>
      <c r="I1053">
        <v>1394.1977539</v>
      </c>
      <c r="J1053">
        <v>1374.7170410000001</v>
      </c>
      <c r="K1053">
        <v>0</v>
      </c>
      <c r="L1053">
        <v>2400</v>
      </c>
      <c r="M1053">
        <v>2400</v>
      </c>
      <c r="N1053">
        <v>0</v>
      </c>
    </row>
    <row r="1054" spans="1:14" x14ac:dyDescent="0.25">
      <c r="A1054">
        <v>717.23502199999996</v>
      </c>
      <c r="B1054" s="1">
        <f>DATE(2012,4,17) + TIME(5,38,25)</f>
        <v>41016.235011574077</v>
      </c>
      <c r="C1054">
        <v>80</v>
      </c>
      <c r="D1054">
        <v>61.327545166</v>
      </c>
      <c r="E1054">
        <v>50</v>
      </c>
      <c r="F1054">
        <v>49.966407775999997</v>
      </c>
      <c r="G1054">
        <v>1286.0878906</v>
      </c>
      <c r="H1054">
        <v>1267.9458007999999</v>
      </c>
      <c r="I1054">
        <v>1394.1496582</v>
      </c>
      <c r="J1054">
        <v>1374.6729736</v>
      </c>
      <c r="K1054">
        <v>0</v>
      </c>
      <c r="L1054">
        <v>2400</v>
      </c>
      <c r="M1054">
        <v>2400</v>
      </c>
      <c r="N1054">
        <v>0</v>
      </c>
    </row>
    <row r="1055" spans="1:14" x14ac:dyDescent="0.25">
      <c r="A1055">
        <v>720.65051300000005</v>
      </c>
      <c r="B1055" s="1">
        <f>DATE(2012,4,20) + TIME(15,36,44)</f>
        <v>41019.650509259256</v>
      </c>
      <c r="C1055">
        <v>80</v>
      </c>
      <c r="D1055">
        <v>60.749996185000001</v>
      </c>
      <c r="E1055">
        <v>50</v>
      </c>
      <c r="F1055">
        <v>49.966510773000003</v>
      </c>
      <c r="G1055">
        <v>1285.6126709</v>
      </c>
      <c r="H1055">
        <v>1267.2314452999999</v>
      </c>
      <c r="I1055">
        <v>1394.1008300999999</v>
      </c>
      <c r="J1055">
        <v>1374.6282959</v>
      </c>
      <c r="K1055">
        <v>0</v>
      </c>
      <c r="L1055">
        <v>2400</v>
      </c>
      <c r="M1055">
        <v>2400</v>
      </c>
      <c r="N1055">
        <v>0</v>
      </c>
    </row>
    <row r="1056" spans="1:14" x14ac:dyDescent="0.25">
      <c r="A1056">
        <v>724.11669500000005</v>
      </c>
      <c r="B1056" s="1">
        <f>DATE(2012,4,24) + TIME(2,48,2)</f>
        <v>41023.116689814815</v>
      </c>
      <c r="C1056">
        <v>80</v>
      </c>
      <c r="D1056">
        <v>60.151485442999999</v>
      </c>
      <c r="E1056">
        <v>50</v>
      </c>
      <c r="F1056">
        <v>49.966613770000002</v>
      </c>
      <c r="G1056">
        <v>1285.1312256000001</v>
      </c>
      <c r="H1056">
        <v>1266.5047606999999</v>
      </c>
      <c r="I1056">
        <v>1394.0513916</v>
      </c>
      <c r="J1056">
        <v>1374.5827637</v>
      </c>
      <c r="K1056">
        <v>0</v>
      </c>
      <c r="L1056">
        <v>2400</v>
      </c>
      <c r="M1056">
        <v>2400</v>
      </c>
      <c r="N1056">
        <v>0</v>
      </c>
    </row>
    <row r="1057" spans="1:14" x14ac:dyDescent="0.25">
      <c r="A1057">
        <v>727.63266699999997</v>
      </c>
      <c r="B1057" s="1">
        <f>DATE(2012,4,27) + TIME(15,11,2)</f>
        <v>41026.632662037038</v>
      </c>
      <c r="C1057">
        <v>80</v>
      </c>
      <c r="D1057">
        <v>59.532455444</v>
      </c>
      <c r="E1057">
        <v>50</v>
      </c>
      <c r="F1057">
        <v>49.966716765999998</v>
      </c>
      <c r="G1057">
        <v>1284.6457519999999</v>
      </c>
      <c r="H1057">
        <v>1265.7686768000001</v>
      </c>
      <c r="I1057">
        <v>1394.0010986</v>
      </c>
      <c r="J1057">
        <v>1374.536499</v>
      </c>
      <c r="K1057">
        <v>0</v>
      </c>
      <c r="L1057">
        <v>2400</v>
      </c>
      <c r="M1057">
        <v>2400</v>
      </c>
      <c r="N1057">
        <v>0</v>
      </c>
    </row>
    <row r="1058" spans="1:14" x14ac:dyDescent="0.25">
      <c r="A1058">
        <v>731</v>
      </c>
      <c r="B1058" s="1">
        <f>DATE(2012,5,1) + TIME(0,0,0)</f>
        <v>41030</v>
      </c>
      <c r="C1058">
        <v>80</v>
      </c>
      <c r="D1058">
        <v>58.901367188000002</v>
      </c>
      <c r="E1058">
        <v>50</v>
      </c>
      <c r="F1058">
        <v>49.966815947999997</v>
      </c>
      <c r="G1058">
        <v>1284.1579589999999</v>
      </c>
      <c r="H1058">
        <v>1265.0274658000001</v>
      </c>
      <c r="I1058">
        <v>1393.9501952999999</v>
      </c>
      <c r="J1058">
        <v>1374.4895019999999</v>
      </c>
      <c r="K1058">
        <v>0</v>
      </c>
      <c r="L1058">
        <v>2400</v>
      </c>
      <c r="M1058">
        <v>2400</v>
      </c>
      <c r="N1058">
        <v>0</v>
      </c>
    </row>
    <row r="1059" spans="1:14" x14ac:dyDescent="0.25">
      <c r="A1059">
        <v>731.000001</v>
      </c>
      <c r="B1059" s="1">
        <f>DATE(2012,5,1) + TIME(0,0,0)</f>
        <v>41030</v>
      </c>
      <c r="C1059">
        <v>80</v>
      </c>
      <c r="D1059">
        <v>58.901531218999999</v>
      </c>
      <c r="E1059">
        <v>50</v>
      </c>
      <c r="F1059">
        <v>49.966705322000003</v>
      </c>
      <c r="G1059">
        <v>1304.9289550999999</v>
      </c>
      <c r="H1059">
        <v>1285.1738281</v>
      </c>
      <c r="I1059">
        <v>1373.6151123</v>
      </c>
      <c r="J1059">
        <v>1354.7338867000001</v>
      </c>
      <c r="K1059">
        <v>2400</v>
      </c>
      <c r="L1059">
        <v>0</v>
      </c>
      <c r="M1059">
        <v>0</v>
      </c>
      <c r="N1059">
        <v>2400</v>
      </c>
    </row>
    <row r="1060" spans="1:14" x14ac:dyDescent="0.25">
      <c r="A1060">
        <v>731.00000399999999</v>
      </c>
      <c r="B1060" s="1">
        <f>DATE(2012,5,1) + TIME(0,0,0)</f>
        <v>41030</v>
      </c>
      <c r="C1060">
        <v>80</v>
      </c>
      <c r="D1060">
        <v>58.901966094999999</v>
      </c>
      <c r="E1060">
        <v>50</v>
      </c>
      <c r="F1060">
        <v>49.966411591000004</v>
      </c>
      <c r="G1060">
        <v>1307.3109131000001</v>
      </c>
      <c r="H1060">
        <v>1287.8254394999999</v>
      </c>
      <c r="I1060">
        <v>1371.2828368999999</v>
      </c>
      <c r="J1060">
        <v>1352.4007568</v>
      </c>
      <c r="K1060">
        <v>2400</v>
      </c>
      <c r="L1060">
        <v>0</v>
      </c>
      <c r="M1060">
        <v>0</v>
      </c>
      <c r="N1060">
        <v>2400</v>
      </c>
    </row>
    <row r="1061" spans="1:14" x14ac:dyDescent="0.25">
      <c r="A1061">
        <v>731.00001299999997</v>
      </c>
      <c r="B1061" s="1">
        <f>DATE(2012,5,1) + TIME(0,0,1)</f>
        <v>41030.000011574077</v>
      </c>
      <c r="C1061">
        <v>80</v>
      </c>
      <c r="D1061">
        <v>58.902973175</v>
      </c>
      <c r="E1061">
        <v>50</v>
      </c>
      <c r="F1061">
        <v>49.965751648000001</v>
      </c>
      <c r="G1061">
        <v>1312.640625</v>
      </c>
      <c r="H1061">
        <v>1293.534668</v>
      </c>
      <c r="I1061">
        <v>1366.0507812000001</v>
      </c>
      <c r="J1061">
        <v>1347.1674805</v>
      </c>
      <c r="K1061">
        <v>2400</v>
      </c>
      <c r="L1061">
        <v>0</v>
      </c>
      <c r="M1061">
        <v>0</v>
      </c>
      <c r="N1061">
        <v>2400</v>
      </c>
    </row>
    <row r="1062" spans="1:14" x14ac:dyDescent="0.25">
      <c r="A1062">
        <v>731.00004000000001</v>
      </c>
      <c r="B1062" s="1">
        <f>DATE(2012,5,1) + TIME(0,0,3)</f>
        <v>41030.000034722223</v>
      </c>
      <c r="C1062">
        <v>80</v>
      </c>
      <c r="D1062">
        <v>58.904945374</v>
      </c>
      <c r="E1062">
        <v>50</v>
      </c>
      <c r="F1062">
        <v>49.964649199999997</v>
      </c>
      <c r="G1062">
        <v>1321.5472411999999</v>
      </c>
      <c r="H1062">
        <v>1302.6213379000001</v>
      </c>
      <c r="I1062">
        <v>1357.3062743999999</v>
      </c>
      <c r="J1062">
        <v>1338.4240723</v>
      </c>
      <c r="K1062">
        <v>2400</v>
      </c>
      <c r="L1062">
        <v>0</v>
      </c>
      <c r="M1062">
        <v>0</v>
      </c>
      <c r="N1062">
        <v>2400</v>
      </c>
    </row>
    <row r="1063" spans="1:14" x14ac:dyDescent="0.25">
      <c r="A1063">
        <v>731.00012100000004</v>
      </c>
      <c r="B1063" s="1">
        <f>DATE(2012,5,1) + TIME(0,0,10)</f>
        <v>41030.000115740739</v>
      </c>
      <c r="C1063">
        <v>80</v>
      </c>
      <c r="D1063">
        <v>58.908718108999999</v>
      </c>
      <c r="E1063">
        <v>50</v>
      </c>
      <c r="F1063">
        <v>49.963294982999997</v>
      </c>
      <c r="G1063">
        <v>1332.4930420000001</v>
      </c>
      <c r="H1063">
        <v>1313.4613036999999</v>
      </c>
      <c r="I1063">
        <v>1346.6300048999999</v>
      </c>
      <c r="J1063">
        <v>1327.7542725000001</v>
      </c>
      <c r="K1063">
        <v>2400</v>
      </c>
      <c r="L1063">
        <v>0</v>
      </c>
      <c r="M1063">
        <v>0</v>
      </c>
      <c r="N1063">
        <v>2400</v>
      </c>
    </row>
    <row r="1064" spans="1:14" x14ac:dyDescent="0.25">
      <c r="A1064">
        <v>731.00036399999999</v>
      </c>
      <c r="B1064" s="1">
        <f>DATE(2012,5,1) + TIME(0,0,31)</f>
        <v>41030.000358796293</v>
      </c>
      <c r="C1064">
        <v>80</v>
      </c>
      <c r="D1064">
        <v>58.917312621999997</v>
      </c>
      <c r="E1064">
        <v>50</v>
      </c>
      <c r="F1064">
        <v>49.961875915999997</v>
      </c>
      <c r="G1064">
        <v>1343.9420166</v>
      </c>
      <c r="H1064">
        <v>1324.7459716999999</v>
      </c>
      <c r="I1064">
        <v>1335.6359863</v>
      </c>
      <c r="J1064">
        <v>1316.7724608999999</v>
      </c>
      <c r="K1064">
        <v>2400</v>
      </c>
      <c r="L1064">
        <v>0</v>
      </c>
      <c r="M1064">
        <v>0</v>
      </c>
      <c r="N1064">
        <v>2400</v>
      </c>
    </row>
    <row r="1065" spans="1:14" x14ac:dyDescent="0.25">
      <c r="A1065">
        <v>731.00109299999997</v>
      </c>
      <c r="B1065" s="1">
        <f>DATE(2012,5,1) + TIME(0,1,34)</f>
        <v>41030.001087962963</v>
      </c>
      <c r="C1065">
        <v>80</v>
      </c>
      <c r="D1065">
        <v>58.940364838000001</v>
      </c>
      <c r="E1065">
        <v>50</v>
      </c>
      <c r="F1065">
        <v>49.960380553999997</v>
      </c>
      <c r="G1065">
        <v>1355.7662353999999</v>
      </c>
      <c r="H1065">
        <v>1336.3997803</v>
      </c>
      <c r="I1065">
        <v>1324.6351318</v>
      </c>
      <c r="J1065">
        <v>1305.7858887</v>
      </c>
      <c r="K1065">
        <v>2400</v>
      </c>
      <c r="L1065">
        <v>0</v>
      </c>
      <c r="M1065">
        <v>0</v>
      </c>
      <c r="N1065">
        <v>2400</v>
      </c>
    </row>
    <row r="1066" spans="1:14" x14ac:dyDescent="0.25">
      <c r="A1066">
        <v>731.00328000000002</v>
      </c>
      <c r="B1066" s="1">
        <f>DATE(2012,5,1) + TIME(0,4,43)</f>
        <v>41030.003275462965</v>
      </c>
      <c r="C1066">
        <v>80</v>
      </c>
      <c r="D1066">
        <v>59.007011413999997</v>
      </c>
      <c r="E1066">
        <v>50</v>
      </c>
      <c r="F1066">
        <v>49.958644866999997</v>
      </c>
      <c r="G1066">
        <v>1368.3538818</v>
      </c>
      <c r="H1066">
        <v>1348.8088379000001</v>
      </c>
      <c r="I1066">
        <v>1313.4572754000001</v>
      </c>
      <c r="J1066">
        <v>1294.5959473</v>
      </c>
      <c r="K1066">
        <v>2400</v>
      </c>
      <c r="L1066">
        <v>0</v>
      </c>
      <c r="M1066">
        <v>0</v>
      </c>
      <c r="N1066">
        <v>2400</v>
      </c>
    </row>
    <row r="1067" spans="1:14" x14ac:dyDescent="0.25">
      <c r="A1067">
        <v>731.00984100000005</v>
      </c>
      <c r="B1067" s="1">
        <f>DATE(2012,5,1) + TIME(0,14,10)</f>
        <v>41030.009837962964</v>
      </c>
      <c r="C1067">
        <v>80</v>
      </c>
      <c r="D1067">
        <v>59.203712463000002</v>
      </c>
      <c r="E1067">
        <v>50</v>
      </c>
      <c r="F1067">
        <v>49.956245422000002</v>
      </c>
      <c r="G1067">
        <v>1381.140625</v>
      </c>
      <c r="H1067">
        <v>1361.4716797000001</v>
      </c>
      <c r="I1067">
        <v>1302.2362060999999</v>
      </c>
      <c r="J1067">
        <v>1283.3201904</v>
      </c>
      <c r="K1067">
        <v>2400</v>
      </c>
      <c r="L1067">
        <v>0</v>
      </c>
      <c r="M1067">
        <v>0</v>
      </c>
      <c r="N1067">
        <v>2400</v>
      </c>
    </row>
    <row r="1068" spans="1:14" x14ac:dyDescent="0.25">
      <c r="A1068">
        <v>731.02952400000004</v>
      </c>
      <c r="B1068" s="1">
        <f>DATE(2012,5,1) + TIME(0,42,30)</f>
        <v>41030.029513888891</v>
      </c>
      <c r="C1068">
        <v>80</v>
      </c>
      <c r="D1068">
        <v>59.777198792</v>
      </c>
      <c r="E1068">
        <v>50</v>
      </c>
      <c r="F1068">
        <v>49.952167510999999</v>
      </c>
      <c r="G1068">
        <v>1391.4052733999999</v>
      </c>
      <c r="H1068">
        <v>1371.7972411999999</v>
      </c>
      <c r="I1068">
        <v>1293.0806885</v>
      </c>
      <c r="J1068">
        <v>1274.1154785000001</v>
      </c>
      <c r="K1068">
        <v>2400</v>
      </c>
      <c r="L1068">
        <v>0</v>
      </c>
      <c r="M1068">
        <v>0</v>
      </c>
      <c r="N1068">
        <v>2400</v>
      </c>
    </row>
    <row r="1069" spans="1:14" x14ac:dyDescent="0.25">
      <c r="A1069">
        <v>731.05451200000005</v>
      </c>
      <c r="B1069" s="1">
        <f>DATE(2012,5,1) + TIME(1,18,29)</f>
        <v>41030.054502314815</v>
      </c>
      <c r="C1069">
        <v>80</v>
      </c>
      <c r="D1069">
        <v>60.479995727999999</v>
      </c>
      <c r="E1069">
        <v>50</v>
      </c>
      <c r="F1069">
        <v>49.948047637999998</v>
      </c>
      <c r="G1069">
        <v>1395.4207764</v>
      </c>
      <c r="H1069">
        <v>1375.9792480000001</v>
      </c>
      <c r="I1069">
        <v>1289.6217041</v>
      </c>
      <c r="J1069">
        <v>1270.6401367000001</v>
      </c>
      <c r="K1069">
        <v>2400</v>
      </c>
      <c r="L1069">
        <v>0</v>
      </c>
      <c r="M1069">
        <v>0</v>
      </c>
      <c r="N1069">
        <v>2400</v>
      </c>
    </row>
    <row r="1070" spans="1:14" x14ac:dyDescent="0.25">
      <c r="A1070">
        <v>731.080062</v>
      </c>
      <c r="B1070" s="1">
        <f>DATE(2012,5,1) + TIME(1,55,17)</f>
        <v>41030.080057870371</v>
      </c>
      <c r="C1070">
        <v>80</v>
      </c>
      <c r="D1070">
        <v>61.173400878999999</v>
      </c>
      <c r="E1070">
        <v>50</v>
      </c>
      <c r="F1070">
        <v>49.944164276000002</v>
      </c>
      <c r="G1070">
        <v>1396.8233643000001</v>
      </c>
      <c r="H1070">
        <v>1377.5609131000001</v>
      </c>
      <c r="I1070">
        <v>1288.5173339999999</v>
      </c>
      <c r="J1070">
        <v>1269.5303954999999</v>
      </c>
      <c r="K1070">
        <v>2400</v>
      </c>
      <c r="L1070">
        <v>0</v>
      </c>
      <c r="M1070">
        <v>0</v>
      </c>
      <c r="N1070">
        <v>2400</v>
      </c>
    </row>
    <row r="1071" spans="1:14" x14ac:dyDescent="0.25">
      <c r="A1071">
        <v>731.10612700000001</v>
      </c>
      <c r="B1071" s="1">
        <f>DATE(2012,5,1) + TIME(2,32,49)</f>
        <v>41030.106122685182</v>
      </c>
      <c r="C1071">
        <v>80</v>
      </c>
      <c r="D1071">
        <v>61.855609893999997</v>
      </c>
      <c r="E1071">
        <v>50</v>
      </c>
      <c r="F1071">
        <v>49.940334319999998</v>
      </c>
      <c r="G1071">
        <v>1397.2669678</v>
      </c>
      <c r="H1071">
        <v>1378.1839600000001</v>
      </c>
      <c r="I1071">
        <v>1288.1942139</v>
      </c>
      <c r="J1071">
        <v>1269.2053223</v>
      </c>
      <c r="K1071">
        <v>2400</v>
      </c>
      <c r="L1071">
        <v>0</v>
      </c>
      <c r="M1071">
        <v>0</v>
      </c>
      <c r="N1071">
        <v>2400</v>
      </c>
    </row>
    <row r="1072" spans="1:14" x14ac:dyDescent="0.25">
      <c r="A1072">
        <v>731.13270899999998</v>
      </c>
      <c r="B1072" s="1">
        <f>DATE(2012,5,1) + TIME(3,11,6)</f>
        <v>41030.132708333331</v>
      </c>
      <c r="C1072">
        <v>80</v>
      </c>
      <c r="D1072">
        <v>62.526100159000002</v>
      </c>
      <c r="E1072">
        <v>50</v>
      </c>
      <c r="F1072">
        <v>49.936500549000002</v>
      </c>
      <c r="G1072">
        <v>1397.3231201000001</v>
      </c>
      <c r="H1072">
        <v>1378.4152832</v>
      </c>
      <c r="I1072">
        <v>1288.1275635</v>
      </c>
      <c r="J1072">
        <v>1269.1376952999999</v>
      </c>
      <c r="K1072">
        <v>2400</v>
      </c>
      <c r="L1072">
        <v>0</v>
      </c>
      <c r="M1072">
        <v>0</v>
      </c>
      <c r="N1072">
        <v>2400</v>
      </c>
    </row>
    <row r="1073" spans="1:14" x14ac:dyDescent="0.25">
      <c r="A1073">
        <v>731.15982599999995</v>
      </c>
      <c r="B1073" s="1">
        <f>DATE(2012,5,1) + TIME(3,50,8)</f>
        <v>41030.159814814811</v>
      </c>
      <c r="C1073">
        <v>80</v>
      </c>
      <c r="D1073">
        <v>63.184757232999999</v>
      </c>
      <c r="E1073">
        <v>50</v>
      </c>
      <c r="F1073">
        <v>49.932632446</v>
      </c>
      <c r="G1073">
        <v>1397.2138672000001</v>
      </c>
      <c r="H1073">
        <v>1378.4754639</v>
      </c>
      <c r="I1073">
        <v>1288.1361084</v>
      </c>
      <c r="J1073">
        <v>1269.1456298999999</v>
      </c>
      <c r="K1073">
        <v>2400</v>
      </c>
      <c r="L1073">
        <v>0</v>
      </c>
      <c r="M1073">
        <v>0</v>
      </c>
      <c r="N1073">
        <v>2400</v>
      </c>
    </row>
    <row r="1074" spans="1:14" x14ac:dyDescent="0.25">
      <c r="A1074">
        <v>731.18750399999999</v>
      </c>
      <c r="B1074" s="1">
        <f>DATE(2012,5,1) + TIME(4,30,0)</f>
        <v>41030.1875</v>
      </c>
      <c r="C1074">
        <v>80</v>
      </c>
      <c r="D1074">
        <v>63.831588744999998</v>
      </c>
      <c r="E1074">
        <v>50</v>
      </c>
      <c r="F1074">
        <v>49.928726196</v>
      </c>
      <c r="G1074">
        <v>1397.0322266000001</v>
      </c>
      <c r="H1074">
        <v>1378.4575195</v>
      </c>
      <c r="I1074">
        <v>1288.1594238</v>
      </c>
      <c r="J1074">
        <v>1269.1685791</v>
      </c>
      <c r="K1074">
        <v>2400</v>
      </c>
      <c r="L1074">
        <v>0</v>
      </c>
      <c r="M1074">
        <v>0</v>
      </c>
      <c r="N1074">
        <v>2400</v>
      </c>
    </row>
    <row r="1075" spans="1:14" x14ac:dyDescent="0.25">
      <c r="A1075">
        <v>731.21577000000002</v>
      </c>
      <c r="B1075" s="1">
        <f>DATE(2012,5,1) + TIME(5,10,42)</f>
        <v>41030.215763888889</v>
      </c>
      <c r="C1075">
        <v>80</v>
      </c>
      <c r="D1075">
        <v>64.466644286999994</v>
      </c>
      <c r="E1075">
        <v>50</v>
      </c>
      <c r="F1075">
        <v>49.924770355</v>
      </c>
      <c r="G1075">
        <v>1396.8197021000001</v>
      </c>
      <c r="H1075">
        <v>1378.402832</v>
      </c>
      <c r="I1075">
        <v>1288.1800536999999</v>
      </c>
      <c r="J1075">
        <v>1269.1889647999999</v>
      </c>
      <c r="K1075">
        <v>2400</v>
      </c>
      <c r="L1075">
        <v>0</v>
      </c>
      <c r="M1075">
        <v>0</v>
      </c>
      <c r="N1075">
        <v>2400</v>
      </c>
    </row>
    <row r="1076" spans="1:14" x14ac:dyDescent="0.25">
      <c r="A1076">
        <v>731.24465599999996</v>
      </c>
      <c r="B1076" s="1">
        <f>DATE(2012,5,1) + TIME(5,52,18)</f>
        <v>41030.244652777779</v>
      </c>
      <c r="C1076">
        <v>80</v>
      </c>
      <c r="D1076">
        <v>65.090003967000001</v>
      </c>
      <c r="E1076">
        <v>50</v>
      </c>
      <c r="F1076">
        <v>49.920764923</v>
      </c>
      <c r="G1076">
        <v>1396.5954589999999</v>
      </c>
      <c r="H1076">
        <v>1378.3306885</v>
      </c>
      <c r="I1076">
        <v>1288.1947021000001</v>
      </c>
      <c r="J1076">
        <v>1269.2032471</v>
      </c>
      <c r="K1076">
        <v>2400</v>
      </c>
      <c r="L1076">
        <v>0</v>
      </c>
      <c r="M1076">
        <v>0</v>
      </c>
      <c r="N1076">
        <v>2400</v>
      </c>
    </row>
    <row r="1077" spans="1:14" x14ac:dyDescent="0.25">
      <c r="A1077">
        <v>731.27418699999998</v>
      </c>
      <c r="B1077" s="1">
        <f>DATE(2012,5,1) + TIME(6,34,49)</f>
        <v>41030.274178240739</v>
      </c>
      <c r="C1077">
        <v>80</v>
      </c>
      <c r="D1077">
        <v>65.701683044000006</v>
      </c>
      <c r="E1077">
        <v>50</v>
      </c>
      <c r="F1077">
        <v>49.916709900000001</v>
      </c>
      <c r="G1077">
        <v>1396.3686522999999</v>
      </c>
      <c r="H1077">
        <v>1378.2504882999999</v>
      </c>
      <c r="I1077">
        <v>1288.2041016000001</v>
      </c>
      <c r="J1077">
        <v>1269.2122803</v>
      </c>
      <c r="K1077">
        <v>2400</v>
      </c>
      <c r="L1077">
        <v>0</v>
      </c>
      <c r="M1077">
        <v>0</v>
      </c>
      <c r="N1077">
        <v>2400</v>
      </c>
    </row>
    <row r="1078" spans="1:14" x14ac:dyDescent="0.25">
      <c r="A1078">
        <v>731.30440699999997</v>
      </c>
      <c r="B1078" s="1">
        <f>DATE(2012,5,1) + TIME(7,18,20)</f>
        <v>41030.304398148146</v>
      </c>
      <c r="C1078">
        <v>80</v>
      </c>
      <c r="D1078">
        <v>66.301757812000005</v>
      </c>
      <c r="E1078">
        <v>50</v>
      </c>
      <c r="F1078">
        <v>49.912597656000003</v>
      </c>
      <c r="G1078">
        <v>1396.1439209</v>
      </c>
      <c r="H1078">
        <v>1378.1672363</v>
      </c>
      <c r="I1078">
        <v>1288.2098389</v>
      </c>
      <c r="J1078">
        <v>1269.2175293</v>
      </c>
      <c r="K1078">
        <v>2400</v>
      </c>
      <c r="L1078">
        <v>0</v>
      </c>
      <c r="M1078">
        <v>0</v>
      </c>
      <c r="N1078">
        <v>2400</v>
      </c>
    </row>
    <row r="1079" spans="1:14" x14ac:dyDescent="0.25">
      <c r="A1079">
        <v>731.33535400000005</v>
      </c>
      <c r="B1079" s="1">
        <f>DATE(2012,5,1) + TIME(8,2,54)</f>
        <v>41030.335347222222</v>
      </c>
      <c r="C1079">
        <v>80</v>
      </c>
      <c r="D1079">
        <v>66.890251160000005</v>
      </c>
      <c r="E1079">
        <v>50</v>
      </c>
      <c r="F1079">
        <v>49.908424377000003</v>
      </c>
      <c r="G1079">
        <v>1395.9235839999999</v>
      </c>
      <c r="H1079">
        <v>1378.0831298999999</v>
      </c>
      <c r="I1079">
        <v>1288.2131348</v>
      </c>
      <c r="J1079">
        <v>1269.2204589999999</v>
      </c>
      <c r="K1079">
        <v>2400</v>
      </c>
      <c r="L1079">
        <v>0</v>
      </c>
      <c r="M1079">
        <v>0</v>
      </c>
      <c r="N1079">
        <v>2400</v>
      </c>
    </row>
    <row r="1080" spans="1:14" x14ac:dyDescent="0.25">
      <c r="A1080">
        <v>731.36707000000001</v>
      </c>
      <c r="B1080" s="1">
        <f>DATE(2012,5,1) + TIME(8,48,34)</f>
        <v>41030.367060185185</v>
      </c>
      <c r="C1080">
        <v>80</v>
      </c>
      <c r="D1080">
        <v>67.467193604000002</v>
      </c>
      <c r="E1080">
        <v>50</v>
      </c>
      <c r="F1080">
        <v>49.904190063000001</v>
      </c>
      <c r="G1080">
        <v>1395.7086182</v>
      </c>
      <c r="H1080">
        <v>1377.9996338000001</v>
      </c>
      <c r="I1080">
        <v>1288.2149658000001</v>
      </c>
      <c r="J1080">
        <v>1269.2219238</v>
      </c>
      <c r="K1080">
        <v>2400</v>
      </c>
      <c r="L1080">
        <v>0</v>
      </c>
      <c r="M1080">
        <v>0</v>
      </c>
      <c r="N1080">
        <v>2400</v>
      </c>
    </row>
    <row r="1081" spans="1:14" x14ac:dyDescent="0.25">
      <c r="A1081">
        <v>731.39959899999997</v>
      </c>
      <c r="B1081" s="1">
        <f>DATE(2012,5,1) + TIME(9,35,25)</f>
        <v>41030.399594907409</v>
      </c>
      <c r="C1081">
        <v>80</v>
      </c>
      <c r="D1081">
        <v>68.032600403000004</v>
      </c>
      <c r="E1081">
        <v>50</v>
      </c>
      <c r="F1081">
        <v>49.899887085000003</v>
      </c>
      <c r="G1081">
        <v>1395.4995117000001</v>
      </c>
      <c r="H1081">
        <v>1377.9172363</v>
      </c>
      <c r="I1081">
        <v>1288.2159423999999</v>
      </c>
      <c r="J1081">
        <v>1269.2225341999999</v>
      </c>
      <c r="K1081">
        <v>2400</v>
      </c>
      <c r="L1081">
        <v>0</v>
      </c>
      <c r="M1081">
        <v>0</v>
      </c>
      <c r="N1081">
        <v>2400</v>
      </c>
    </row>
    <row r="1082" spans="1:14" x14ac:dyDescent="0.25">
      <c r="A1082">
        <v>731.43299200000001</v>
      </c>
      <c r="B1082" s="1">
        <f>DATE(2012,5,1) + TIME(10,23,30)</f>
        <v>41030.432986111111</v>
      </c>
      <c r="C1082">
        <v>80</v>
      </c>
      <c r="D1082">
        <v>68.586471558</v>
      </c>
      <c r="E1082">
        <v>50</v>
      </c>
      <c r="F1082">
        <v>49.895511626999998</v>
      </c>
      <c r="G1082">
        <v>1395.2962646000001</v>
      </c>
      <c r="H1082">
        <v>1377.8364257999999</v>
      </c>
      <c r="I1082">
        <v>1288.2163086</v>
      </c>
      <c r="J1082">
        <v>1269.2225341999999</v>
      </c>
      <c r="K1082">
        <v>2400</v>
      </c>
      <c r="L1082">
        <v>0</v>
      </c>
      <c r="M1082">
        <v>0</v>
      </c>
      <c r="N1082">
        <v>2400</v>
      </c>
    </row>
    <row r="1083" spans="1:14" x14ac:dyDescent="0.25">
      <c r="A1083">
        <v>731.46730000000002</v>
      </c>
      <c r="B1083" s="1">
        <f>DATE(2012,5,1) + TIME(11,12,54)</f>
        <v>41030.467291666668</v>
      </c>
      <c r="C1083">
        <v>80</v>
      </c>
      <c r="D1083">
        <v>69.128814696999996</v>
      </c>
      <c r="E1083">
        <v>50</v>
      </c>
      <c r="F1083">
        <v>49.891059875000003</v>
      </c>
      <c r="G1083">
        <v>1395.098999</v>
      </c>
      <c r="H1083">
        <v>1377.7572021000001</v>
      </c>
      <c r="I1083">
        <v>1288.2164307</v>
      </c>
      <c r="J1083">
        <v>1269.222168</v>
      </c>
      <c r="K1083">
        <v>2400</v>
      </c>
      <c r="L1083">
        <v>0</v>
      </c>
      <c r="M1083">
        <v>0</v>
      </c>
      <c r="N1083">
        <v>2400</v>
      </c>
    </row>
    <row r="1084" spans="1:14" x14ac:dyDescent="0.25">
      <c r="A1084">
        <v>731.50258099999996</v>
      </c>
      <c r="B1084" s="1">
        <f>DATE(2012,5,1) + TIME(12,3,42)</f>
        <v>41030.502569444441</v>
      </c>
      <c r="C1084">
        <v>80</v>
      </c>
      <c r="D1084">
        <v>69.659599303999997</v>
      </c>
      <c r="E1084">
        <v>50</v>
      </c>
      <c r="F1084">
        <v>49.886524199999997</v>
      </c>
      <c r="G1084">
        <v>1394.9074707</v>
      </c>
      <c r="H1084">
        <v>1377.6794434000001</v>
      </c>
      <c r="I1084">
        <v>1288.2163086</v>
      </c>
      <c r="J1084">
        <v>1269.2216797000001</v>
      </c>
      <c r="K1084">
        <v>2400</v>
      </c>
      <c r="L1084">
        <v>0</v>
      </c>
      <c r="M1084">
        <v>0</v>
      </c>
      <c r="N1084">
        <v>2400</v>
      </c>
    </row>
    <row r="1085" spans="1:14" x14ac:dyDescent="0.25">
      <c r="A1085">
        <v>731.53889700000002</v>
      </c>
      <c r="B1085" s="1">
        <f>DATE(2012,5,1) + TIME(12,56,0)</f>
        <v>41030.538888888892</v>
      </c>
      <c r="C1085">
        <v>80</v>
      </c>
      <c r="D1085">
        <v>70.178672790999997</v>
      </c>
      <c r="E1085">
        <v>50</v>
      </c>
      <c r="F1085">
        <v>49.881900786999999</v>
      </c>
      <c r="G1085">
        <v>1394.7214355000001</v>
      </c>
      <c r="H1085">
        <v>1377.6032714999999</v>
      </c>
      <c r="I1085">
        <v>1288.2160644999999</v>
      </c>
      <c r="J1085">
        <v>1269.2209473</v>
      </c>
      <c r="K1085">
        <v>2400</v>
      </c>
      <c r="L1085">
        <v>0</v>
      </c>
      <c r="M1085">
        <v>0</v>
      </c>
      <c r="N1085">
        <v>2400</v>
      </c>
    </row>
    <row r="1086" spans="1:14" x14ac:dyDescent="0.25">
      <c r="A1086">
        <v>731.57631800000001</v>
      </c>
      <c r="B1086" s="1">
        <f>DATE(2012,5,1) + TIME(13,49,53)</f>
        <v>41030.576307870368</v>
      </c>
      <c r="C1086">
        <v>80</v>
      </c>
      <c r="D1086">
        <v>70.685882567999997</v>
      </c>
      <c r="E1086">
        <v>50</v>
      </c>
      <c r="F1086">
        <v>49.877182007000002</v>
      </c>
      <c r="G1086">
        <v>1394.5407714999999</v>
      </c>
      <c r="H1086">
        <v>1377.5285644999999</v>
      </c>
      <c r="I1086">
        <v>1288.2156981999999</v>
      </c>
      <c r="J1086">
        <v>1269.2202147999999</v>
      </c>
      <c r="K1086">
        <v>2400</v>
      </c>
      <c r="L1086">
        <v>0</v>
      </c>
      <c r="M1086">
        <v>0</v>
      </c>
      <c r="N1086">
        <v>2400</v>
      </c>
    </row>
    <row r="1087" spans="1:14" x14ac:dyDescent="0.25">
      <c r="A1087">
        <v>731.61493099999996</v>
      </c>
      <c r="B1087" s="1">
        <f>DATE(2012,5,1) + TIME(14,45,30)</f>
        <v>41030.614930555559</v>
      </c>
      <c r="C1087">
        <v>80</v>
      </c>
      <c r="D1087">
        <v>71.181579589999998</v>
      </c>
      <c r="E1087">
        <v>50</v>
      </c>
      <c r="F1087">
        <v>49.872364044000001</v>
      </c>
      <c r="G1087">
        <v>1394.3649902</v>
      </c>
      <c r="H1087">
        <v>1377.4550781</v>
      </c>
      <c r="I1087">
        <v>1288.2152100000001</v>
      </c>
      <c r="J1087">
        <v>1269.2192382999999</v>
      </c>
      <c r="K1087">
        <v>2400</v>
      </c>
      <c r="L1087">
        <v>0</v>
      </c>
      <c r="M1087">
        <v>0</v>
      </c>
      <c r="N1087">
        <v>2400</v>
      </c>
    </row>
    <row r="1088" spans="1:14" x14ac:dyDescent="0.25">
      <c r="A1088">
        <v>731.654811</v>
      </c>
      <c r="B1088" s="1">
        <f>DATE(2012,5,1) + TIME(15,42,55)</f>
        <v>41030.654803240737</v>
      </c>
      <c r="C1088">
        <v>80</v>
      </c>
      <c r="D1088">
        <v>71.665588378999999</v>
      </c>
      <c r="E1088">
        <v>50</v>
      </c>
      <c r="F1088">
        <v>49.867431641000003</v>
      </c>
      <c r="G1088">
        <v>1394.1939697</v>
      </c>
      <c r="H1088">
        <v>1377.3826904</v>
      </c>
      <c r="I1088">
        <v>1288.2147216999999</v>
      </c>
      <c r="J1088">
        <v>1269.2183838000001</v>
      </c>
      <c r="K1088">
        <v>2400</v>
      </c>
      <c r="L1088">
        <v>0</v>
      </c>
      <c r="M1088">
        <v>0</v>
      </c>
      <c r="N1088">
        <v>2400</v>
      </c>
    </row>
    <row r="1089" spans="1:14" x14ac:dyDescent="0.25">
      <c r="A1089">
        <v>731.69604400000003</v>
      </c>
      <c r="B1089" s="1">
        <f>DATE(2012,5,1) + TIME(16,42,18)</f>
        <v>41030.69604166667</v>
      </c>
      <c r="C1089">
        <v>80</v>
      </c>
      <c r="D1089">
        <v>72.137794494999994</v>
      </c>
      <c r="E1089">
        <v>50</v>
      </c>
      <c r="F1089">
        <v>49.862384796000001</v>
      </c>
      <c r="G1089">
        <v>1394.0274658000001</v>
      </c>
      <c r="H1089">
        <v>1377.3115233999999</v>
      </c>
      <c r="I1089">
        <v>1288.2142334</v>
      </c>
      <c r="J1089">
        <v>1269.2172852000001</v>
      </c>
      <c r="K1089">
        <v>2400</v>
      </c>
      <c r="L1089">
        <v>0</v>
      </c>
      <c r="M1089">
        <v>0</v>
      </c>
      <c r="N1089">
        <v>2400</v>
      </c>
    </row>
    <row r="1090" spans="1:14" x14ac:dyDescent="0.25">
      <c r="A1090">
        <v>731.73873100000003</v>
      </c>
      <c r="B1090" s="1">
        <f>DATE(2012,5,1) + TIME(17,43,46)</f>
        <v>41030.738726851851</v>
      </c>
      <c r="C1090">
        <v>80</v>
      </c>
      <c r="D1090">
        <v>72.598114014000004</v>
      </c>
      <c r="E1090">
        <v>50</v>
      </c>
      <c r="F1090">
        <v>49.857212066999999</v>
      </c>
      <c r="G1090">
        <v>1393.8652344</v>
      </c>
      <c r="H1090">
        <v>1377.2412108999999</v>
      </c>
      <c r="I1090">
        <v>1288.213501</v>
      </c>
      <c r="J1090">
        <v>1269.2161865</v>
      </c>
      <c r="K1090">
        <v>2400</v>
      </c>
      <c r="L1090">
        <v>0</v>
      </c>
      <c r="M1090">
        <v>0</v>
      </c>
      <c r="N1090">
        <v>2400</v>
      </c>
    </row>
    <row r="1091" spans="1:14" x14ac:dyDescent="0.25">
      <c r="A1091">
        <v>731.78298299999994</v>
      </c>
      <c r="B1091" s="1">
        <f>DATE(2012,5,1) + TIME(18,47,29)</f>
        <v>41030.78297453704</v>
      </c>
      <c r="C1091">
        <v>80</v>
      </c>
      <c r="D1091">
        <v>73.046455382999994</v>
      </c>
      <c r="E1091">
        <v>50</v>
      </c>
      <c r="F1091">
        <v>49.851902008000003</v>
      </c>
      <c r="G1091">
        <v>1393.7070312000001</v>
      </c>
      <c r="H1091">
        <v>1377.1716309000001</v>
      </c>
      <c r="I1091">
        <v>1288.2128906</v>
      </c>
      <c r="J1091">
        <v>1269.2150879000001</v>
      </c>
      <c r="K1091">
        <v>2400</v>
      </c>
      <c r="L1091">
        <v>0</v>
      </c>
      <c r="M1091">
        <v>0</v>
      </c>
      <c r="N1091">
        <v>2400</v>
      </c>
    </row>
    <row r="1092" spans="1:14" x14ac:dyDescent="0.25">
      <c r="A1092">
        <v>731.82892400000003</v>
      </c>
      <c r="B1092" s="1">
        <f>DATE(2012,5,1) + TIME(19,53,39)</f>
        <v>41030.828923611109</v>
      </c>
      <c r="C1092">
        <v>80</v>
      </c>
      <c r="D1092">
        <v>73.482711792000003</v>
      </c>
      <c r="E1092">
        <v>50</v>
      </c>
      <c r="F1092">
        <v>49.846446991000001</v>
      </c>
      <c r="G1092">
        <v>1393.5526123</v>
      </c>
      <c r="H1092">
        <v>1377.1027832</v>
      </c>
      <c r="I1092">
        <v>1288.2121582</v>
      </c>
      <c r="J1092">
        <v>1269.2138672000001</v>
      </c>
      <c r="K1092">
        <v>2400</v>
      </c>
      <c r="L1092">
        <v>0</v>
      </c>
      <c r="M1092">
        <v>0</v>
      </c>
      <c r="N1092">
        <v>2400</v>
      </c>
    </row>
    <row r="1093" spans="1:14" x14ac:dyDescent="0.25">
      <c r="A1093">
        <v>731.87669100000005</v>
      </c>
      <c r="B1093" s="1">
        <f>DATE(2012,5,1) + TIME(21,2,26)</f>
        <v>41030.876689814817</v>
      </c>
      <c r="C1093">
        <v>80</v>
      </c>
      <c r="D1093">
        <v>73.906776428000001</v>
      </c>
      <c r="E1093">
        <v>50</v>
      </c>
      <c r="F1093">
        <v>49.840831756999997</v>
      </c>
      <c r="G1093">
        <v>1393.4018555</v>
      </c>
      <c r="H1093">
        <v>1377.0344238</v>
      </c>
      <c r="I1093">
        <v>1288.2114257999999</v>
      </c>
      <c r="J1093">
        <v>1269.2126464999999</v>
      </c>
      <c r="K1093">
        <v>2400</v>
      </c>
      <c r="L1093">
        <v>0</v>
      </c>
      <c r="M1093">
        <v>0</v>
      </c>
      <c r="N1093">
        <v>2400</v>
      </c>
    </row>
    <row r="1094" spans="1:14" x14ac:dyDescent="0.25">
      <c r="A1094">
        <v>731.92644099999995</v>
      </c>
      <c r="B1094" s="1">
        <f>DATE(2012,5,1) + TIME(22,14,4)</f>
        <v>41030.926435185182</v>
      </c>
      <c r="C1094">
        <v>80</v>
      </c>
      <c r="D1094">
        <v>74.318527222</v>
      </c>
      <c r="E1094">
        <v>50</v>
      </c>
      <c r="F1094">
        <v>49.835041046000001</v>
      </c>
      <c r="G1094">
        <v>1393.2543945</v>
      </c>
      <c r="H1094">
        <v>1376.9664307</v>
      </c>
      <c r="I1094">
        <v>1288.2105713000001</v>
      </c>
      <c r="J1094">
        <v>1269.2113036999999</v>
      </c>
      <c r="K1094">
        <v>2400</v>
      </c>
      <c r="L1094">
        <v>0</v>
      </c>
      <c r="M1094">
        <v>0</v>
      </c>
      <c r="N1094">
        <v>2400</v>
      </c>
    </row>
    <row r="1095" spans="1:14" x14ac:dyDescent="0.25">
      <c r="A1095">
        <v>731.97834799999998</v>
      </c>
      <c r="B1095" s="1">
        <f>DATE(2012,5,1) + TIME(23,28,49)</f>
        <v>41030.978344907409</v>
      </c>
      <c r="C1095">
        <v>80</v>
      </c>
      <c r="D1095">
        <v>74.717826842999997</v>
      </c>
      <c r="E1095">
        <v>50</v>
      </c>
      <c r="F1095">
        <v>49.829063415999997</v>
      </c>
      <c r="G1095">
        <v>1393.1099853999999</v>
      </c>
      <c r="H1095">
        <v>1376.8988036999999</v>
      </c>
      <c r="I1095">
        <v>1288.2097168</v>
      </c>
      <c r="J1095">
        <v>1269.2098389</v>
      </c>
      <c r="K1095">
        <v>2400</v>
      </c>
      <c r="L1095">
        <v>0</v>
      </c>
      <c r="M1095">
        <v>0</v>
      </c>
      <c r="N1095">
        <v>2400</v>
      </c>
    </row>
    <row r="1096" spans="1:14" x14ac:dyDescent="0.25">
      <c r="A1096">
        <v>732.03261199999997</v>
      </c>
      <c r="B1096" s="1">
        <f>DATE(2012,5,2) + TIME(0,46,57)</f>
        <v>41031.032604166663</v>
      </c>
      <c r="C1096">
        <v>80</v>
      </c>
      <c r="D1096">
        <v>75.104446410999998</v>
      </c>
      <c r="E1096">
        <v>50</v>
      </c>
      <c r="F1096">
        <v>49.822879790999998</v>
      </c>
      <c r="G1096">
        <v>1392.9683838000001</v>
      </c>
      <c r="H1096">
        <v>1376.8311768000001</v>
      </c>
      <c r="I1096">
        <v>1288.2087402</v>
      </c>
      <c r="J1096">
        <v>1269.208374</v>
      </c>
      <c r="K1096">
        <v>2400</v>
      </c>
      <c r="L1096">
        <v>0</v>
      </c>
      <c r="M1096">
        <v>0</v>
      </c>
      <c r="N1096">
        <v>2400</v>
      </c>
    </row>
    <row r="1097" spans="1:14" x14ac:dyDescent="0.25">
      <c r="A1097">
        <v>732.089472</v>
      </c>
      <c r="B1097" s="1">
        <f>DATE(2012,5,2) + TIME(2,8,50)</f>
        <v>41031.089467592596</v>
      </c>
      <c r="C1097">
        <v>80</v>
      </c>
      <c r="D1097">
        <v>75.478195189999994</v>
      </c>
      <c r="E1097">
        <v>50</v>
      </c>
      <c r="F1097">
        <v>49.816467285000002</v>
      </c>
      <c r="G1097">
        <v>1392.8294678</v>
      </c>
      <c r="H1097">
        <v>1376.7634277</v>
      </c>
      <c r="I1097">
        <v>1288.2077637</v>
      </c>
      <c r="J1097">
        <v>1269.2067870999999</v>
      </c>
      <c r="K1097">
        <v>2400</v>
      </c>
      <c r="L1097">
        <v>0</v>
      </c>
      <c r="M1097">
        <v>0</v>
      </c>
      <c r="N1097">
        <v>2400</v>
      </c>
    </row>
    <row r="1098" spans="1:14" x14ac:dyDescent="0.25">
      <c r="A1098">
        <v>732.14920500000005</v>
      </c>
      <c r="B1098" s="1">
        <f>DATE(2012,5,2) + TIME(3,34,51)</f>
        <v>41031.149201388886</v>
      </c>
      <c r="C1098">
        <v>80</v>
      </c>
      <c r="D1098">
        <v>75.839149474999999</v>
      </c>
      <c r="E1098">
        <v>50</v>
      </c>
      <c r="F1098">
        <v>49.809803008999999</v>
      </c>
      <c r="G1098">
        <v>1392.6928711</v>
      </c>
      <c r="H1098">
        <v>1376.6954346</v>
      </c>
      <c r="I1098">
        <v>1288.2066649999999</v>
      </c>
      <c r="J1098">
        <v>1269.2052002</v>
      </c>
      <c r="K1098">
        <v>2400</v>
      </c>
      <c r="L1098">
        <v>0</v>
      </c>
      <c r="M1098">
        <v>0</v>
      </c>
      <c r="N1098">
        <v>2400</v>
      </c>
    </row>
    <row r="1099" spans="1:14" x14ac:dyDescent="0.25">
      <c r="A1099">
        <v>732.212086</v>
      </c>
      <c r="B1099" s="1">
        <f>DATE(2012,5,2) + TIME(5,5,24)</f>
        <v>41031.212083333332</v>
      </c>
      <c r="C1099">
        <v>80</v>
      </c>
      <c r="D1099">
        <v>76.186973571999999</v>
      </c>
      <c r="E1099">
        <v>50</v>
      </c>
      <c r="F1099">
        <v>49.802867888999998</v>
      </c>
      <c r="G1099">
        <v>1392.5584716999999</v>
      </c>
      <c r="H1099">
        <v>1376.6271973</v>
      </c>
      <c r="I1099">
        <v>1288.2055664</v>
      </c>
      <c r="J1099">
        <v>1269.2034911999999</v>
      </c>
      <c r="K1099">
        <v>2400</v>
      </c>
      <c r="L1099">
        <v>0</v>
      </c>
      <c r="M1099">
        <v>0</v>
      </c>
      <c r="N1099">
        <v>2400</v>
      </c>
    </row>
    <row r="1100" spans="1:14" x14ac:dyDescent="0.25">
      <c r="A1100">
        <v>732.27846499999998</v>
      </c>
      <c r="B1100" s="1">
        <f>DATE(2012,5,2) + TIME(6,40,59)</f>
        <v>41031.278460648151</v>
      </c>
      <c r="C1100">
        <v>80</v>
      </c>
      <c r="D1100">
        <v>76.521469116000006</v>
      </c>
      <c r="E1100">
        <v>50</v>
      </c>
      <c r="F1100">
        <v>49.795627594000003</v>
      </c>
      <c r="G1100">
        <v>1392.4259033000001</v>
      </c>
      <c r="H1100">
        <v>1376.5583495999999</v>
      </c>
      <c r="I1100">
        <v>1288.2043457</v>
      </c>
      <c r="J1100">
        <v>1269.2016602000001</v>
      </c>
      <c r="K1100">
        <v>2400</v>
      </c>
      <c r="L1100">
        <v>0</v>
      </c>
      <c r="M1100">
        <v>0</v>
      </c>
      <c r="N1100">
        <v>2400</v>
      </c>
    </row>
    <row r="1101" spans="1:14" x14ac:dyDescent="0.25">
      <c r="A1101">
        <v>732.34875</v>
      </c>
      <c r="B1101" s="1">
        <f>DATE(2012,5,2) + TIME(8,22,12)</f>
        <v>41031.348749999997</v>
      </c>
      <c r="C1101">
        <v>80</v>
      </c>
      <c r="D1101">
        <v>76.842430114999999</v>
      </c>
      <c r="E1101">
        <v>50</v>
      </c>
      <c r="F1101">
        <v>49.788043975999997</v>
      </c>
      <c r="G1101">
        <v>1392.2949219</v>
      </c>
      <c r="H1101">
        <v>1376.4886475000001</v>
      </c>
      <c r="I1101">
        <v>1288.203125</v>
      </c>
      <c r="J1101">
        <v>1269.199707</v>
      </c>
      <c r="K1101">
        <v>2400</v>
      </c>
      <c r="L1101">
        <v>0</v>
      </c>
      <c r="M1101">
        <v>0</v>
      </c>
      <c r="N1101">
        <v>2400</v>
      </c>
    </row>
    <row r="1102" spans="1:14" x14ac:dyDescent="0.25">
      <c r="A1102">
        <v>732.42342299999996</v>
      </c>
      <c r="B1102" s="1">
        <f>DATE(2012,5,2) + TIME(10,9,43)</f>
        <v>41031.423414351855</v>
      </c>
      <c r="C1102">
        <v>80</v>
      </c>
      <c r="D1102">
        <v>77.149604796999995</v>
      </c>
      <c r="E1102">
        <v>50</v>
      </c>
      <c r="F1102">
        <v>49.780082702999998</v>
      </c>
      <c r="G1102">
        <v>1392.1654053</v>
      </c>
      <c r="H1102">
        <v>1376.4179687999999</v>
      </c>
      <c r="I1102">
        <v>1288.2017822</v>
      </c>
      <c r="J1102">
        <v>1269.1977539</v>
      </c>
      <c r="K1102">
        <v>2400</v>
      </c>
      <c r="L1102">
        <v>0</v>
      </c>
      <c r="M1102">
        <v>0</v>
      </c>
      <c r="N1102">
        <v>2400</v>
      </c>
    </row>
    <row r="1103" spans="1:14" x14ac:dyDescent="0.25">
      <c r="A1103">
        <v>732.50304100000005</v>
      </c>
      <c r="B1103" s="1">
        <f>DATE(2012,5,2) + TIME(12,4,22)</f>
        <v>41031.503032407411</v>
      </c>
      <c r="C1103">
        <v>80</v>
      </c>
      <c r="D1103">
        <v>77.442710876000007</v>
      </c>
      <c r="E1103">
        <v>50</v>
      </c>
      <c r="F1103">
        <v>49.771697998</v>
      </c>
      <c r="G1103">
        <v>1392.0368652</v>
      </c>
      <c r="H1103">
        <v>1376.3461914</v>
      </c>
      <c r="I1103">
        <v>1288.2003173999999</v>
      </c>
      <c r="J1103">
        <v>1269.1955565999999</v>
      </c>
      <c r="K1103">
        <v>2400</v>
      </c>
      <c r="L1103">
        <v>0</v>
      </c>
      <c r="M1103">
        <v>0</v>
      </c>
      <c r="N1103">
        <v>2400</v>
      </c>
    </row>
    <row r="1104" spans="1:14" x14ac:dyDescent="0.25">
      <c r="A1104">
        <v>732.58831299999997</v>
      </c>
      <c r="B1104" s="1">
        <f>DATE(2012,5,2) + TIME(14,7,10)</f>
        <v>41031.588310185187</v>
      </c>
      <c r="C1104">
        <v>80</v>
      </c>
      <c r="D1104">
        <v>77.721534728999998</v>
      </c>
      <c r="E1104">
        <v>50</v>
      </c>
      <c r="F1104">
        <v>49.762825012</v>
      </c>
      <c r="G1104">
        <v>1391.9089355000001</v>
      </c>
      <c r="H1104">
        <v>1376.2729492000001</v>
      </c>
      <c r="I1104">
        <v>1288.1988524999999</v>
      </c>
      <c r="J1104">
        <v>1269.1932373</v>
      </c>
      <c r="K1104">
        <v>2400</v>
      </c>
      <c r="L1104">
        <v>0</v>
      </c>
      <c r="M1104">
        <v>0</v>
      </c>
      <c r="N1104">
        <v>2400</v>
      </c>
    </row>
    <row r="1105" spans="1:14" x14ac:dyDescent="0.25">
      <c r="A1105">
        <v>732.68008099999997</v>
      </c>
      <c r="B1105" s="1">
        <f>DATE(2012,5,2) + TIME(16,19,18)</f>
        <v>41031.680069444446</v>
      </c>
      <c r="C1105">
        <v>80</v>
      </c>
      <c r="D1105">
        <v>77.985801696999999</v>
      </c>
      <c r="E1105">
        <v>50</v>
      </c>
      <c r="F1105">
        <v>49.753398894999997</v>
      </c>
      <c r="G1105">
        <v>1391.7814940999999</v>
      </c>
      <c r="H1105">
        <v>1376.1977539</v>
      </c>
      <c r="I1105">
        <v>1288.1971435999999</v>
      </c>
      <c r="J1105">
        <v>1269.1907959</v>
      </c>
      <c r="K1105">
        <v>2400</v>
      </c>
      <c r="L1105">
        <v>0</v>
      </c>
      <c r="M1105">
        <v>0</v>
      </c>
      <c r="N1105">
        <v>2400</v>
      </c>
    </row>
    <row r="1106" spans="1:14" x14ac:dyDescent="0.25">
      <c r="A1106">
        <v>732.77938600000004</v>
      </c>
      <c r="B1106" s="1">
        <f>DATE(2012,5,2) + TIME(18,42,18)</f>
        <v>41031.779374999998</v>
      </c>
      <c r="C1106">
        <v>80</v>
      </c>
      <c r="D1106">
        <v>78.235198975000003</v>
      </c>
      <c r="E1106">
        <v>50</v>
      </c>
      <c r="F1106">
        <v>49.743335723999998</v>
      </c>
      <c r="G1106">
        <v>1391.6538086</v>
      </c>
      <c r="H1106">
        <v>1376.1204834</v>
      </c>
      <c r="I1106">
        <v>1288.1954346</v>
      </c>
      <c r="J1106">
        <v>1269.1882324000001</v>
      </c>
      <c r="K1106">
        <v>2400</v>
      </c>
      <c r="L1106">
        <v>0</v>
      </c>
      <c r="M1106">
        <v>0</v>
      </c>
      <c r="N1106">
        <v>2400</v>
      </c>
    </row>
    <row r="1107" spans="1:14" x14ac:dyDescent="0.25">
      <c r="A1107">
        <v>732.88694499999997</v>
      </c>
      <c r="B1107" s="1">
        <f>DATE(2012,5,2) + TIME(21,17,12)</f>
        <v>41031.886944444443</v>
      </c>
      <c r="C1107">
        <v>80</v>
      </c>
      <c r="D1107">
        <v>78.468307495000005</v>
      </c>
      <c r="E1107">
        <v>50</v>
      </c>
      <c r="F1107">
        <v>49.732578277999998</v>
      </c>
      <c r="G1107">
        <v>1391.5261230000001</v>
      </c>
      <c r="H1107">
        <v>1376.0410156</v>
      </c>
      <c r="I1107">
        <v>1288.1934814000001</v>
      </c>
      <c r="J1107">
        <v>1269.1854248</v>
      </c>
      <c r="K1107">
        <v>2400</v>
      </c>
      <c r="L1107">
        <v>0</v>
      </c>
      <c r="M1107">
        <v>0</v>
      </c>
      <c r="N1107">
        <v>2400</v>
      </c>
    </row>
    <row r="1108" spans="1:14" x14ac:dyDescent="0.25">
      <c r="A1108">
        <v>732.99477400000001</v>
      </c>
      <c r="B1108" s="1">
        <f>DATE(2012,5,2) + TIME(23,52,28)</f>
        <v>41031.994768518518</v>
      </c>
      <c r="C1108">
        <v>80</v>
      </c>
      <c r="D1108">
        <v>78.669914246000005</v>
      </c>
      <c r="E1108">
        <v>50</v>
      </c>
      <c r="F1108">
        <v>49.721839905000003</v>
      </c>
      <c r="G1108">
        <v>1391.4055175999999</v>
      </c>
      <c r="H1108">
        <v>1375.9626464999999</v>
      </c>
      <c r="I1108">
        <v>1288.1912841999999</v>
      </c>
      <c r="J1108">
        <v>1269.1823730000001</v>
      </c>
      <c r="K1108">
        <v>2400</v>
      </c>
      <c r="L1108">
        <v>0</v>
      </c>
      <c r="M1108">
        <v>0</v>
      </c>
      <c r="N1108">
        <v>2400</v>
      </c>
    </row>
    <row r="1109" spans="1:14" x14ac:dyDescent="0.25">
      <c r="A1109">
        <v>733.10346000000004</v>
      </c>
      <c r="B1109" s="1">
        <f>DATE(2012,5,3) + TIME(2,28,58)</f>
        <v>41032.103449074071</v>
      </c>
      <c r="C1109">
        <v>80</v>
      </c>
      <c r="D1109">
        <v>78.845039368000002</v>
      </c>
      <c r="E1109">
        <v>50</v>
      </c>
      <c r="F1109">
        <v>49.711071013999998</v>
      </c>
      <c r="G1109">
        <v>1391.2918701000001</v>
      </c>
      <c r="H1109">
        <v>1375.8869629000001</v>
      </c>
      <c r="I1109">
        <v>1288.1890868999999</v>
      </c>
      <c r="J1109">
        <v>1269.1793213000001</v>
      </c>
      <c r="K1109">
        <v>2400</v>
      </c>
      <c r="L1109">
        <v>0</v>
      </c>
      <c r="M1109">
        <v>0</v>
      </c>
      <c r="N1109">
        <v>2400</v>
      </c>
    </row>
    <row r="1110" spans="1:14" x14ac:dyDescent="0.25">
      <c r="A1110">
        <v>733.21288900000002</v>
      </c>
      <c r="B1110" s="1">
        <f>DATE(2012,5,3) + TIME(5,6,33)</f>
        <v>41032.212881944448</v>
      </c>
      <c r="C1110">
        <v>80</v>
      </c>
      <c r="D1110">
        <v>78.996856688999998</v>
      </c>
      <c r="E1110">
        <v>50</v>
      </c>
      <c r="F1110">
        <v>49.700275421000001</v>
      </c>
      <c r="G1110">
        <v>1391.1844481999999</v>
      </c>
      <c r="H1110">
        <v>1375.8138428</v>
      </c>
      <c r="I1110">
        <v>1288.1867675999999</v>
      </c>
      <c r="J1110">
        <v>1269.1762695</v>
      </c>
      <c r="K1110">
        <v>2400</v>
      </c>
      <c r="L1110">
        <v>0</v>
      </c>
      <c r="M1110">
        <v>0</v>
      </c>
      <c r="N1110">
        <v>2400</v>
      </c>
    </row>
    <row r="1111" spans="1:14" x14ac:dyDescent="0.25">
      <c r="A1111">
        <v>733.32333600000004</v>
      </c>
      <c r="B1111" s="1">
        <f>DATE(2012,5,3) + TIME(7,45,36)</f>
        <v>41032.323333333334</v>
      </c>
      <c r="C1111">
        <v>80</v>
      </c>
      <c r="D1111">
        <v>79.128639221</v>
      </c>
      <c r="E1111">
        <v>50</v>
      </c>
      <c r="F1111">
        <v>49.689434052000003</v>
      </c>
      <c r="G1111">
        <v>1391.0823975000001</v>
      </c>
      <c r="H1111">
        <v>1375.7429199000001</v>
      </c>
      <c r="I1111">
        <v>1288.1845702999999</v>
      </c>
      <c r="J1111">
        <v>1269.1732178</v>
      </c>
      <c r="K1111">
        <v>2400</v>
      </c>
      <c r="L1111">
        <v>0</v>
      </c>
      <c r="M1111">
        <v>0</v>
      </c>
      <c r="N1111">
        <v>2400</v>
      </c>
    </row>
    <row r="1112" spans="1:14" x14ac:dyDescent="0.25">
      <c r="A1112">
        <v>733.43505300000004</v>
      </c>
      <c r="B1112" s="1">
        <f>DATE(2012,5,3) + TIME(10,26,28)</f>
        <v>41032.435046296298</v>
      </c>
      <c r="C1112">
        <v>80</v>
      </c>
      <c r="D1112">
        <v>79.243103027000004</v>
      </c>
      <c r="E1112">
        <v>50</v>
      </c>
      <c r="F1112">
        <v>49.678520202999998</v>
      </c>
      <c r="G1112">
        <v>1390.9851074000001</v>
      </c>
      <c r="H1112">
        <v>1375.6739502</v>
      </c>
      <c r="I1112">
        <v>1288.182251</v>
      </c>
      <c r="J1112">
        <v>1269.1700439000001</v>
      </c>
      <c r="K1112">
        <v>2400</v>
      </c>
      <c r="L1112">
        <v>0</v>
      </c>
      <c r="M1112">
        <v>0</v>
      </c>
      <c r="N1112">
        <v>2400</v>
      </c>
    </row>
    <row r="1113" spans="1:14" x14ac:dyDescent="0.25">
      <c r="A1113">
        <v>733.54828899999995</v>
      </c>
      <c r="B1113" s="1">
        <f>DATE(2012,5,3) + TIME(13,9,32)</f>
        <v>41032.54828703704</v>
      </c>
      <c r="C1113">
        <v>80</v>
      </c>
      <c r="D1113">
        <v>79.342552185000002</v>
      </c>
      <c r="E1113">
        <v>50</v>
      </c>
      <c r="F1113">
        <v>49.667510986000003</v>
      </c>
      <c r="G1113">
        <v>1390.8918457</v>
      </c>
      <c r="H1113">
        <v>1375.6065673999999</v>
      </c>
      <c r="I1113">
        <v>1288.1799315999999</v>
      </c>
      <c r="J1113">
        <v>1269.1669922000001</v>
      </c>
      <c r="K1113">
        <v>2400</v>
      </c>
      <c r="L1113">
        <v>0</v>
      </c>
      <c r="M1113">
        <v>0</v>
      </c>
      <c r="N1113">
        <v>2400</v>
      </c>
    </row>
    <row r="1114" spans="1:14" x14ac:dyDescent="0.25">
      <c r="A1114">
        <v>733.66329199999996</v>
      </c>
      <c r="B1114" s="1">
        <f>DATE(2012,5,3) + TIME(15,55,8)</f>
        <v>41032.663287037038</v>
      </c>
      <c r="C1114">
        <v>80</v>
      </c>
      <c r="D1114">
        <v>79.428955078000001</v>
      </c>
      <c r="E1114">
        <v>50</v>
      </c>
      <c r="F1114">
        <v>49.656391143999997</v>
      </c>
      <c r="G1114">
        <v>1390.8022461</v>
      </c>
      <c r="H1114">
        <v>1375.5408935999999</v>
      </c>
      <c r="I1114">
        <v>1288.1776123</v>
      </c>
      <c r="J1114">
        <v>1269.1636963000001</v>
      </c>
      <c r="K1114">
        <v>2400</v>
      </c>
      <c r="L1114">
        <v>0</v>
      </c>
      <c r="M1114">
        <v>0</v>
      </c>
      <c r="N1114">
        <v>2400</v>
      </c>
    </row>
    <row r="1115" spans="1:14" x14ac:dyDescent="0.25">
      <c r="A1115">
        <v>733.78033700000003</v>
      </c>
      <c r="B1115" s="1">
        <f>DATE(2012,5,3) + TIME(18,43,41)</f>
        <v>41032.780335648145</v>
      </c>
      <c r="C1115">
        <v>80</v>
      </c>
      <c r="D1115">
        <v>79.503997803000004</v>
      </c>
      <c r="E1115">
        <v>50</v>
      </c>
      <c r="F1115">
        <v>49.645133971999996</v>
      </c>
      <c r="G1115">
        <v>1390.7155762</v>
      </c>
      <c r="H1115">
        <v>1375.4763184000001</v>
      </c>
      <c r="I1115">
        <v>1288.1751709</v>
      </c>
      <c r="J1115">
        <v>1269.1605225000001</v>
      </c>
      <c r="K1115">
        <v>2400</v>
      </c>
      <c r="L1115">
        <v>0</v>
      </c>
      <c r="M1115">
        <v>0</v>
      </c>
      <c r="N1115">
        <v>2400</v>
      </c>
    </row>
    <row r="1116" spans="1:14" x14ac:dyDescent="0.25">
      <c r="A1116">
        <v>733.89969499999995</v>
      </c>
      <c r="B1116" s="1">
        <f>DATE(2012,5,3) + TIME(21,35,33)</f>
        <v>41032.899687500001</v>
      </c>
      <c r="C1116">
        <v>80</v>
      </c>
      <c r="D1116">
        <v>79.569129943999997</v>
      </c>
      <c r="E1116">
        <v>50</v>
      </c>
      <c r="F1116">
        <v>49.633712768999999</v>
      </c>
      <c r="G1116">
        <v>1390.6317139</v>
      </c>
      <c r="H1116">
        <v>1375.4129639</v>
      </c>
      <c r="I1116">
        <v>1288.1727295000001</v>
      </c>
      <c r="J1116">
        <v>1269.1572266000001</v>
      </c>
      <c r="K1116">
        <v>2400</v>
      </c>
      <c r="L1116">
        <v>0</v>
      </c>
      <c r="M1116">
        <v>0</v>
      </c>
      <c r="N1116">
        <v>2400</v>
      </c>
    </row>
    <row r="1117" spans="1:14" x14ac:dyDescent="0.25">
      <c r="A1117">
        <v>734.021612</v>
      </c>
      <c r="B1117" s="1">
        <f>DATE(2012,5,4) + TIME(0,31,7)</f>
        <v>41033.021608796298</v>
      </c>
      <c r="C1117">
        <v>80</v>
      </c>
      <c r="D1117">
        <v>79.625595093000001</v>
      </c>
      <c r="E1117">
        <v>50</v>
      </c>
      <c r="F1117">
        <v>49.622112274000003</v>
      </c>
      <c r="G1117">
        <v>1390.5499268000001</v>
      </c>
      <c r="H1117">
        <v>1375.3505858999999</v>
      </c>
      <c r="I1117">
        <v>1288.1702881000001</v>
      </c>
      <c r="J1117">
        <v>1269.1538086</v>
      </c>
      <c r="K1117">
        <v>2400</v>
      </c>
      <c r="L1117">
        <v>0</v>
      </c>
      <c r="M1117">
        <v>0</v>
      </c>
      <c r="N1117">
        <v>2400</v>
      </c>
    </row>
    <row r="1118" spans="1:14" x14ac:dyDescent="0.25">
      <c r="A1118">
        <v>734.14637900000002</v>
      </c>
      <c r="B1118" s="1">
        <f>DATE(2012,5,4) + TIME(3,30,47)</f>
        <v>41033.146377314813</v>
      </c>
      <c r="C1118">
        <v>80</v>
      </c>
      <c r="D1118">
        <v>79.674476623999993</v>
      </c>
      <c r="E1118">
        <v>50</v>
      </c>
      <c r="F1118">
        <v>49.610305785999998</v>
      </c>
      <c r="G1118">
        <v>1390.4703368999999</v>
      </c>
      <c r="H1118">
        <v>1375.2889404</v>
      </c>
      <c r="I1118">
        <v>1288.1677245999999</v>
      </c>
      <c r="J1118">
        <v>1269.1503906</v>
      </c>
      <c r="K1118">
        <v>2400</v>
      </c>
      <c r="L1118">
        <v>0</v>
      </c>
      <c r="M1118">
        <v>0</v>
      </c>
      <c r="N1118">
        <v>2400</v>
      </c>
    </row>
    <row r="1119" spans="1:14" x14ac:dyDescent="0.25">
      <c r="A1119">
        <v>734.27430700000002</v>
      </c>
      <c r="B1119" s="1">
        <f>DATE(2012,5,4) + TIME(6,35,0)</f>
        <v>41033.274305555555</v>
      </c>
      <c r="C1119">
        <v>80</v>
      </c>
      <c r="D1119">
        <v>79.716728209999999</v>
      </c>
      <c r="E1119">
        <v>50</v>
      </c>
      <c r="F1119">
        <v>49.598266602000002</v>
      </c>
      <c r="G1119">
        <v>1390.3922118999999</v>
      </c>
      <c r="H1119">
        <v>1375.2280272999999</v>
      </c>
      <c r="I1119">
        <v>1288.1650391000001</v>
      </c>
      <c r="J1119">
        <v>1269.1468506000001</v>
      </c>
      <c r="K1119">
        <v>2400</v>
      </c>
      <c r="L1119">
        <v>0</v>
      </c>
      <c r="M1119">
        <v>0</v>
      </c>
      <c r="N1119">
        <v>2400</v>
      </c>
    </row>
    <row r="1120" spans="1:14" x14ac:dyDescent="0.25">
      <c r="A1120">
        <v>734.40572999999995</v>
      </c>
      <c r="B1120" s="1">
        <f>DATE(2012,5,4) + TIME(9,44,15)</f>
        <v>41033.405729166669</v>
      </c>
      <c r="C1120">
        <v>80</v>
      </c>
      <c r="D1120">
        <v>79.753173828000001</v>
      </c>
      <c r="E1120">
        <v>50</v>
      </c>
      <c r="F1120">
        <v>49.585971831999998</v>
      </c>
      <c r="G1120">
        <v>1390.3156738</v>
      </c>
      <c r="H1120">
        <v>1375.1676024999999</v>
      </c>
      <c r="I1120">
        <v>1288.1623535000001</v>
      </c>
      <c r="J1120">
        <v>1269.1431885</v>
      </c>
      <c r="K1120">
        <v>2400</v>
      </c>
      <c r="L1120">
        <v>0</v>
      </c>
      <c r="M1120">
        <v>0</v>
      </c>
      <c r="N1120">
        <v>2400</v>
      </c>
    </row>
    <row r="1121" spans="1:14" x14ac:dyDescent="0.25">
      <c r="A1121">
        <v>734.54101600000001</v>
      </c>
      <c r="B1121" s="1">
        <f>DATE(2012,5,4) + TIME(12,59,3)</f>
        <v>41033.541006944448</v>
      </c>
      <c r="C1121">
        <v>80</v>
      </c>
      <c r="D1121">
        <v>79.784538268999995</v>
      </c>
      <c r="E1121">
        <v>50</v>
      </c>
      <c r="F1121">
        <v>49.573387146000002</v>
      </c>
      <c r="G1121">
        <v>1390.2401123</v>
      </c>
      <c r="H1121">
        <v>1375.1075439000001</v>
      </c>
      <c r="I1121">
        <v>1288.159668</v>
      </c>
      <c r="J1121">
        <v>1269.1394043</v>
      </c>
      <c r="K1121">
        <v>2400</v>
      </c>
      <c r="L1121">
        <v>0</v>
      </c>
      <c r="M1121">
        <v>0</v>
      </c>
      <c r="N1121">
        <v>2400</v>
      </c>
    </row>
    <row r="1122" spans="1:14" x14ac:dyDescent="0.25">
      <c r="A1122">
        <v>734.680564</v>
      </c>
      <c r="B1122" s="1">
        <f>DATE(2012,5,4) + TIME(16,20,0)</f>
        <v>41033.680555555555</v>
      </c>
      <c r="C1122">
        <v>80</v>
      </c>
      <c r="D1122">
        <v>79.811470032000003</v>
      </c>
      <c r="E1122">
        <v>50</v>
      </c>
      <c r="F1122">
        <v>49.560482024999999</v>
      </c>
      <c r="G1122">
        <v>1390.1655272999999</v>
      </c>
      <c r="H1122">
        <v>1375.0477295000001</v>
      </c>
      <c r="I1122">
        <v>1288.1567382999999</v>
      </c>
      <c r="J1122">
        <v>1269.1356201000001</v>
      </c>
      <c r="K1122">
        <v>2400</v>
      </c>
      <c r="L1122">
        <v>0</v>
      </c>
      <c r="M1122">
        <v>0</v>
      </c>
      <c r="N1122">
        <v>2400</v>
      </c>
    </row>
    <row r="1123" spans="1:14" x14ac:dyDescent="0.25">
      <c r="A1123">
        <v>734.82482100000004</v>
      </c>
      <c r="B1123" s="1">
        <f>DATE(2012,5,4) + TIME(19,47,44)</f>
        <v>41033.824814814812</v>
      </c>
      <c r="C1123">
        <v>80</v>
      </c>
      <c r="D1123">
        <v>79.834518433</v>
      </c>
      <c r="E1123">
        <v>50</v>
      </c>
      <c r="F1123">
        <v>49.547222136999999</v>
      </c>
      <c r="G1123">
        <v>1390.0915527</v>
      </c>
      <c r="H1123">
        <v>1374.9881591999999</v>
      </c>
      <c r="I1123">
        <v>1288.1538086</v>
      </c>
      <c r="J1123">
        <v>1269.1315918</v>
      </c>
      <c r="K1123">
        <v>2400</v>
      </c>
      <c r="L1123">
        <v>0</v>
      </c>
      <c r="M1123">
        <v>0</v>
      </c>
      <c r="N1123">
        <v>2400</v>
      </c>
    </row>
    <row r="1124" spans="1:14" x14ac:dyDescent="0.25">
      <c r="A1124">
        <v>734.97428200000002</v>
      </c>
      <c r="B1124" s="1">
        <f>DATE(2012,5,4) + TIME(23,22,57)</f>
        <v>41033.974270833336</v>
      </c>
      <c r="C1124">
        <v>80</v>
      </c>
      <c r="D1124">
        <v>79.854187011999997</v>
      </c>
      <c r="E1124">
        <v>50</v>
      </c>
      <c r="F1124">
        <v>49.533569335999999</v>
      </c>
      <c r="G1124">
        <v>1390.0180664</v>
      </c>
      <c r="H1124">
        <v>1374.9285889</v>
      </c>
      <c r="I1124">
        <v>1288.1507568</v>
      </c>
      <c r="J1124">
        <v>1269.1274414</v>
      </c>
      <c r="K1124">
        <v>2400</v>
      </c>
      <c r="L1124">
        <v>0</v>
      </c>
      <c r="M1124">
        <v>0</v>
      </c>
      <c r="N1124">
        <v>2400</v>
      </c>
    </row>
    <row r="1125" spans="1:14" x14ac:dyDescent="0.25">
      <c r="A1125">
        <v>735.12951799999996</v>
      </c>
      <c r="B1125" s="1">
        <f>DATE(2012,5,5) + TIME(3,6,30)</f>
        <v>41034.129513888889</v>
      </c>
      <c r="C1125">
        <v>80</v>
      </c>
      <c r="D1125">
        <v>79.870910644999995</v>
      </c>
      <c r="E1125">
        <v>50</v>
      </c>
      <c r="F1125">
        <v>49.519481659</v>
      </c>
      <c r="G1125">
        <v>1389.9448242000001</v>
      </c>
      <c r="H1125">
        <v>1374.8687743999999</v>
      </c>
      <c r="I1125">
        <v>1288.1475829999999</v>
      </c>
      <c r="J1125">
        <v>1269.1231689000001</v>
      </c>
      <c r="K1125">
        <v>2400</v>
      </c>
      <c r="L1125">
        <v>0</v>
      </c>
      <c r="M1125">
        <v>0</v>
      </c>
      <c r="N1125">
        <v>2400</v>
      </c>
    </row>
    <row r="1126" spans="1:14" x14ac:dyDescent="0.25">
      <c r="A1126">
        <v>735.291248</v>
      </c>
      <c r="B1126" s="1">
        <f>DATE(2012,5,5) + TIME(6,59,23)</f>
        <v>41034.291238425925</v>
      </c>
      <c r="C1126">
        <v>80</v>
      </c>
      <c r="D1126">
        <v>79.885086060000006</v>
      </c>
      <c r="E1126">
        <v>50</v>
      </c>
      <c r="F1126">
        <v>49.504898071</v>
      </c>
      <c r="G1126">
        <v>1389.871582</v>
      </c>
      <c r="H1126">
        <v>1374.8088379000001</v>
      </c>
      <c r="I1126">
        <v>1288.1442870999999</v>
      </c>
      <c r="J1126">
        <v>1269.1187743999999</v>
      </c>
      <c r="K1126">
        <v>2400</v>
      </c>
      <c r="L1126">
        <v>0</v>
      </c>
      <c r="M1126">
        <v>0</v>
      </c>
      <c r="N1126">
        <v>2400</v>
      </c>
    </row>
    <row r="1127" spans="1:14" x14ac:dyDescent="0.25">
      <c r="A1127">
        <v>735.460103</v>
      </c>
      <c r="B1127" s="1">
        <f>DATE(2012,5,5) + TIME(11,2,32)</f>
        <v>41034.460092592592</v>
      </c>
      <c r="C1127">
        <v>80</v>
      </c>
      <c r="D1127">
        <v>79.897033691000004</v>
      </c>
      <c r="E1127">
        <v>50</v>
      </c>
      <c r="F1127">
        <v>49.489776611000003</v>
      </c>
      <c r="G1127">
        <v>1389.7979736</v>
      </c>
      <c r="H1127">
        <v>1374.7482910000001</v>
      </c>
      <c r="I1127">
        <v>1288.1407471</v>
      </c>
      <c r="J1127">
        <v>1269.1141356999999</v>
      </c>
      <c r="K1127">
        <v>2400</v>
      </c>
      <c r="L1127">
        <v>0</v>
      </c>
      <c r="M1127">
        <v>0</v>
      </c>
      <c r="N1127">
        <v>2400</v>
      </c>
    </row>
    <row r="1128" spans="1:14" x14ac:dyDescent="0.25">
      <c r="A1128">
        <v>735.63567799999998</v>
      </c>
      <c r="B1128" s="1">
        <f>DATE(2012,5,5) + TIME(15,15,22)</f>
        <v>41034.635671296295</v>
      </c>
      <c r="C1128">
        <v>80</v>
      </c>
      <c r="D1128">
        <v>79.907005310000002</v>
      </c>
      <c r="E1128">
        <v>50</v>
      </c>
      <c r="F1128">
        <v>49.474143982000001</v>
      </c>
      <c r="G1128">
        <v>1389.723999</v>
      </c>
      <c r="H1128">
        <v>1374.6872559000001</v>
      </c>
      <c r="I1128">
        <v>1288.137207</v>
      </c>
      <c r="J1128">
        <v>1269.109375</v>
      </c>
      <c r="K1128">
        <v>2400</v>
      </c>
      <c r="L1128">
        <v>0</v>
      </c>
      <c r="M1128">
        <v>0</v>
      </c>
      <c r="N1128">
        <v>2400</v>
      </c>
    </row>
    <row r="1129" spans="1:14" x14ac:dyDescent="0.25">
      <c r="A1129">
        <v>735.81753400000002</v>
      </c>
      <c r="B1129" s="1">
        <f>DATE(2012,5,5) + TIME(19,37,14)</f>
        <v>41034.817523148151</v>
      </c>
      <c r="C1129">
        <v>80</v>
      </c>
      <c r="D1129">
        <v>79.915252686000002</v>
      </c>
      <c r="E1129">
        <v>50</v>
      </c>
      <c r="F1129">
        <v>49.458034515000001</v>
      </c>
      <c r="G1129">
        <v>1389.6497803</v>
      </c>
      <c r="H1129">
        <v>1374.6259766000001</v>
      </c>
      <c r="I1129">
        <v>1288.1334228999999</v>
      </c>
      <c r="J1129">
        <v>1269.1043701000001</v>
      </c>
      <c r="K1129">
        <v>2400</v>
      </c>
      <c r="L1129">
        <v>0</v>
      </c>
      <c r="M1129">
        <v>0</v>
      </c>
      <c r="N1129">
        <v>2400</v>
      </c>
    </row>
    <row r="1130" spans="1:14" x14ac:dyDescent="0.25">
      <c r="A1130">
        <v>736.00634700000001</v>
      </c>
      <c r="B1130" s="1">
        <f>DATE(2012,5,6) + TIME(0,9,8)</f>
        <v>41035.006342592591</v>
      </c>
      <c r="C1130">
        <v>80</v>
      </c>
      <c r="D1130">
        <v>79.922042847</v>
      </c>
      <c r="E1130">
        <v>50</v>
      </c>
      <c r="F1130">
        <v>49.441394805999998</v>
      </c>
      <c r="G1130">
        <v>1389.5756836</v>
      </c>
      <c r="H1130">
        <v>1374.5645752</v>
      </c>
      <c r="I1130">
        <v>1288.1295166</v>
      </c>
      <c r="J1130">
        <v>1269.0991211</v>
      </c>
      <c r="K1130">
        <v>2400</v>
      </c>
      <c r="L1130">
        <v>0</v>
      </c>
      <c r="M1130">
        <v>0</v>
      </c>
      <c r="N1130">
        <v>2400</v>
      </c>
    </row>
    <row r="1131" spans="1:14" x14ac:dyDescent="0.25">
      <c r="A1131">
        <v>736.20288700000003</v>
      </c>
      <c r="B1131" s="1">
        <f>DATE(2012,5,6) + TIME(4,52,9)</f>
        <v>41035.202881944446</v>
      </c>
      <c r="C1131">
        <v>80</v>
      </c>
      <c r="D1131">
        <v>79.927619934000006</v>
      </c>
      <c r="E1131">
        <v>50</v>
      </c>
      <c r="F1131">
        <v>49.424171448000003</v>
      </c>
      <c r="G1131">
        <v>1389.5013428</v>
      </c>
      <c r="H1131">
        <v>1374.5028076000001</v>
      </c>
      <c r="I1131">
        <v>1288.1253661999999</v>
      </c>
      <c r="J1131">
        <v>1269.09375</v>
      </c>
      <c r="K1131">
        <v>2400</v>
      </c>
      <c r="L1131">
        <v>0</v>
      </c>
      <c r="M1131">
        <v>0</v>
      </c>
      <c r="N1131">
        <v>2400</v>
      </c>
    </row>
    <row r="1132" spans="1:14" x14ac:dyDescent="0.25">
      <c r="A1132">
        <v>736.40800400000001</v>
      </c>
      <c r="B1132" s="1">
        <f>DATE(2012,5,6) + TIME(9,47,31)</f>
        <v>41035.407997685186</v>
      </c>
      <c r="C1132">
        <v>80</v>
      </c>
      <c r="D1132">
        <v>79.932189941000004</v>
      </c>
      <c r="E1132">
        <v>50</v>
      </c>
      <c r="F1132">
        <v>49.406311035000002</v>
      </c>
      <c r="G1132">
        <v>1389.4265137</v>
      </c>
      <c r="H1132">
        <v>1374.4407959</v>
      </c>
      <c r="I1132">
        <v>1288.1210937999999</v>
      </c>
      <c r="J1132">
        <v>1269.0880127</v>
      </c>
      <c r="K1132">
        <v>2400</v>
      </c>
      <c r="L1132">
        <v>0</v>
      </c>
      <c r="M1132">
        <v>0</v>
      </c>
      <c r="N1132">
        <v>2400</v>
      </c>
    </row>
    <row r="1133" spans="1:14" x14ac:dyDescent="0.25">
      <c r="A1133">
        <v>736.62255600000003</v>
      </c>
      <c r="B1133" s="1">
        <f>DATE(2012,5,6) + TIME(14,56,28)</f>
        <v>41035.622546296298</v>
      </c>
      <c r="C1133">
        <v>80</v>
      </c>
      <c r="D1133">
        <v>79.935905457000004</v>
      </c>
      <c r="E1133">
        <v>50</v>
      </c>
      <c r="F1133">
        <v>49.387744904000002</v>
      </c>
      <c r="G1133">
        <v>1389.3510742000001</v>
      </c>
      <c r="H1133">
        <v>1374.3780518000001</v>
      </c>
      <c r="I1133">
        <v>1288.1166992000001</v>
      </c>
      <c r="J1133">
        <v>1269.0821533000001</v>
      </c>
      <c r="K1133">
        <v>2400</v>
      </c>
      <c r="L1133">
        <v>0</v>
      </c>
      <c r="M1133">
        <v>0</v>
      </c>
      <c r="N1133">
        <v>2400</v>
      </c>
    </row>
    <row r="1134" spans="1:14" x14ac:dyDescent="0.25">
      <c r="A1134">
        <v>736.844201</v>
      </c>
      <c r="B1134" s="1">
        <f>DATE(2012,5,6) + TIME(20,15,38)</f>
        <v>41035.844189814816</v>
      </c>
      <c r="C1134">
        <v>80</v>
      </c>
      <c r="D1134">
        <v>79.938880920000003</v>
      </c>
      <c r="E1134">
        <v>50</v>
      </c>
      <c r="F1134">
        <v>49.368633269999997</v>
      </c>
      <c r="G1134">
        <v>1389.2747803</v>
      </c>
      <c r="H1134">
        <v>1374.3146973</v>
      </c>
      <c r="I1134">
        <v>1288.1119385</v>
      </c>
      <c r="J1134">
        <v>1269.0760498</v>
      </c>
      <c r="K1134">
        <v>2400</v>
      </c>
      <c r="L1134">
        <v>0</v>
      </c>
      <c r="M1134">
        <v>0</v>
      </c>
      <c r="N1134">
        <v>2400</v>
      </c>
    </row>
    <row r="1135" spans="1:14" x14ac:dyDescent="0.25">
      <c r="A1135">
        <v>737.06683199999998</v>
      </c>
      <c r="B1135" s="1">
        <f>DATE(2012,5,7) + TIME(1,36,14)</f>
        <v>41036.066828703704</v>
      </c>
      <c r="C1135">
        <v>80</v>
      </c>
      <c r="D1135">
        <v>79.941207886000001</v>
      </c>
      <c r="E1135">
        <v>50</v>
      </c>
      <c r="F1135">
        <v>49.349395752</v>
      </c>
      <c r="G1135">
        <v>1389.1987305</v>
      </c>
      <c r="H1135">
        <v>1374.2513428</v>
      </c>
      <c r="I1135">
        <v>1288.1070557</v>
      </c>
      <c r="J1135">
        <v>1269.0697021000001</v>
      </c>
      <c r="K1135">
        <v>2400</v>
      </c>
      <c r="L1135">
        <v>0</v>
      </c>
      <c r="M1135">
        <v>0</v>
      </c>
      <c r="N1135">
        <v>2400</v>
      </c>
    </row>
    <row r="1136" spans="1:14" x14ac:dyDescent="0.25">
      <c r="A1136">
        <v>737.29082100000005</v>
      </c>
      <c r="B1136" s="1">
        <f>DATE(2012,5,7) + TIME(6,58,46)</f>
        <v>41036.290810185186</v>
      </c>
      <c r="C1136">
        <v>80</v>
      </c>
      <c r="D1136">
        <v>79.943031310999999</v>
      </c>
      <c r="E1136">
        <v>50</v>
      </c>
      <c r="F1136">
        <v>49.330032349</v>
      </c>
      <c r="G1136">
        <v>1389.1246338000001</v>
      </c>
      <c r="H1136">
        <v>1374.1898193</v>
      </c>
      <c r="I1136">
        <v>1288.1021728999999</v>
      </c>
      <c r="J1136">
        <v>1269.0633545000001</v>
      </c>
      <c r="K1136">
        <v>2400</v>
      </c>
      <c r="L1136">
        <v>0</v>
      </c>
      <c r="M1136">
        <v>0</v>
      </c>
      <c r="N1136">
        <v>2400</v>
      </c>
    </row>
    <row r="1137" spans="1:14" x14ac:dyDescent="0.25">
      <c r="A1137">
        <v>737.51682100000005</v>
      </c>
      <c r="B1137" s="1">
        <f>DATE(2012,5,7) + TIME(12,24,13)</f>
        <v>41036.516817129632</v>
      </c>
      <c r="C1137">
        <v>80</v>
      </c>
      <c r="D1137">
        <v>79.944480896000002</v>
      </c>
      <c r="E1137">
        <v>50</v>
      </c>
      <c r="F1137">
        <v>49.310516356999997</v>
      </c>
      <c r="G1137">
        <v>1389.0523682</v>
      </c>
      <c r="H1137">
        <v>1374.1298827999999</v>
      </c>
      <c r="I1137">
        <v>1288.097168</v>
      </c>
      <c r="J1137">
        <v>1269.0568848</v>
      </c>
      <c r="K1137">
        <v>2400</v>
      </c>
      <c r="L1137">
        <v>0</v>
      </c>
      <c r="M1137">
        <v>0</v>
      </c>
      <c r="N1137">
        <v>2400</v>
      </c>
    </row>
    <row r="1138" spans="1:14" x14ac:dyDescent="0.25">
      <c r="A1138">
        <v>737.74535500000002</v>
      </c>
      <c r="B1138" s="1">
        <f>DATE(2012,5,7) + TIME(17,53,18)</f>
        <v>41036.745347222219</v>
      </c>
      <c r="C1138">
        <v>80</v>
      </c>
      <c r="D1138">
        <v>79.945625304999993</v>
      </c>
      <c r="E1138">
        <v>50</v>
      </c>
      <c r="F1138">
        <v>49.290824890000003</v>
      </c>
      <c r="G1138">
        <v>1388.9816894999999</v>
      </c>
      <c r="H1138">
        <v>1374.0711670000001</v>
      </c>
      <c r="I1138">
        <v>1288.0921631000001</v>
      </c>
      <c r="J1138">
        <v>1269.050293</v>
      </c>
      <c r="K1138">
        <v>2400</v>
      </c>
      <c r="L1138">
        <v>0</v>
      </c>
      <c r="M1138">
        <v>0</v>
      </c>
      <c r="N1138">
        <v>2400</v>
      </c>
    </row>
    <row r="1139" spans="1:14" x14ac:dyDescent="0.25">
      <c r="A1139">
        <v>737.97695599999997</v>
      </c>
      <c r="B1139" s="1">
        <f>DATE(2012,5,7) + TIME(23,26,49)</f>
        <v>41036.976956018516</v>
      </c>
      <c r="C1139">
        <v>80</v>
      </c>
      <c r="D1139">
        <v>79.946540833</v>
      </c>
      <c r="E1139">
        <v>50</v>
      </c>
      <c r="F1139">
        <v>49.270935059000003</v>
      </c>
      <c r="G1139">
        <v>1388.9122314000001</v>
      </c>
      <c r="H1139">
        <v>1374.0135498</v>
      </c>
      <c r="I1139">
        <v>1288.0871582</v>
      </c>
      <c r="J1139">
        <v>1269.0438231999999</v>
      </c>
      <c r="K1139">
        <v>2400</v>
      </c>
      <c r="L1139">
        <v>0</v>
      </c>
      <c r="M1139">
        <v>0</v>
      </c>
      <c r="N1139">
        <v>2400</v>
      </c>
    </row>
    <row r="1140" spans="1:14" x14ac:dyDescent="0.25">
      <c r="A1140">
        <v>738.21219699999995</v>
      </c>
      <c r="B1140" s="1">
        <f>DATE(2012,5,8) + TIME(5,5,33)</f>
        <v>41037.212187500001</v>
      </c>
      <c r="C1140">
        <v>80</v>
      </c>
      <c r="D1140">
        <v>79.947273253999995</v>
      </c>
      <c r="E1140">
        <v>50</v>
      </c>
      <c r="F1140">
        <v>49.250804901000002</v>
      </c>
      <c r="G1140">
        <v>1388.84375</v>
      </c>
      <c r="H1140">
        <v>1373.9567870999999</v>
      </c>
      <c r="I1140">
        <v>1288.0820312000001</v>
      </c>
      <c r="J1140">
        <v>1269.0371094</v>
      </c>
      <c r="K1140">
        <v>2400</v>
      </c>
      <c r="L1140">
        <v>0</v>
      </c>
      <c r="M1140">
        <v>0</v>
      </c>
      <c r="N1140">
        <v>2400</v>
      </c>
    </row>
    <row r="1141" spans="1:14" x14ac:dyDescent="0.25">
      <c r="A1141">
        <v>738.45166600000005</v>
      </c>
      <c r="B1141" s="1">
        <f>DATE(2012,5,8) + TIME(10,50,23)</f>
        <v>41037.451655092591</v>
      </c>
      <c r="C1141">
        <v>80</v>
      </c>
      <c r="D1141">
        <v>79.947860718000001</v>
      </c>
      <c r="E1141">
        <v>50</v>
      </c>
      <c r="F1141">
        <v>49.230403899999999</v>
      </c>
      <c r="G1141">
        <v>1388.7761230000001</v>
      </c>
      <c r="H1141">
        <v>1373.9008789</v>
      </c>
      <c r="I1141">
        <v>1288.0767822</v>
      </c>
      <c r="J1141">
        <v>1269.0302733999999</v>
      </c>
      <c r="K1141">
        <v>2400</v>
      </c>
      <c r="L1141">
        <v>0</v>
      </c>
      <c r="M1141">
        <v>0</v>
      </c>
      <c r="N1141">
        <v>2400</v>
      </c>
    </row>
    <row r="1142" spans="1:14" x14ac:dyDescent="0.25">
      <c r="A1142">
        <v>738.69598099999996</v>
      </c>
      <c r="B1142" s="1">
        <f>DATE(2012,5,8) + TIME(16,42,12)</f>
        <v>41037.695972222224</v>
      </c>
      <c r="C1142">
        <v>80</v>
      </c>
      <c r="D1142">
        <v>79.948341369999994</v>
      </c>
      <c r="E1142">
        <v>50</v>
      </c>
      <c r="F1142">
        <v>49.209690094000003</v>
      </c>
      <c r="G1142">
        <v>1388.7091064000001</v>
      </c>
      <c r="H1142">
        <v>1373.8454589999999</v>
      </c>
      <c r="I1142">
        <v>1288.0715332</v>
      </c>
      <c r="J1142">
        <v>1269.0233154</v>
      </c>
      <c r="K1142">
        <v>2400</v>
      </c>
      <c r="L1142">
        <v>0</v>
      </c>
      <c r="M1142">
        <v>0</v>
      </c>
      <c r="N1142">
        <v>2400</v>
      </c>
    </row>
    <row r="1143" spans="1:14" x14ac:dyDescent="0.25">
      <c r="A1143">
        <v>738.94580199999996</v>
      </c>
      <c r="B1143" s="1">
        <f>DATE(2012,5,8) + TIME(22,41,57)</f>
        <v>41037.945798611108</v>
      </c>
      <c r="C1143">
        <v>80</v>
      </c>
      <c r="D1143">
        <v>79.948730468999997</v>
      </c>
      <c r="E1143">
        <v>50</v>
      </c>
      <c r="F1143">
        <v>49.188621521000002</v>
      </c>
      <c r="G1143">
        <v>1388.6425781</v>
      </c>
      <c r="H1143">
        <v>1373.7904053</v>
      </c>
      <c r="I1143">
        <v>1288.0660399999999</v>
      </c>
      <c r="J1143">
        <v>1269.0162353999999</v>
      </c>
      <c r="K1143">
        <v>2400</v>
      </c>
      <c r="L1143">
        <v>0</v>
      </c>
      <c r="M1143">
        <v>0</v>
      </c>
      <c r="N1143">
        <v>2400</v>
      </c>
    </row>
    <row r="1144" spans="1:14" x14ac:dyDescent="0.25">
      <c r="A1144">
        <v>739.20183599999996</v>
      </c>
      <c r="B1144" s="1">
        <f>DATE(2012,5,9) + TIME(4,50,38)</f>
        <v>41038.201828703706</v>
      </c>
      <c r="C1144">
        <v>80</v>
      </c>
      <c r="D1144">
        <v>79.949050903</v>
      </c>
      <c r="E1144">
        <v>50</v>
      </c>
      <c r="F1144">
        <v>49.167148589999996</v>
      </c>
      <c r="G1144">
        <v>1388.5762939000001</v>
      </c>
      <c r="H1144">
        <v>1373.7357178</v>
      </c>
      <c r="I1144">
        <v>1288.0605469</v>
      </c>
      <c r="J1144">
        <v>1269.0090332</v>
      </c>
      <c r="K1144">
        <v>2400</v>
      </c>
      <c r="L1144">
        <v>0</v>
      </c>
      <c r="M1144">
        <v>0</v>
      </c>
      <c r="N1144">
        <v>2400</v>
      </c>
    </row>
    <row r="1145" spans="1:14" x14ac:dyDescent="0.25">
      <c r="A1145">
        <v>739.46486000000004</v>
      </c>
      <c r="B1145" s="1">
        <f>DATE(2012,5,9) + TIME(11,9,23)</f>
        <v>41038.464849537035</v>
      </c>
      <c r="C1145">
        <v>80</v>
      </c>
      <c r="D1145">
        <v>79.949310303000004</v>
      </c>
      <c r="E1145">
        <v>50</v>
      </c>
      <c r="F1145">
        <v>49.145217895999998</v>
      </c>
      <c r="G1145">
        <v>1388.5101318</v>
      </c>
      <c r="H1145">
        <v>1373.6811522999999</v>
      </c>
      <c r="I1145">
        <v>1288.0548096</v>
      </c>
      <c r="J1145">
        <v>1269.0015868999999</v>
      </c>
      <c r="K1145">
        <v>2400</v>
      </c>
      <c r="L1145">
        <v>0</v>
      </c>
      <c r="M1145">
        <v>0</v>
      </c>
      <c r="N1145">
        <v>2400</v>
      </c>
    </row>
    <row r="1146" spans="1:14" x14ac:dyDescent="0.25">
      <c r="A1146">
        <v>739.735726</v>
      </c>
      <c r="B1146" s="1">
        <f>DATE(2012,5,9) + TIME(17,39,26)</f>
        <v>41038.735717592594</v>
      </c>
      <c r="C1146">
        <v>80</v>
      </c>
      <c r="D1146">
        <v>79.949531554999993</v>
      </c>
      <c r="E1146">
        <v>50</v>
      </c>
      <c r="F1146">
        <v>49.122768401999998</v>
      </c>
      <c r="G1146">
        <v>1388.4438477000001</v>
      </c>
      <c r="H1146">
        <v>1373.6265868999999</v>
      </c>
      <c r="I1146">
        <v>1288.0490723</v>
      </c>
      <c r="J1146">
        <v>1268.9940185999999</v>
      </c>
      <c r="K1146">
        <v>2400</v>
      </c>
      <c r="L1146">
        <v>0</v>
      </c>
      <c r="M1146">
        <v>0</v>
      </c>
      <c r="N1146">
        <v>2400</v>
      </c>
    </row>
    <row r="1147" spans="1:14" x14ac:dyDescent="0.25">
      <c r="A1147">
        <v>740.01547900000003</v>
      </c>
      <c r="B1147" s="1">
        <f>DATE(2012,5,10) + TIME(0,22,17)</f>
        <v>41039.015474537038</v>
      </c>
      <c r="C1147">
        <v>80</v>
      </c>
      <c r="D1147">
        <v>79.949707031000003</v>
      </c>
      <c r="E1147">
        <v>50</v>
      </c>
      <c r="F1147">
        <v>49.099735260000003</v>
      </c>
      <c r="G1147">
        <v>1388.3773193</v>
      </c>
      <c r="H1147">
        <v>1373.5717772999999</v>
      </c>
      <c r="I1147">
        <v>1288.0429687999999</v>
      </c>
      <c r="J1147">
        <v>1268.9862060999999</v>
      </c>
      <c r="K1147">
        <v>2400</v>
      </c>
      <c r="L1147">
        <v>0</v>
      </c>
      <c r="M1147">
        <v>0</v>
      </c>
      <c r="N1147">
        <v>2400</v>
      </c>
    </row>
    <row r="1148" spans="1:14" x14ac:dyDescent="0.25">
      <c r="A1148">
        <v>740.30507599999999</v>
      </c>
      <c r="B1148" s="1">
        <f>DATE(2012,5,10) + TIME(7,19,18)</f>
        <v>41039.305069444446</v>
      </c>
      <c r="C1148">
        <v>80</v>
      </c>
      <c r="D1148">
        <v>79.949851989999999</v>
      </c>
      <c r="E1148">
        <v>50</v>
      </c>
      <c r="F1148">
        <v>49.076045989999997</v>
      </c>
      <c r="G1148">
        <v>1388.3103027</v>
      </c>
      <c r="H1148">
        <v>1373.5167236</v>
      </c>
      <c r="I1148">
        <v>1288.0367432</v>
      </c>
      <c r="J1148">
        <v>1268.9780272999999</v>
      </c>
      <c r="K1148">
        <v>2400</v>
      </c>
      <c r="L1148">
        <v>0</v>
      </c>
      <c r="M1148">
        <v>0</v>
      </c>
      <c r="N1148">
        <v>2400</v>
      </c>
    </row>
    <row r="1149" spans="1:14" x14ac:dyDescent="0.25">
      <c r="A1149">
        <v>740.60114299999998</v>
      </c>
      <c r="B1149" s="1">
        <f>DATE(2012,5,10) + TIME(14,25,38)</f>
        <v>41039.601134259261</v>
      </c>
      <c r="C1149">
        <v>80</v>
      </c>
      <c r="D1149">
        <v>79.949974060000002</v>
      </c>
      <c r="E1149">
        <v>50</v>
      </c>
      <c r="F1149">
        <v>49.051898956000002</v>
      </c>
      <c r="G1149">
        <v>1388.2427978999999</v>
      </c>
      <c r="H1149">
        <v>1373.4611815999999</v>
      </c>
      <c r="I1149">
        <v>1288.0302733999999</v>
      </c>
      <c r="J1149">
        <v>1268.9696045000001</v>
      </c>
      <c r="K1149">
        <v>2400</v>
      </c>
      <c r="L1149">
        <v>0</v>
      </c>
      <c r="M1149">
        <v>0</v>
      </c>
      <c r="N1149">
        <v>2400</v>
      </c>
    </row>
    <row r="1150" spans="1:14" x14ac:dyDescent="0.25">
      <c r="A1150">
        <v>740.90451900000005</v>
      </c>
      <c r="B1150" s="1">
        <f>DATE(2012,5,10) + TIME(21,42,30)</f>
        <v>41039.904513888891</v>
      </c>
      <c r="C1150">
        <v>80</v>
      </c>
      <c r="D1150">
        <v>79.950073242000002</v>
      </c>
      <c r="E1150">
        <v>50</v>
      </c>
      <c r="F1150">
        <v>49.027252197000003</v>
      </c>
      <c r="G1150">
        <v>1388.1754149999999</v>
      </c>
      <c r="H1150">
        <v>1373.4058838000001</v>
      </c>
      <c r="I1150">
        <v>1288.0236815999999</v>
      </c>
      <c r="J1150">
        <v>1268.9610596</v>
      </c>
      <c r="K1150">
        <v>2400</v>
      </c>
      <c r="L1150">
        <v>0</v>
      </c>
      <c r="M1150">
        <v>0</v>
      </c>
      <c r="N1150">
        <v>2400</v>
      </c>
    </row>
    <row r="1151" spans="1:14" x14ac:dyDescent="0.25">
      <c r="A1151">
        <v>741.21602399999995</v>
      </c>
      <c r="B1151" s="1">
        <f>DATE(2012,5,11) + TIME(5,11,4)</f>
        <v>41040.21601851852</v>
      </c>
      <c r="C1151">
        <v>80</v>
      </c>
      <c r="D1151">
        <v>79.950149535999998</v>
      </c>
      <c r="E1151">
        <v>50</v>
      </c>
      <c r="F1151">
        <v>49.002063751000001</v>
      </c>
      <c r="G1151">
        <v>1388.1080322</v>
      </c>
      <c r="H1151">
        <v>1373.3507079999999</v>
      </c>
      <c r="I1151">
        <v>1288.0168457</v>
      </c>
      <c r="J1151">
        <v>1268.9521483999999</v>
      </c>
      <c r="K1151">
        <v>2400</v>
      </c>
      <c r="L1151">
        <v>0</v>
      </c>
      <c r="M1151">
        <v>0</v>
      </c>
      <c r="N1151">
        <v>2400</v>
      </c>
    </row>
    <row r="1152" spans="1:14" x14ac:dyDescent="0.25">
      <c r="A1152">
        <v>741.53656699999999</v>
      </c>
      <c r="B1152" s="1">
        <f>DATE(2012,5,11) + TIME(12,52,39)</f>
        <v>41040.536562499998</v>
      </c>
      <c r="C1152">
        <v>80</v>
      </c>
      <c r="D1152">
        <v>79.950218200999998</v>
      </c>
      <c r="E1152">
        <v>50</v>
      </c>
      <c r="F1152">
        <v>48.976272582999997</v>
      </c>
      <c r="G1152">
        <v>1388.0406493999999</v>
      </c>
      <c r="H1152">
        <v>1373.2955322</v>
      </c>
      <c r="I1152">
        <v>1288.0097656</v>
      </c>
      <c r="J1152">
        <v>1268.9431152</v>
      </c>
      <c r="K1152">
        <v>2400</v>
      </c>
      <c r="L1152">
        <v>0</v>
      </c>
      <c r="M1152">
        <v>0</v>
      </c>
      <c r="N1152">
        <v>2400</v>
      </c>
    </row>
    <row r="1153" spans="1:14" x14ac:dyDescent="0.25">
      <c r="A1153">
        <v>741.86715700000002</v>
      </c>
      <c r="B1153" s="1">
        <f>DATE(2012,5,11) + TIME(20,48,42)</f>
        <v>41040.867152777777</v>
      </c>
      <c r="C1153">
        <v>80</v>
      </c>
      <c r="D1153">
        <v>79.950263977000006</v>
      </c>
      <c r="E1153">
        <v>50</v>
      </c>
      <c r="F1153">
        <v>48.949829102000002</v>
      </c>
      <c r="G1153">
        <v>1387.9730225000001</v>
      </c>
      <c r="H1153">
        <v>1373.2401123</v>
      </c>
      <c r="I1153">
        <v>1288.0025635</v>
      </c>
      <c r="J1153">
        <v>1268.9337158000001</v>
      </c>
      <c r="K1153">
        <v>2400</v>
      </c>
      <c r="L1153">
        <v>0</v>
      </c>
      <c r="M1153">
        <v>0</v>
      </c>
      <c r="N1153">
        <v>2400</v>
      </c>
    </row>
    <row r="1154" spans="1:14" x14ac:dyDescent="0.25">
      <c r="A1154">
        <v>742.20896300000004</v>
      </c>
      <c r="B1154" s="1">
        <f>DATE(2012,5,12) + TIME(5,0,54)</f>
        <v>41041.208958333336</v>
      </c>
      <c r="C1154">
        <v>80</v>
      </c>
      <c r="D1154">
        <v>79.950309752999999</v>
      </c>
      <c r="E1154">
        <v>50</v>
      </c>
      <c r="F1154">
        <v>48.922653197999999</v>
      </c>
      <c r="G1154">
        <v>1387.9049072</v>
      </c>
      <c r="H1154">
        <v>1373.1844481999999</v>
      </c>
      <c r="I1154">
        <v>1287.9951172000001</v>
      </c>
      <c r="J1154">
        <v>1268.9240723</v>
      </c>
      <c r="K1154">
        <v>2400</v>
      </c>
      <c r="L1154">
        <v>0</v>
      </c>
      <c r="M1154">
        <v>0</v>
      </c>
      <c r="N1154">
        <v>2400</v>
      </c>
    </row>
    <row r="1155" spans="1:14" x14ac:dyDescent="0.25">
      <c r="A1155">
        <v>742.55997000000002</v>
      </c>
      <c r="B1155" s="1">
        <f>DATE(2012,5,12) + TIME(13,26,21)</f>
        <v>41041.559965277775</v>
      </c>
      <c r="C1155">
        <v>80</v>
      </c>
      <c r="D1155">
        <v>79.950340271000002</v>
      </c>
      <c r="E1155">
        <v>50</v>
      </c>
      <c r="F1155">
        <v>48.894851684999999</v>
      </c>
      <c r="G1155">
        <v>1387.8363036999999</v>
      </c>
      <c r="H1155">
        <v>1373.128418</v>
      </c>
      <c r="I1155">
        <v>1287.9874268000001</v>
      </c>
      <c r="J1155">
        <v>1268.9140625</v>
      </c>
      <c r="K1155">
        <v>2400</v>
      </c>
      <c r="L1155">
        <v>0</v>
      </c>
      <c r="M1155">
        <v>0</v>
      </c>
      <c r="N1155">
        <v>2400</v>
      </c>
    </row>
    <row r="1156" spans="1:14" x14ac:dyDescent="0.25">
      <c r="A1156">
        <v>742.91318799999999</v>
      </c>
      <c r="B1156" s="1">
        <f>DATE(2012,5,12) + TIME(21,54,59)</f>
        <v>41041.913182870368</v>
      </c>
      <c r="C1156">
        <v>80</v>
      </c>
      <c r="D1156">
        <v>79.950355529999996</v>
      </c>
      <c r="E1156">
        <v>50</v>
      </c>
      <c r="F1156">
        <v>48.866825104</v>
      </c>
      <c r="G1156">
        <v>1387.7674560999999</v>
      </c>
      <c r="H1156">
        <v>1373.0721435999999</v>
      </c>
      <c r="I1156">
        <v>1287.9793701000001</v>
      </c>
      <c r="J1156">
        <v>1268.9038086</v>
      </c>
      <c r="K1156">
        <v>2400</v>
      </c>
      <c r="L1156">
        <v>0</v>
      </c>
      <c r="M1156">
        <v>0</v>
      </c>
      <c r="N1156">
        <v>2400</v>
      </c>
    </row>
    <row r="1157" spans="1:14" x14ac:dyDescent="0.25">
      <c r="A1157">
        <v>743.26953400000002</v>
      </c>
      <c r="B1157" s="1">
        <f>DATE(2012,5,13) + TIME(6,28,7)</f>
        <v>41042.269525462965</v>
      </c>
      <c r="C1157">
        <v>80</v>
      </c>
      <c r="D1157">
        <v>79.950370789000004</v>
      </c>
      <c r="E1157">
        <v>50</v>
      </c>
      <c r="F1157">
        <v>48.838569640999999</v>
      </c>
      <c r="G1157">
        <v>1387.6999512</v>
      </c>
      <c r="H1157">
        <v>1373.0170897999999</v>
      </c>
      <c r="I1157">
        <v>1287.9713135</v>
      </c>
      <c r="J1157">
        <v>1268.8934326000001</v>
      </c>
      <c r="K1157">
        <v>2400</v>
      </c>
      <c r="L1157">
        <v>0</v>
      </c>
      <c r="M1157">
        <v>0</v>
      </c>
      <c r="N1157">
        <v>2400</v>
      </c>
    </row>
    <row r="1158" spans="1:14" x14ac:dyDescent="0.25">
      <c r="A1158">
        <v>743.62995000000001</v>
      </c>
      <c r="B1158" s="1">
        <f>DATE(2012,5,13) + TIME(15,7,7)</f>
        <v>41042.629942129628</v>
      </c>
      <c r="C1158">
        <v>80</v>
      </c>
      <c r="D1158">
        <v>79.950378418</v>
      </c>
      <c r="E1158">
        <v>50</v>
      </c>
      <c r="F1158">
        <v>48.810062408</v>
      </c>
      <c r="G1158">
        <v>1387.6334228999999</v>
      </c>
      <c r="H1158">
        <v>1372.9627685999999</v>
      </c>
      <c r="I1158">
        <v>1287.9632568</v>
      </c>
      <c r="J1158">
        <v>1268.8829346</v>
      </c>
      <c r="K1158">
        <v>2400</v>
      </c>
      <c r="L1158">
        <v>0</v>
      </c>
      <c r="M1158">
        <v>0</v>
      </c>
      <c r="N1158">
        <v>2400</v>
      </c>
    </row>
    <row r="1159" spans="1:14" x14ac:dyDescent="0.25">
      <c r="A1159">
        <v>743.99539200000004</v>
      </c>
      <c r="B1159" s="1">
        <f>DATE(2012,5,13) + TIME(23,53,21)</f>
        <v>41042.995381944442</v>
      </c>
      <c r="C1159">
        <v>80</v>
      </c>
      <c r="D1159">
        <v>79.950386046999995</v>
      </c>
      <c r="E1159">
        <v>50</v>
      </c>
      <c r="F1159">
        <v>48.781272887999997</v>
      </c>
      <c r="G1159">
        <v>1387.5676269999999</v>
      </c>
      <c r="H1159">
        <v>1372.9093018000001</v>
      </c>
      <c r="I1159">
        <v>1287.9549560999999</v>
      </c>
      <c r="J1159">
        <v>1268.8723144999999</v>
      </c>
      <c r="K1159">
        <v>2400</v>
      </c>
      <c r="L1159">
        <v>0</v>
      </c>
      <c r="M1159">
        <v>0</v>
      </c>
      <c r="N1159">
        <v>2400</v>
      </c>
    </row>
    <row r="1160" spans="1:14" x14ac:dyDescent="0.25">
      <c r="A1160">
        <v>744.36683800000003</v>
      </c>
      <c r="B1160" s="1">
        <f>DATE(2012,5,14) + TIME(8,48,14)</f>
        <v>41043.366828703707</v>
      </c>
      <c r="C1160">
        <v>80</v>
      </c>
      <c r="D1160">
        <v>79.950386046999995</v>
      </c>
      <c r="E1160">
        <v>50</v>
      </c>
      <c r="F1160">
        <v>48.752151488999999</v>
      </c>
      <c r="G1160">
        <v>1387.5025635</v>
      </c>
      <c r="H1160">
        <v>1372.8562012</v>
      </c>
      <c r="I1160">
        <v>1287.9466553</v>
      </c>
      <c r="J1160">
        <v>1268.8615723</v>
      </c>
      <c r="K1160">
        <v>2400</v>
      </c>
      <c r="L1160">
        <v>0</v>
      </c>
      <c r="M1160">
        <v>0</v>
      </c>
      <c r="N1160">
        <v>2400</v>
      </c>
    </row>
    <row r="1161" spans="1:14" x14ac:dyDescent="0.25">
      <c r="A1161">
        <v>744.74472100000003</v>
      </c>
      <c r="B1161" s="1">
        <f>DATE(2012,5,14) + TIME(17,52,23)</f>
        <v>41043.744710648149</v>
      </c>
      <c r="C1161">
        <v>80</v>
      </c>
      <c r="D1161">
        <v>79.950378418</v>
      </c>
      <c r="E1161">
        <v>50</v>
      </c>
      <c r="F1161">
        <v>48.722671509000001</v>
      </c>
      <c r="G1161">
        <v>1387.4378661999999</v>
      </c>
      <c r="H1161">
        <v>1372.8034668</v>
      </c>
      <c r="I1161">
        <v>1287.9381103999999</v>
      </c>
      <c r="J1161">
        <v>1268.8505858999999</v>
      </c>
      <c r="K1161">
        <v>2400</v>
      </c>
      <c r="L1161">
        <v>0</v>
      </c>
      <c r="M1161">
        <v>0</v>
      </c>
      <c r="N1161">
        <v>2400</v>
      </c>
    </row>
    <row r="1162" spans="1:14" x14ac:dyDescent="0.25">
      <c r="A1162">
        <v>745.12940200000003</v>
      </c>
      <c r="B1162" s="1">
        <f>DATE(2012,5,15) + TIME(3,6,20)</f>
        <v>41044.12939814815</v>
      </c>
      <c r="C1162">
        <v>80</v>
      </c>
      <c r="D1162">
        <v>79.950370789000004</v>
      </c>
      <c r="E1162">
        <v>50</v>
      </c>
      <c r="F1162">
        <v>48.692813872999999</v>
      </c>
      <c r="G1162">
        <v>1387.3734131000001</v>
      </c>
      <c r="H1162">
        <v>1372.7510986</v>
      </c>
      <c r="I1162">
        <v>1287.9294434000001</v>
      </c>
      <c r="J1162">
        <v>1268.8393555</v>
      </c>
      <c r="K1162">
        <v>2400</v>
      </c>
      <c r="L1162">
        <v>0</v>
      </c>
      <c r="M1162">
        <v>0</v>
      </c>
      <c r="N1162">
        <v>2400</v>
      </c>
    </row>
    <row r="1163" spans="1:14" x14ac:dyDescent="0.25">
      <c r="A1163">
        <v>745.52191700000003</v>
      </c>
      <c r="B1163" s="1">
        <f>DATE(2012,5,15) + TIME(12,31,33)</f>
        <v>41044.521909722222</v>
      </c>
      <c r="C1163">
        <v>80</v>
      </c>
      <c r="D1163">
        <v>79.950363159000005</v>
      </c>
      <c r="E1163">
        <v>50</v>
      </c>
      <c r="F1163">
        <v>48.662525176999999</v>
      </c>
      <c r="G1163">
        <v>1387.3093262</v>
      </c>
      <c r="H1163">
        <v>1372.6989745999999</v>
      </c>
      <c r="I1163">
        <v>1287.9205322</v>
      </c>
      <c r="J1163">
        <v>1268.8280029</v>
      </c>
      <c r="K1163">
        <v>2400</v>
      </c>
      <c r="L1163">
        <v>0</v>
      </c>
      <c r="M1163">
        <v>0</v>
      </c>
      <c r="N1163">
        <v>2400</v>
      </c>
    </row>
    <row r="1164" spans="1:14" x14ac:dyDescent="0.25">
      <c r="A1164">
        <v>745.92336599999999</v>
      </c>
      <c r="B1164" s="1">
        <f>DATE(2012,5,15) + TIME(22,9,38)</f>
        <v>41044.923356481479</v>
      </c>
      <c r="C1164">
        <v>80</v>
      </c>
      <c r="D1164">
        <v>79.950355529999996</v>
      </c>
      <c r="E1164">
        <v>50</v>
      </c>
      <c r="F1164">
        <v>48.631732941000003</v>
      </c>
      <c r="G1164">
        <v>1387.2453613</v>
      </c>
      <c r="H1164">
        <v>1372.6469727000001</v>
      </c>
      <c r="I1164">
        <v>1287.911499</v>
      </c>
      <c r="J1164">
        <v>1268.8162841999999</v>
      </c>
      <c r="K1164">
        <v>2400</v>
      </c>
      <c r="L1164">
        <v>0</v>
      </c>
      <c r="M1164">
        <v>0</v>
      </c>
      <c r="N1164">
        <v>2400</v>
      </c>
    </row>
    <row r="1165" spans="1:14" x14ac:dyDescent="0.25">
      <c r="A1165">
        <v>746.33492899999999</v>
      </c>
      <c r="B1165" s="1">
        <f>DATE(2012,5,16) + TIME(8,2,17)</f>
        <v>41045.334918981483</v>
      </c>
      <c r="C1165">
        <v>80</v>
      </c>
      <c r="D1165">
        <v>79.950340271000002</v>
      </c>
      <c r="E1165">
        <v>50</v>
      </c>
      <c r="F1165">
        <v>48.600368500000002</v>
      </c>
      <c r="G1165">
        <v>1387.1812743999999</v>
      </c>
      <c r="H1165">
        <v>1372.5949707</v>
      </c>
      <c r="I1165">
        <v>1287.9022216999999</v>
      </c>
      <c r="J1165">
        <v>1268.8043213000001</v>
      </c>
      <c r="K1165">
        <v>2400</v>
      </c>
      <c r="L1165">
        <v>0</v>
      </c>
      <c r="M1165">
        <v>0</v>
      </c>
      <c r="N1165">
        <v>2400</v>
      </c>
    </row>
    <row r="1166" spans="1:14" x14ac:dyDescent="0.25">
      <c r="A1166">
        <v>746.75791000000004</v>
      </c>
      <c r="B1166" s="1">
        <f>DATE(2012,5,16) + TIME(18,11,23)</f>
        <v>41045.757905092592</v>
      </c>
      <c r="C1166">
        <v>80</v>
      </c>
      <c r="D1166">
        <v>79.950325011999993</v>
      </c>
      <c r="E1166">
        <v>50</v>
      </c>
      <c r="F1166">
        <v>48.568351745999998</v>
      </c>
      <c r="G1166">
        <v>1387.1169434000001</v>
      </c>
      <c r="H1166">
        <v>1372.5427245999999</v>
      </c>
      <c r="I1166">
        <v>1287.8927002</v>
      </c>
      <c r="J1166">
        <v>1268.7919922000001</v>
      </c>
      <c r="K1166">
        <v>2400</v>
      </c>
      <c r="L1166">
        <v>0</v>
      </c>
      <c r="M1166">
        <v>0</v>
      </c>
      <c r="N1166">
        <v>2400</v>
      </c>
    </row>
    <row r="1167" spans="1:14" x14ac:dyDescent="0.25">
      <c r="A1167">
        <v>747.19376199999999</v>
      </c>
      <c r="B1167" s="1">
        <f>DATE(2012,5,17) + TIME(4,39,0)</f>
        <v>41046.193749999999</v>
      </c>
      <c r="C1167">
        <v>80</v>
      </c>
      <c r="D1167">
        <v>79.950309752999999</v>
      </c>
      <c r="E1167">
        <v>50</v>
      </c>
      <c r="F1167">
        <v>48.535591125000003</v>
      </c>
      <c r="G1167">
        <v>1387.0522461</v>
      </c>
      <c r="H1167">
        <v>1372.4902344</v>
      </c>
      <c r="I1167">
        <v>1287.8828125</v>
      </c>
      <c r="J1167">
        <v>1268.7792969</v>
      </c>
      <c r="K1167">
        <v>2400</v>
      </c>
      <c r="L1167">
        <v>0</v>
      </c>
      <c r="M1167">
        <v>0</v>
      </c>
      <c r="N1167">
        <v>2400</v>
      </c>
    </row>
    <row r="1168" spans="1:14" x14ac:dyDescent="0.25">
      <c r="A1168">
        <v>747.64340100000004</v>
      </c>
      <c r="B1168" s="1">
        <f>DATE(2012,5,17) + TIME(15,26,29)</f>
        <v>41046.643391203703</v>
      </c>
      <c r="C1168">
        <v>80</v>
      </c>
      <c r="D1168">
        <v>79.950294494999994</v>
      </c>
      <c r="E1168">
        <v>50</v>
      </c>
      <c r="F1168">
        <v>48.502025604000004</v>
      </c>
      <c r="G1168">
        <v>1386.9870605000001</v>
      </c>
      <c r="H1168">
        <v>1372.4373779</v>
      </c>
      <c r="I1168">
        <v>1287.8726807</v>
      </c>
      <c r="J1168">
        <v>1268.7662353999999</v>
      </c>
      <c r="K1168">
        <v>2400</v>
      </c>
      <c r="L1168">
        <v>0</v>
      </c>
      <c r="M1168">
        <v>0</v>
      </c>
      <c r="N1168">
        <v>2400</v>
      </c>
    </row>
    <row r="1169" spans="1:14" x14ac:dyDescent="0.25">
      <c r="A1169">
        <v>748.103027</v>
      </c>
      <c r="B1169" s="1">
        <f>DATE(2012,5,18) + TIME(2,28,21)</f>
        <v>41047.103020833332</v>
      </c>
      <c r="C1169">
        <v>80</v>
      </c>
      <c r="D1169">
        <v>79.950279236</v>
      </c>
      <c r="E1169">
        <v>50</v>
      </c>
      <c r="F1169">
        <v>48.467815399000003</v>
      </c>
      <c r="G1169">
        <v>1386.9212646000001</v>
      </c>
      <c r="H1169">
        <v>1372.3839111</v>
      </c>
      <c r="I1169">
        <v>1287.8621826000001</v>
      </c>
      <c r="J1169">
        <v>1268.7526855000001</v>
      </c>
      <c r="K1169">
        <v>2400</v>
      </c>
      <c r="L1169">
        <v>0</v>
      </c>
      <c r="M1169">
        <v>0</v>
      </c>
      <c r="N1169">
        <v>2400</v>
      </c>
    </row>
    <row r="1170" spans="1:14" x14ac:dyDescent="0.25">
      <c r="A1170">
        <v>748.56846800000005</v>
      </c>
      <c r="B1170" s="1">
        <f>DATE(2012,5,18) + TIME(13,38,35)</f>
        <v>41047.568460648145</v>
      </c>
      <c r="C1170">
        <v>80</v>
      </c>
      <c r="D1170">
        <v>79.950256347999996</v>
      </c>
      <c r="E1170">
        <v>50</v>
      </c>
      <c r="F1170">
        <v>48.433181763</v>
      </c>
      <c r="G1170">
        <v>1386.8553466999999</v>
      </c>
      <c r="H1170">
        <v>1372.3305664</v>
      </c>
      <c r="I1170">
        <v>1287.8513184000001</v>
      </c>
      <c r="J1170">
        <v>1268.7388916</v>
      </c>
      <c r="K1170">
        <v>2400</v>
      </c>
      <c r="L1170">
        <v>0</v>
      </c>
      <c r="M1170">
        <v>0</v>
      </c>
      <c r="N1170">
        <v>2400</v>
      </c>
    </row>
    <row r="1171" spans="1:14" x14ac:dyDescent="0.25">
      <c r="A1171">
        <v>749.03772700000002</v>
      </c>
      <c r="B1171" s="1">
        <f>DATE(2012,5,19) + TIME(0,54,19)</f>
        <v>41048.037719907406</v>
      </c>
      <c r="C1171">
        <v>80</v>
      </c>
      <c r="D1171">
        <v>79.950241089000002</v>
      </c>
      <c r="E1171">
        <v>50</v>
      </c>
      <c r="F1171">
        <v>48.398281097000002</v>
      </c>
      <c r="G1171">
        <v>1386.7900391000001</v>
      </c>
      <c r="H1171">
        <v>1372.2775879000001</v>
      </c>
      <c r="I1171">
        <v>1287.840332</v>
      </c>
      <c r="J1171">
        <v>1268.7247314000001</v>
      </c>
      <c r="K1171">
        <v>2400</v>
      </c>
      <c r="L1171">
        <v>0</v>
      </c>
      <c r="M1171">
        <v>0</v>
      </c>
      <c r="N1171">
        <v>2400</v>
      </c>
    </row>
    <row r="1172" spans="1:14" x14ac:dyDescent="0.25">
      <c r="A1172">
        <v>749.51211499999999</v>
      </c>
      <c r="B1172" s="1">
        <f>DATE(2012,5,19) + TIME(12,17,26)</f>
        <v>41048.512106481481</v>
      </c>
      <c r="C1172">
        <v>80</v>
      </c>
      <c r="D1172">
        <v>79.950225829999994</v>
      </c>
      <c r="E1172">
        <v>50</v>
      </c>
      <c r="F1172">
        <v>48.363101958999998</v>
      </c>
      <c r="G1172">
        <v>1386.7255858999999</v>
      </c>
      <c r="H1172">
        <v>1372.2253418</v>
      </c>
      <c r="I1172">
        <v>1287.8292236</v>
      </c>
      <c r="J1172">
        <v>1268.7104492000001</v>
      </c>
      <c r="K1172">
        <v>2400</v>
      </c>
      <c r="L1172">
        <v>0</v>
      </c>
      <c r="M1172">
        <v>0</v>
      </c>
      <c r="N1172">
        <v>2400</v>
      </c>
    </row>
    <row r="1173" spans="1:14" x14ac:dyDescent="0.25">
      <c r="A1173">
        <v>749.99294099999997</v>
      </c>
      <c r="B1173" s="1">
        <f>DATE(2012,5,19) + TIME(23,49,50)</f>
        <v>41048.992939814816</v>
      </c>
      <c r="C1173">
        <v>80</v>
      </c>
      <c r="D1173">
        <v>79.950202942000004</v>
      </c>
      <c r="E1173">
        <v>50</v>
      </c>
      <c r="F1173">
        <v>48.327610016000001</v>
      </c>
      <c r="G1173">
        <v>1386.6617432</v>
      </c>
      <c r="H1173">
        <v>1372.1735839999999</v>
      </c>
      <c r="I1173">
        <v>1287.8179932</v>
      </c>
      <c r="J1173">
        <v>1268.6960449000001</v>
      </c>
      <c r="K1173">
        <v>2400</v>
      </c>
      <c r="L1173">
        <v>0</v>
      </c>
      <c r="M1173">
        <v>0</v>
      </c>
      <c r="N1173">
        <v>2400</v>
      </c>
    </row>
    <row r="1174" spans="1:14" x14ac:dyDescent="0.25">
      <c r="A1174">
        <v>750.48155499999996</v>
      </c>
      <c r="B1174" s="1">
        <f>DATE(2012,5,20) + TIME(11,33,26)</f>
        <v>41049.481550925928</v>
      </c>
      <c r="C1174">
        <v>80</v>
      </c>
      <c r="D1174">
        <v>79.950187682999996</v>
      </c>
      <c r="E1174">
        <v>50</v>
      </c>
      <c r="F1174">
        <v>48.291740417</v>
      </c>
      <c r="G1174">
        <v>1386.5983887</v>
      </c>
      <c r="H1174">
        <v>1372.1221923999999</v>
      </c>
      <c r="I1174">
        <v>1287.8065185999999</v>
      </c>
      <c r="J1174">
        <v>1268.6812743999999</v>
      </c>
      <c r="K1174">
        <v>2400</v>
      </c>
      <c r="L1174">
        <v>0</v>
      </c>
      <c r="M1174">
        <v>0</v>
      </c>
      <c r="N1174">
        <v>2400</v>
      </c>
    </row>
    <row r="1175" spans="1:14" x14ac:dyDescent="0.25">
      <c r="A1175">
        <v>750.97673199999997</v>
      </c>
      <c r="B1175" s="1">
        <f>DATE(2012,5,20) + TIME(23,26,29)</f>
        <v>41049.976724537039</v>
      </c>
      <c r="C1175">
        <v>80</v>
      </c>
      <c r="D1175">
        <v>79.950164795000006</v>
      </c>
      <c r="E1175">
        <v>50</v>
      </c>
      <c r="F1175">
        <v>48.25554657</v>
      </c>
      <c r="G1175">
        <v>1386.5352783000001</v>
      </c>
      <c r="H1175">
        <v>1372.0710449000001</v>
      </c>
      <c r="I1175">
        <v>1287.7947998</v>
      </c>
      <c r="J1175">
        <v>1268.6662598</v>
      </c>
      <c r="K1175">
        <v>2400</v>
      </c>
      <c r="L1175">
        <v>0</v>
      </c>
      <c r="M1175">
        <v>0</v>
      </c>
      <c r="N1175">
        <v>2400</v>
      </c>
    </row>
    <row r="1176" spans="1:14" x14ac:dyDescent="0.25">
      <c r="A1176">
        <v>751.47794999999996</v>
      </c>
      <c r="B1176" s="1">
        <f>DATE(2012,5,21) + TIME(11,28,14)</f>
        <v>41050.477939814817</v>
      </c>
      <c r="C1176">
        <v>80</v>
      </c>
      <c r="D1176">
        <v>79.950149535999998</v>
      </c>
      <c r="E1176">
        <v>50</v>
      </c>
      <c r="F1176">
        <v>48.219062805</v>
      </c>
      <c r="G1176">
        <v>1386.4725341999999</v>
      </c>
      <c r="H1176">
        <v>1372.0201416</v>
      </c>
      <c r="I1176">
        <v>1287.7829589999999</v>
      </c>
      <c r="J1176">
        <v>1268.651001</v>
      </c>
      <c r="K1176">
        <v>2400</v>
      </c>
      <c r="L1176">
        <v>0</v>
      </c>
      <c r="M1176">
        <v>0</v>
      </c>
      <c r="N1176">
        <v>2400</v>
      </c>
    </row>
    <row r="1177" spans="1:14" x14ac:dyDescent="0.25">
      <c r="A1177">
        <v>751.98650199999997</v>
      </c>
      <c r="B1177" s="1">
        <f>DATE(2012,5,21) + TIME(23,40,33)</f>
        <v>41050.986493055556</v>
      </c>
      <c r="C1177">
        <v>80</v>
      </c>
      <c r="D1177">
        <v>79.950134277000004</v>
      </c>
      <c r="E1177">
        <v>50</v>
      </c>
      <c r="F1177">
        <v>48.182239531999997</v>
      </c>
      <c r="G1177">
        <v>1386.4101562000001</v>
      </c>
      <c r="H1177">
        <v>1371.9697266000001</v>
      </c>
      <c r="I1177">
        <v>1287.770874</v>
      </c>
      <c r="J1177">
        <v>1268.6354980000001</v>
      </c>
      <c r="K1177">
        <v>2400</v>
      </c>
      <c r="L1177">
        <v>0</v>
      </c>
      <c r="M1177">
        <v>0</v>
      </c>
      <c r="N1177">
        <v>2400</v>
      </c>
    </row>
    <row r="1178" spans="1:14" x14ac:dyDescent="0.25">
      <c r="A1178">
        <v>752.50372700000003</v>
      </c>
      <c r="B1178" s="1">
        <f>DATE(2012,5,22) + TIME(12,5,22)</f>
        <v>41051.50372685185</v>
      </c>
      <c r="C1178">
        <v>80</v>
      </c>
      <c r="D1178">
        <v>79.950119018999999</v>
      </c>
      <c r="E1178">
        <v>50</v>
      </c>
      <c r="F1178">
        <v>48.145011902</v>
      </c>
      <c r="G1178">
        <v>1386.3482666</v>
      </c>
      <c r="H1178">
        <v>1371.9195557</v>
      </c>
      <c r="I1178">
        <v>1287.7585449000001</v>
      </c>
      <c r="J1178">
        <v>1268.619751</v>
      </c>
      <c r="K1178">
        <v>2400</v>
      </c>
      <c r="L1178">
        <v>0</v>
      </c>
      <c r="M1178">
        <v>0</v>
      </c>
      <c r="N1178">
        <v>2400</v>
      </c>
    </row>
    <row r="1179" spans="1:14" x14ac:dyDescent="0.25">
      <c r="A1179">
        <v>753.03105200000005</v>
      </c>
      <c r="B1179" s="1">
        <f>DATE(2012,5,23) + TIME(0,44,42)</f>
        <v>41052.031041666669</v>
      </c>
      <c r="C1179">
        <v>80</v>
      </c>
      <c r="D1179">
        <v>79.950096130000006</v>
      </c>
      <c r="E1179">
        <v>50</v>
      </c>
      <c r="F1179">
        <v>48.107303619</v>
      </c>
      <c r="G1179">
        <v>1386.2863769999999</v>
      </c>
      <c r="H1179">
        <v>1371.8693848</v>
      </c>
      <c r="I1179">
        <v>1287.7459716999999</v>
      </c>
      <c r="J1179">
        <v>1268.6035156</v>
      </c>
      <c r="K1179">
        <v>2400</v>
      </c>
      <c r="L1179">
        <v>0</v>
      </c>
      <c r="M1179">
        <v>0</v>
      </c>
      <c r="N1179">
        <v>2400</v>
      </c>
    </row>
    <row r="1180" spans="1:14" x14ac:dyDescent="0.25">
      <c r="A1180">
        <v>753.57001400000001</v>
      </c>
      <c r="B1180" s="1">
        <f>DATE(2012,5,23) + TIME(13,40,49)</f>
        <v>41052.570011574076</v>
      </c>
      <c r="C1180">
        <v>80</v>
      </c>
      <c r="D1180">
        <v>79.950080872000001</v>
      </c>
      <c r="E1180">
        <v>50</v>
      </c>
      <c r="F1180">
        <v>48.069030761999997</v>
      </c>
      <c r="G1180">
        <v>1386.2244873</v>
      </c>
      <c r="H1180">
        <v>1371.8192139</v>
      </c>
      <c r="I1180">
        <v>1287.7331543</v>
      </c>
      <c r="J1180">
        <v>1268.5870361</v>
      </c>
      <c r="K1180">
        <v>2400</v>
      </c>
      <c r="L1180">
        <v>0</v>
      </c>
      <c r="M1180">
        <v>0</v>
      </c>
      <c r="N1180">
        <v>2400</v>
      </c>
    </row>
    <row r="1181" spans="1:14" x14ac:dyDescent="0.25">
      <c r="A1181">
        <v>754.12228500000003</v>
      </c>
      <c r="B1181" s="1">
        <f>DATE(2012,5,24) + TIME(2,56,5)</f>
        <v>41053.12228009259</v>
      </c>
      <c r="C1181">
        <v>80</v>
      </c>
      <c r="D1181">
        <v>79.950065613000007</v>
      </c>
      <c r="E1181">
        <v>50</v>
      </c>
      <c r="F1181">
        <v>48.030090332</v>
      </c>
      <c r="G1181">
        <v>1386.1624756000001</v>
      </c>
      <c r="H1181">
        <v>1371.7689209</v>
      </c>
      <c r="I1181">
        <v>1287.7199707</v>
      </c>
      <c r="J1181">
        <v>1268.5699463000001</v>
      </c>
      <c r="K1181">
        <v>2400</v>
      </c>
      <c r="L1181">
        <v>0</v>
      </c>
      <c r="M1181">
        <v>0</v>
      </c>
      <c r="N1181">
        <v>2400</v>
      </c>
    </row>
    <row r="1182" spans="1:14" x14ac:dyDescent="0.25">
      <c r="A1182">
        <v>754.68972099999996</v>
      </c>
      <c r="B1182" s="1">
        <f>DATE(2012,5,24) + TIME(16,33,11)</f>
        <v>41053.689710648148</v>
      </c>
      <c r="C1182">
        <v>80</v>
      </c>
      <c r="D1182">
        <v>79.950050353999998</v>
      </c>
      <c r="E1182">
        <v>50</v>
      </c>
      <c r="F1182">
        <v>47.990379333</v>
      </c>
      <c r="G1182">
        <v>1386.1000977000001</v>
      </c>
      <c r="H1182">
        <v>1371.7183838000001</v>
      </c>
      <c r="I1182">
        <v>1287.7064209</v>
      </c>
      <c r="J1182">
        <v>1268.5524902</v>
      </c>
      <c r="K1182">
        <v>2400</v>
      </c>
      <c r="L1182">
        <v>0</v>
      </c>
      <c r="M1182">
        <v>0</v>
      </c>
      <c r="N1182">
        <v>2400</v>
      </c>
    </row>
    <row r="1183" spans="1:14" x14ac:dyDescent="0.25">
      <c r="A1183">
        <v>755.27467300000001</v>
      </c>
      <c r="B1183" s="1">
        <f>DATE(2012,5,25) + TIME(6,35,31)</f>
        <v>41054.274664351855</v>
      </c>
      <c r="C1183">
        <v>80</v>
      </c>
      <c r="D1183">
        <v>79.950035095000004</v>
      </c>
      <c r="E1183">
        <v>50</v>
      </c>
      <c r="F1183">
        <v>47.949764252000001</v>
      </c>
      <c r="G1183">
        <v>1386.0372314000001</v>
      </c>
      <c r="H1183">
        <v>1371.6674805</v>
      </c>
      <c r="I1183">
        <v>1287.6923827999999</v>
      </c>
      <c r="J1183">
        <v>1268.5344238</v>
      </c>
      <c r="K1183">
        <v>2400</v>
      </c>
      <c r="L1183">
        <v>0</v>
      </c>
      <c r="M1183">
        <v>0</v>
      </c>
      <c r="N1183">
        <v>2400</v>
      </c>
    </row>
    <row r="1184" spans="1:14" x14ac:dyDescent="0.25">
      <c r="A1184">
        <v>755.87103400000001</v>
      </c>
      <c r="B1184" s="1">
        <f>DATE(2012,5,25) + TIME(20,54,17)</f>
        <v>41054.871030092596</v>
      </c>
      <c r="C1184">
        <v>80</v>
      </c>
      <c r="D1184">
        <v>79.950019835999996</v>
      </c>
      <c r="E1184">
        <v>50</v>
      </c>
      <c r="F1184">
        <v>47.908451079999999</v>
      </c>
      <c r="G1184">
        <v>1385.9735106999999</v>
      </c>
      <c r="H1184">
        <v>1371.6158447</v>
      </c>
      <c r="I1184">
        <v>1287.6778564000001</v>
      </c>
      <c r="J1184">
        <v>1268.5157471</v>
      </c>
      <c r="K1184">
        <v>2400</v>
      </c>
      <c r="L1184">
        <v>0</v>
      </c>
      <c r="M1184">
        <v>0</v>
      </c>
      <c r="N1184">
        <v>2400</v>
      </c>
    </row>
    <row r="1185" spans="1:14" x14ac:dyDescent="0.25">
      <c r="A1185">
        <v>756.47151399999996</v>
      </c>
      <c r="B1185" s="1">
        <f>DATE(2012,5,26) + TIME(11,18,58)</f>
        <v>41055.471504629626</v>
      </c>
      <c r="C1185">
        <v>80</v>
      </c>
      <c r="D1185">
        <v>79.950004578000005</v>
      </c>
      <c r="E1185">
        <v>50</v>
      </c>
      <c r="F1185">
        <v>47.866783142000003</v>
      </c>
      <c r="G1185">
        <v>1385.9099120999999</v>
      </c>
      <c r="H1185">
        <v>1371.5642089999999</v>
      </c>
      <c r="I1185">
        <v>1287.6629639</v>
      </c>
      <c r="J1185">
        <v>1268.496582</v>
      </c>
      <c r="K1185">
        <v>2400</v>
      </c>
      <c r="L1185">
        <v>0</v>
      </c>
      <c r="M1185">
        <v>0</v>
      </c>
      <c r="N1185">
        <v>2400</v>
      </c>
    </row>
    <row r="1186" spans="1:14" x14ac:dyDescent="0.25">
      <c r="A1186">
        <v>757.07784800000002</v>
      </c>
      <c r="B1186" s="1">
        <f>DATE(2012,5,27) + TIME(1,52,6)</f>
        <v>41056.077847222223</v>
      </c>
      <c r="C1186">
        <v>80</v>
      </c>
      <c r="D1186">
        <v>79.949989318999997</v>
      </c>
      <c r="E1186">
        <v>50</v>
      </c>
      <c r="F1186">
        <v>47.824798584</v>
      </c>
      <c r="G1186">
        <v>1385.8469238</v>
      </c>
      <c r="H1186">
        <v>1371.5131836</v>
      </c>
      <c r="I1186">
        <v>1287.6478271000001</v>
      </c>
      <c r="J1186">
        <v>1268.4770507999999</v>
      </c>
      <c r="K1186">
        <v>2400</v>
      </c>
      <c r="L1186">
        <v>0</v>
      </c>
      <c r="M1186">
        <v>0</v>
      </c>
      <c r="N1186">
        <v>2400</v>
      </c>
    </row>
    <row r="1187" spans="1:14" x14ac:dyDescent="0.25">
      <c r="A1187">
        <v>757.69174699999996</v>
      </c>
      <c r="B1187" s="1">
        <f>DATE(2012,5,27) + TIME(16,36,6)</f>
        <v>41056.691736111112</v>
      </c>
      <c r="C1187">
        <v>80</v>
      </c>
      <c r="D1187">
        <v>79.949974060000002</v>
      </c>
      <c r="E1187">
        <v>50</v>
      </c>
      <c r="F1187">
        <v>47.782485962000003</v>
      </c>
      <c r="G1187">
        <v>1385.7845459</v>
      </c>
      <c r="H1187">
        <v>1371.4625243999999</v>
      </c>
      <c r="I1187">
        <v>1287.6324463000001</v>
      </c>
      <c r="J1187">
        <v>1268.4572754000001</v>
      </c>
      <c r="K1187">
        <v>2400</v>
      </c>
      <c r="L1187">
        <v>0</v>
      </c>
      <c r="M1187">
        <v>0</v>
      </c>
      <c r="N1187">
        <v>2400</v>
      </c>
    </row>
    <row r="1188" spans="1:14" x14ac:dyDescent="0.25">
      <c r="A1188">
        <v>758.31497999999999</v>
      </c>
      <c r="B1188" s="1">
        <f>DATE(2012,5,28) + TIME(7,33,34)</f>
        <v>41057.314976851849</v>
      </c>
      <c r="C1188">
        <v>80</v>
      </c>
      <c r="D1188">
        <v>79.949966431000007</v>
      </c>
      <c r="E1188">
        <v>50</v>
      </c>
      <c r="F1188">
        <v>47.739772797000001</v>
      </c>
      <c r="G1188">
        <v>1385.7225341999999</v>
      </c>
      <c r="H1188">
        <v>1371.4122314000001</v>
      </c>
      <c r="I1188">
        <v>1287.6168213000001</v>
      </c>
      <c r="J1188">
        <v>1268.4371338000001</v>
      </c>
      <c r="K1188">
        <v>2400</v>
      </c>
      <c r="L1188">
        <v>0</v>
      </c>
      <c r="M1188">
        <v>0</v>
      </c>
      <c r="N1188">
        <v>2400</v>
      </c>
    </row>
    <row r="1189" spans="1:14" x14ac:dyDescent="0.25">
      <c r="A1189">
        <v>758.94939799999997</v>
      </c>
      <c r="B1189" s="1">
        <f>DATE(2012,5,28) + TIME(22,47,7)</f>
        <v>41057.949386574073</v>
      </c>
      <c r="C1189">
        <v>80</v>
      </c>
      <c r="D1189">
        <v>79.949951171999999</v>
      </c>
      <c r="E1189">
        <v>50</v>
      </c>
      <c r="F1189">
        <v>47.696578979000002</v>
      </c>
      <c r="G1189">
        <v>1385.6607666</v>
      </c>
      <c r="H1189">
        <v>1371.3619385</v>
      </c>
      <c r="I1189">
        <v>1287.6009521000001</v>
      </c>
      <c r="J1189">
        <v>1268.4165039</v>
      </c>
      <c r="K1189">
        <v>2400</v>
      </c>
      <c r="L1189">
        <v>0</v>
      </c>
      <c r="M1189">
        <v>0</v>
      </c>
      <c r="N1189">
        <v>2400</v>
      </c>
    </row>
    <row r="1190" spans="1:14" x14ac:dyDescent="0.25">
      <c r="A1190">
        <v>759.59692199999995</v>
      </c>
      <c r="B1190" s="1">
        <f>DATE(2012,5,29) + TIME(14,19,34)</f>
        <v>41058.596921296295</v>
      </c>
      <c r="C1190">
        <v>80</v>
      </c>
      <c r="D1190">
        <v>79.949935913000004</v>
      </c>
      <c r="E1190">
        <v>50</v>
      </c>
      <c r="F1190">
        <v>47.652805327999999</v>
      </c>
      <c r="G1190">
        <v>1385.5988769999999</v>
      </c>
      <c r="H1190">
        <v>1371.3117675999999</v>
      </c>
      <c r="I1190">
        <v>1287.5845947</v>
      </c>
      <c r="J1190">
        <v>1268.3952637</v>
      </c>
      <c r="K1190">
        <v>2400</v>
      </c>
      <c r="L1190">
        <v>0</v>
      </c>
      <c r="M1190">
        <v>0</v>
      </c>
      <c r="N1190">
        <v>2400</v>
      </c>
    </row>
    <row r="1191" spans="1:14" x14ac:dyDescent="0.25">
      <c r="A1191">
        <v>760.25239499999998</v>
      </c>
      <c r="B1191" s="1">
        <f>DATE(2012,5,30) + TIME(6,3,26)</f>
        <v>41059.252384259256</v>
      </c>
      <c r="C1191">
        <v>80</v>
      </c>
      <c r="D1191">
        <v>79.949928283999995</v>
      </c>
      <c r="E1191">
        <v>50</v>
      </c>
      <c r="F1191">
        <v>47.608604431000003</v>
      </c>
      <c r="G1191">
        <v>1385.5368652</v>
      </c>
      <c r="H1191">
        <v>1371.2613524999999</v>
      </c>
      <c r="I1191">
        <v>1287.567749</v>
      </c>
      <c r="J1191">
        <v>1268.3735352000001</v>
      </c>
      <c r="K1191">
        <v>2400</v>
      </c>
      <c r="L1191">
        <v>0</v>
      </c>
      <c r="M1191">
        <v>0</v>
      </c>
      <c r="N1191">
        <v>2400</v>
      </c>
    </row>
    <row r="1192" spans="1:14" x14ac:dyDescent="0.25">
      <c r="A1192">
        <v>760.91745000000003</v>
      </c>
      <c r="B1192" s="1">
        <f>DATE(2012,5,30) + TIME(22,1,7)</f>
        <v>41059.917442129627</v>
      </c>
      <c r="C1192">
        <v>80</v>
      </c>
      <c r="D1192">
        <v>79.949920653999996</v>
      </c>
      <c r="E1192">
        <v>50</v>
      </c>
      <c r="F1192">
        <v>47.563968658</v>
      </c>
      <c r="G1192">
        <v>1385.4752197</v>
      </c>
      <c r="H1192">
        <v>1371.2113036999999</v>
      </c>
      <c r="I1192">
        <v>1287.5506591999999</v>
      </c>
      <c r="J1192">
        <v>1268.3513184000001</v>
      </c>
      <c r="K1192">
        <v>2400</v>
      </c>
      <c r="L1192">
        <v>0</v>
      </c>
      <c r="M1192">
        <v>0</v>
      </c>
      <c r="N1192">
        <v>2400</v>
      </c>
    </row>
    <row r="1193" spans="1:14" x14ac:dyDescent="0.25">
      <c r="A1193">
        <v>761.59393899999998</v>
      </c>
      <c r="B1193" s="1">
        <f>DATE(2012,5,31) + TIME(14,15,16)</f>
        <v>41060.593935185185</v>
      </c>
      <c r="C1193">
        <v>80</v>
      </c>
      <c r="D1193">
        <v>79.949905396000005</v>
      </c>
      <c r="E1193">
        <v>50</v>
      </c>
      <c r="F1193">
        <v>47.518821715999998</v>
      </c>
      <c r="G1193">
        <v>1385.4136963000001</v>
      </c>
      <c r="H1193">
        <v>1371.1612548999999</v>
      </c>
      <c r="I1193">
        <v>1287.5332031</v>
      </c>
      <c r="J1193">
        <v>1268.3286132999999</v>
      </c>
      <c r="K1193">
        <v>2400</v>
      </c>
      <c r="L1193">
        <v>0</v>
      </c>
      <c r="M1193">
        <v>0</v>
      </c>
      <c r="N1193">
        <v>2400</v>
      </c>
    </row>
    <row r="1194" spans="1:14" x14ac:dyDescent="0.25">
      <c r="A1194">
        <v>762</v>
      </c>
      <c r="B1194" s="1">
        <f>DATE(2012,6,1) + TIME(0,0,0)</f>
        <v>41061</v>
      </c>
      <c r="C1194">
        <v>80</v>
      </c>
      <c r="D1194">
        <v>79.949890136999997</v>
      </c>
      <c r="E1194">
        <v>50</v>
      </c>
      <c r="F1194">
        <v>47.485923767000003</v>
      </c>
      <c r="G1194">
        <v>1385.3521728999999</v>
      </c>
      <c r="H1194">
        <v>1371.1112060999999</v>
      </c>
      <c r="I1194">
        <v>1287.5137939000001</v>
      </c>
      <c r="J1194">
        <v>1268.3065185999999</v>
      </c>
      <c r="K1194">
        <v>2400</v>
      </c>
      <c r="L1194">
        <v>0</v>
      </c>
      <c r="M1194">
        <v>0</v>
      </c>
      <c r="N1194">
        <v>2400</v>
      </c>
    </row>
    <row r="1195" spans="1:14" x14ac:dyDescent="0.25">
      <c r="A1195">
        <v>762.68988400000001</v>
      </c>
      <c r="B1195" s="1">
        <f>DATE(2012,6,1) + TIME(16,33,25)</f>
        <v>41061.689872685187</v>
      </c>
      <c r="C1195">
        <v>80</v>
      </c>
      <c r="D1195">
        <v>79.949890136999997</v>
      </c>
      <c r="E1195">
        <v>50</v>
      </c>
      <c r="F1195">
        <v>47.442733765</v>
      </c>
      <c r="G1195">
        <v>1385.3156738</v>
      </c>
      <c r="H1195">
        <v>1371.0814209</v>
      </c>
      <c r="I1195">
        <v>1287.5045166</v>
      </c>
      <c r="J1195">
        <v>1268.2906493999999</v>
      </c>
      <c r="K1195">
        <v>2400</v>
      </c>
      <c r="L1195">
        <v>0</v>
      </c>
      <c r="M1195">
        <v>0</v>
      </c>
      <c r="N1195">
        <v>2400</v>
      </c>
    </row>
    <row r="1196" spans="1:14" x14ac:dyDescent="0.25">
      <c r="A1196">
        <v>763.40567799999997</v>
      </c>
      <c r="B1196" s="1">
        <f>DATE(2012,6,2) + TIME(9,44,10)</f>
        <v>41062.405671296299</v>
      </c>
      <c r="C1196">
        <v>80</v>
      </c>
      <c r="D1196">
        <v>79.949882506999998</v>
      </c>
      <c r="E1196">
        <v>50</v>
      </c>
      <c r="F1196">
        <v>47.397422790999997</v>
      </c>
      <c r="G1196">
        <v>1385.2548827999999</v>
      </c>
      <c r="H1196">
        <v>1371.0319824000001</v>
      </c>
      <c r="I1196">
        <v>1287.4860839999999</v>
      </c>
      <c r="J1196">
        <v>1268.2667236</v>
      </c>
      <c r="K1196">
        <v>2400</v>
      </c>
      <c r="L1196">
        <v>0</v>
      </c>
      <c r="M1196">
        <v>0</v>
      </c>
      <c r="N1196">
        <v>2400</v>
      </c>
    </row>
    <row r="1197" spans="1:14" x14ac:dyDescent="0.25">
      <c r="A1197">
        <v>764.14014899999995</v>
      </c>
      <c r="B1197" s="1">
        <f>DATE(2012,6,3) + TIME(3,21,48)</f>
        <v>41063.140138888892</v>
      </c>
      <c r="C1197">
        <v>80</v>
      </c>
      <c r="D1197">
        <v>79.949874878000003</v>
      </c>
      <c r="E1197">
        <v>50</v>
      </c>
      <c r="F1197">
        <v>47.350498199</v>
      </c>
      <c r="G1197">
        <v>1385.1926269999999</v>
      </c>
      <c r="H1197">
        <v>1370.9812012</v>
      </c>
      <c r="I1197">
        <v>1287.4665527</v>
      </c>
      <c r="J1197">
        <v>1268.2415771000001</v>
      </c>
      <c r="K1197">
        <v>2400</v>
      </c>
      <c r="L1197">
        <v>0</v>
      </c>
      <c r="M1197">
        <v>0</v>
      </c>
      <c r="N1197">
        <v>2400</v>
      </c>
    </row>
    <row r="1198" spans="1:14" x14ac:dyDescent="0.25">
      <c r="A1198">
        <v>764.87981000000002</v>
      </c>
      <c r="B1198" s="1">
        <f>DATE(2012,6,3) + TIME(21,6,55)</f>
        <v>41063.879803240743</v>
      </c>
      <c r="C1198">
        <v>80</v>
      </c>
      <c r="D1198">
        <v>79.949867248999993</v>
      </c>
      <c r="E1198">
        <v>50</v>
      </c>
      <c r="F1198">
        <v>47.302703856999997</v>
      </c>
      <c r="G1198">
        <v>1385.1297606999999</v>
      </c>
      <c r="H1198">
        <v>1370.9300536999999</v>
      </c>
      <c r="I1198">
        <v>1287.4464111</v>
      </c>
      <c r="J1198">
        <v>1268.2155762</v>
      </c>
      <c r="K1198">
        <v>2400</v>
      </c>
      <c r="L1198">
        <v>0</v>
      </c>
      <c r="M1198">
        <v>0</v>
      </c>
      <c r="N1198">
        <v>2400</v>
      </c>
    </row>
    <row r="1199" spans="1:14" x14ac:dyDescent="0.25">
      <c r="A1199">
        <v>765.62264400000004</v>
      </c>
      <c r="B1199" s="1">
        <f>DATE(2012,6,4) + TIME(14,56,36)</f>
        <v>41064.62263888889</v>
      </c>
      <c r="C1199">
        <v>80</v>
      </c>
      <c r="D1199">
        <v>79.949859618999994</v>
      </c>
      <c r="E1199">
        <v>50</v>
      </c>
      <c r="F1199">
        <v>47.254447937000002</v>
      </c>
      <c r="G1199">
        <v>1385.0676269999999</v>
      </c>
      <c r="H1199">
        <v>1370.8793945</v>
      </c>
      <c r="I1199">
        <v>1287.4260254000001</v>
      </c>
      <c r="J1199">
        <v>1268.1888428</v>
      </c>
      <c r="K1199">
        <v>2400</v>
      </c>
      <c r="L1199">
        <v>0</v>
      </c>
      <c r="M1199">
        <v>0</v>
      </c>
      <c r="N1199">
        <v>2400</v>
      </c>
    </row>
    <row r="1200" spans="1:14" x14ac:dyDescent="0.25">
      <c r="A1200">
        <v>766.37063899999998</v>
      </c>
      <c r="B1200" s="1">
        <f>DATE(2012,6,5) + TIME(8,53,43)</f>
        <v>41065.370636574073</v>
      </c>
      <c r="C1200">
        <v>80</v>
      </c>
      <c r="D1200">
        <v>79.949851989999999</v>
      </c>
      <c r="E1200">
        <v>50</v>
      </c>
      <c r="F1200">
        <v>47.205875397</v>
      </c>
      <c r="G1200">
        <v>1385.0062256000001</v>
      </c>
      <c r="H1200">
        <v>1370.8293457</v>
      </c>
      <c r="I1200">
        <v>1287.4052733999999</v>
      </c>
      <c r="J1200">
        <v>1268.1618652</v>
      </c>
      <c r="K1200">
        <v>2400</v>
      </c>
      <c r="L1200">
        <v>0</v>
      </c>
      <c r="M1200">
        <v>0</v>
      </c>
      <c r="N1200">
        <v>2400</v>
      </c>
    </row>
    <row r="1201" spans="1:14" x14ac:dyDescent="0.25">
      <c r="A1201">
        <v>767.12577299999998</v>
      </c>
      <c r="B1201" s="1">
        <f>DATE(2012,6,6) + TIME(3,1,6)</f>
        <v>41066.125763888886</v>
      </c>
      <c r="C1201">
        <v>80</v>
      </c>
      <c r="D1201">
        <v>79.94984436</v>
      </c>
      <c r="E1201">
        <v>50</v>
      </c>
      <c r="F1201">
        <v>47.157012938999998</v>
      </c>
      <c r="G1201">
        <v>1384.9454346</v>
      </c>
      <c r="H1201">
        <v>1370.7796631000001</v>
      </c>
      <c r="I1201">
        <v>1287.3842772999999</v>
      </c>
      <c r="J1201">
        <v>1268.1341553</v>
      </c>
      <c r="K1201">
        <v>2400</v>
      </c>
      <c r="L1201">
        <v>0</v>
      </c>
      <c r="M1201">
        <v>0</v>
      </c>
      <c r="N1201">
        <v>2400</v>
      </c>
    </row>
    <row r="1202" spans="1:14" x14ac:dyDescent="0.25">
      <c r="A1202">
        <v>767.89006400000005</v>
      </c>
      <c r="B1202" s="1">
        <f>DATE(2012,6,6) + TIME(21,21,41)</f>
        <v>41066.890057870369</v>
      </c>
      <c r="C1202">
        <v>80</v>
      </c>
      <c r="D1202">
        <v>79.94984436</v>
      </c>
      <c r="E1202">
        <v>50</v>
      </c>
      <c r="F1202">
        <v>47.107799530000001</v>
      </c>
      <c r="G1202">
        <v>1384.8850098</v>
      </c>
      <c r="H1202">
        <v>1370.7303466999999</v>
      </c>
      <c r="I1202">
        <v>1287.362793</v>
      </c>
      <c r="J1202">
        <v>1268.105957</v>
      </c>
      <c r="K1202">
        <v>2400</v>
      </c>
      <c r="L1202">
        <v>0</v>
      </c>
      <c r="M1202">
        <v>0</v>
      </c>
      <c r="N1202">
        <v>2400</v>
      </c>
    </row>
    <row r="1203" spans="1:14" x14ac:dyDescent="0.25">
      <c r="A1203">
        <v>768.66559199999995</v>
      </c>
      <c r="B1203" s="1">
        <f>DATE(2012,6,7) + TIME(15,58,27)</f>
        <v>41067.665590277778</v>
      </c>
      <c r="C1203">
        <v>80</v>
      </c>
      <c r="D1203">
        <v>79.949836731000005</v>
      </c>
      <c r="E1203">
        <v>50</v>
      </c>
      <c r="F1203">
        <v>47.058155059999997</v>
      </c>
      <c r="G1203">
        <v>1384.8248291</v>
      </c>
      <c r="H1203">
        <v>1370.6811522999999</v>
      </c>
      <c r="I1203">
        <v>1287.3408202999999</v>
      </c>
      <c r="J1203">
        <v>1268.0771483999999</v>
      </c>
      <c r="K1203">
        <v>2400</v>
      </c>
      <c r="L1203">
        <v>0</v>
      </c>
      <c r="M1203">
        <v>0</v>
      </c>
      <c r="N1203">
        <v>2400</v>
      </c>
    </row>
    <row r="1204" spans="1:14" x14ac:dyDescent="0.25">
      <c r="A1204">
        <v>769.45453699999996</v>
      </c>
      <c r="B1204" s="1">
        <f>DATE(2012,6,8) + TIME(10,54,31)</f>
        <v>41068.454525462963</v>
      </c>
      <c r="C1204">
        <v>80</v>
      </c>
      <c r="D1204">
        <v>79.949829101999995</v>
      </c>
      <c r="E1204">
        <v>50</v>
      </c>
      <c r="F1204">
        <v>47.007965087999999</v>
      </c>
      <c r="G1204">
        <v>1384.7647704999999</v>
      </c>
      <c r="H1204">
        <v>1370.6319579999999</v>
      </c>
      <c r="I1204">
        <v>1287.3183594</v>
      </c>
      <c r="J1204">
        <v>1268.0473632999999</v>
      </c>
      <c r="K1204">
        <v>2400</v>
      </c>
      <c r="L1204">
        <v>0</v>
      </c>
      <c r="M1204">
        <v>0</v>
      </c>
      <c r="N1204">
        <v>2400</v>
      </c>
    </row>
    <row r="1205" spans="1:14" x14ac:dyDescent="0.25">
      <c r="A1205">
        <v>770.25921900000003</v>
      </c>
      <c r="B1205" s="1">
        <f>DATE(2012,6,9) + TIME(6,13,16)</f>
        <v>41069.259212962963</v>
      </c>
      <c r="C1205">
        <v>80</v>
      </c>
      <c r="D1205">
        <v>79.949829101999995</v>
      </c>
      <c r="E1205">
        <v>50</v>
      </c>
      <c r="F1205">
        <v>46.957099915000001</v>
      </c>
      <c r="G1205">
        <v>1384.7045897999999</v>
      </c>
      <c r="H1205">
        <v>1370.5827637</v>
      </c>
      <c r="I1205">
        <v>1287.2952881000001</v>
      </c>
      <c r="J1205">
        <v>1268.0168457</v>
      </c>
      <c r="K1205">
        <v>2400</v>
      </c>
      <c r="L1205">
        <v>0</v>
      </c>
      <c r="M1205">
        <v>0</v>
      </c>
      <c r="N1205">
        <v>2400</v>
      </c>
    </row>
    <row r="1206" spans="1:14" x14ac:dyDescent="0.25">
      <c r="A1206">
        <v>771.08216800000002</v>
      </c>
      <c r="B1206" s="1">
        <f>DATE(2012,6,10) + TIME(1,58,19)</f>
        <v>41070.08216435185</v>
      </c>
      <c r="C1206">
        <v>80</v>
      </c>
      <c r="D1206">
        <v>79.949829101999995</v>
      </c>
      <c r="E1206">
        <v>50</v>
      </c>
      <c r="F1206">
        <v>46.905422211000001</v>
      </c>
      <c r="G1206">
        <v>1384.6442870999999</v>
      </c>
      <c r="H1206">
        <v>1370.5332031</v>
      </c>
      <c r="I1206">
        <v>1287.2714844</v>
      </c>
      <c r="J1206">
        <v>1267.9852295000001</v>
      </c>
      <c r="K1206">
        <v>2400</v>
      </c>
      <c r="L1206">
        <v>0</v>
      </c>
      <c r="M1206">
        <v>0</v>
      </c>
      <c r="N1206">
        <v>2400</v>
      </c>
    </row>
    <row r="1207" spans="1:14" x14ac:dyDescent="0.25">
      <c r="A1207">
        <v>771.926377</v>
      </c>
      <c r="B1207" s="1">
        <f>DATE(2012,6,10) + TIME(22,13,59)</f>
        <v>41070.926377314812</v>
      </c>
      <c r="C1207">
        <v>80</v>
      </c>
      <c r="D1207">
        <v>79.949821471999996</v>
      </c>
      <c r="E1207">
        <v>50</v>
      </c>
      <c r="F1207">
        <v>46.852767944</v>
      </c>
      <c r="G1207">
        <v>1384.583374</v>
      </c>
      <c r="H1207">
        <v>1370.4833983999999</v>
      </c>
      <c r="I1207">
        <v>1287.2468262</v>
      </c>
      <c r="J1207">
        <v>1267.9523925999999</v>
      </c>
      <c r="K1207">
        <v>2400</v>
      </c>
      <c r="L1207">
        <v>0</v>
      </c>
      <c r="M1207">
        <v>0</v>
      </c>
      <c r="N1207">
        <v>2400</v>
      </c>
    </row>
    <row r="1208" spans="1:14" x14ac:dyDescent="0.25">
      <c r="A1208">
        <v>772.78740100000005</v>
      </c>
      <c r="B1208" s="1">
        <f>DATE(2012,6,11) + TIME(18,53,51)</f>
        <v>41071.787395833337</v>
      </c>
      <c r="C1208">
        <v>80</v>
      </c>
      <c r="D1208">
        <v>79.949821471999996</v>
      </c>
      <c r="E1208">
        <v>50</v>
      </c>
      <c r="F1208">
        <v>46.799198150999999</v>
      </c>
      <c r="G1208">
        <v>1384.5219727000001</v>
      </c>
      <c r="H1208">
        <v>1370.4331055</v>
      </c>
      <c r="I1208">
        <v>1287.2211914</v>
      </c>
      <c r="J1208">
        <v>1267.9183350000001</v>
      </c>
      <c r="K1208">
        <v>2400</v>
      </c>
      <c r="L1208">
        <v>0</v>
      </c>
      <c r="M1208">
        <v>0</v>
      </c>
      <c r="N1208">
        <v>2400</v>
      </c>
    </row>
    <row r="1209" spans="1:14" x14ac:dyDescent="0.25">
      <c r="A1209">
        <v>773.662691</v>
      </c>
      <c r="B1209" s="1">
        <f>DATE(2012,6,12) + TIME(15,54,16)</f>
        <v>41072.662685185183</v>
      </c>
      <c r="C1209">
        <v>80</v>
      </c>
      <c r="D1209">
        <v>79.949821471999996</v>
      </c>
      <c r="E1209">
        <v>50</v>
      </c>
      <c r="F1209">
        <v>46.744815826</v>
      </c>
      <c r="G1209">
        <v>1384.4603271000001</v>
      </c>
      <c r="H1209">
        <v>1370.3824463000001</v>
      </c>
      <c r="I1209">
        <v>1287.1948242000001</v>
      </c>
      <c r="J1209">
        <v>1267.8830565999999</v>
      </c>
      <c r="K1209">
        <v>2400</v>
      </c>
      <c r="L1209">
        <v>0</v>
      </c>
      <c r="M1209">
        <v>0</v>
      </c>
      <c r="N1209">
        <v>2400</v>
      </c>
    </row>
    <row r="1210" spans="1:14" x14ac:dyDescent="0.25">
      <c r="A1210">
        <v>774.54130899999996</v>
      </c>
      <c r="B1210" s="1">
        <f>DATE(2012,6,13) + TIME(12,59,29)</f>
        <v>41073.541307870371</v>
      </c>
      <c r="C1210">
        <v>80</v>
      </c>
      <c r="D1210">
        <v>79.949821471999996</v>
      </c>
      <c r="E1210">
        <v>50</v>
      </c>
      <c r="F1210">
        <v>46.690013884999999</v>
      </c>
      <c r="G1210">
        <v>1384.3986815999999</v>
      </c>
      <c r="H1210">
        <v>1370.3317870999999</v>
      </c>
      <c r="I1210">
        <v>1287.1674805</v>
      </c>
      <c r="J1210">
        <v>1267.8466797000001</v>
      </c>
      <c r="K1210">
        <v>2400</v>
      </c>
      <c r="L1210">
        <v>0</v>
      </c>
      <c r="M1210">
        <v>0</v>
      </c>
      <c r="N1210">
        <v>2400</v>
      </c>
    </row>
    <row r="1211" spans="1:14" x14ac:dyDescent="0.25">
      <c r="A1211">
        <v>775.42345899999998</v>
      </c>
      <c r="B1211" s="1">
        <f>DATE(2012,6,14) + TIME(10,9,46)</f>
        <v>41074.423449074071</v>
      </c>
      <c r="C1211">
        <v>80</v>
      </c>
      <c r="D1211">
        <v>79.949821471999996</v>
      </c>
      <c r="E1211">
        <v>50</v>
      </c>
      <c r="F1211">
        <v>46.634979248</v>
      </c>
      <c r="G1211">
        <v>1384.3376464999999</v>
      </c>
      <c r="H1211">
        <v>1370.2816161999999</v>
      </c>
      <c r="I1211">
        <v>1287.1397704999999</v>
      </c>
      <c r="J1211">
        <v>1267.8095702999999</v>
      </c>
      <c r="K1211">
        <v>2400</v>
      </c>
      <c r="L1211">
        <v>0</v>
      </c>
      <c r="M1211">
        <v>0</v>
      </c>
      <c r="N1211">
        <v>2400</v>
      </c>
    </row>
    <row r="1212" spans="1:14" x14ac:dyDescent="0.25">
      <c r="A1212">
        <v>776.31151</v>
      </c>
      <c r="B1212" s="1">
        <f>DATE(2012,6,15) + TIME(7,28,34)</f>
        <v>41075.31150462963</v>
      </c>
      <c r="C1212">
        <v>80</v>
      </c>
      <c r="D1212">
        <v>79.949821471999996</v>
      </c>
      <c r="E1212">
        <v>50</v>
      </c>
      <c r="F1212">
        <v>46.579730988000001</v>
      </c>
      <c r="G1212">
        <v>1384.2774658000001</v>
      </c>
      <c r="H1212">
        <v>1370.2319336</v>
      </c>
      <c r="I1212">
        <v>1287.1116943</v>
      </c>
      <c r="J1212">
        <v>1267.7716064000001</v>
      </c>
      <c r="K1212">
        <v>2400</v>
      </c>
      <c r="L1212">
        <v>0</v>
      </c>
      <c r="M1212">
        <v>0</v>
      </c>
      <c r="N1212">
        <v>2400</v>
      </c>
    </row>
    <row r="1213" spans="1:14" x14ac:dyDescent="0.25">
      <c r="A1213">
        <v>777.20782699999995</v>
      </c>
      <c r="B1213" s="1">
        <f>DATE(2012,6,16) + TIME(4,59,16)</f>
        <v>41076.207824074074</v>
      </c>
      <c r="C1213">
        <v>80</v>
      </c>
      <c r="D1213">
        <v>79.949821471999996</v>
      </c>
      <c r="E1213">
        <v>50</v>
      </c>
      <c r="F1213">
        <v>46.524200438999998</v>
      </c>
      <c r="G1213">
        <v>1384.2176514</v>
      </c>
      <c r="H1213">
        <v>1370.1827393000001</v>
      </c>
      <c r="I1213">
        <v>1287.0828856999999</v>
      </c>
      <c r="J1213">
        <v>1267.7327881000001</v>
      </c>
      <c r="K1213">
        <v>2400</v>
      </c>
      <c r="L1213">
        <v>0</v>
      </c>
      <c r="M1213">
        <v>0</v>
      </c>
      <c r="N1213">
        <v>2400</v>
      </c>
    </row>
    <row r="1214" spans="1:14" x14ac:dyDescent="0.25">
      <c r="A1214">
        <v>778.11483099999998</v>
      </c>
      <c r="B1214" s="1">
        <f>DATE(2012,6,17) + TIME(2,45,21)</f>
        <v>41077.11482638889</v>
      </c>
      <c r="C1214">
        <v>80</v>
      </c>
      <c r="D1214">
        <v>79.949829101999995</v>
      </c>
      <c r="E1214">
        <v>50</v>
      </c>
      <c r="F1214">
        <v>46.468269348</v>
      </c>
      <c r="G1214">
        <v>1384.1582031</v>
      </c>
      <c r="H1214">
        <v>1370.1336670000001</v>
      </c>
      <c r="I1214">
        <v>1287.0535889</v>
      </c>
      <c r="J1214">
        <v>1267.6929932</v>
      </c>
      <c r="K1214">
        <v>2400</v>
      </c>
      <c r="L1214">
        <v>0</v>
      </c>
      <c r="M1214">
        <v>0</v>
      </c>
      <c r="N1214">
        <v>2400</v>
      </c>
    </row>
    <row r="1215" spans="1:14" x14ac:dyDescent="0.25">
      <c r="A1215">
        <v>779.03501600000004</v>
      </c>
      <c r="B1215" s="1">
        <f>DATE(2012,6,18) + TIME(0,50,25)</f>
        <v>41078.035011574073</v>
      </c>
      <c r="C1215">
        <v>80</v>
      </c>
      <c r="D1215">
        <v>79.949829101999995</v>
      </c>
      <c r="E1215">
        <v>50</v>
      </c>
      <c r="F1215">
        <v>46.411808014000002</v>
      </c>
      <c r="G1215">
        <v>1384.0988769999999</v>
      </c>
      <c r="H1215">
        <v>1370.0848389</v>
      </c>
      <c r="I1215">
        <v>1287.0234375</v>
      </c>
      <c r="J1215">
        <v>1267.6520995999999</v>
      </c>
      <c r="K1215">
        <v>2400</v>
      </c>
      <c r="L1215">
        <v>0</v>
      </c>
      <c r="M1215">
        <v>0</v>
      </c>
      <c r="N1215">
        <v>2400</v>
      </c>
    </row>
    <row r="1216" spans="1:14" x14ac:dyDescent="0.25">
      <c r="A1216">
        <v>779.97101399999997</v>
      </c>
      <c r="B1216" s="1">
        <f>DATE(2012,6,18) + TIME(23,18,15)</f>
        <v>41078.971006944441</v>
      </c>
      <c r="C1216">
        <v>80</v>
      </c>
      <c r="D1216">
        <v>79.949836731000005</v>
      </c>
      <c r="E1216">
        <v>50</v>
      </c>
      <c r="F1216">
        <v>46.354660033999998</v>
      </c>
      <c r="G1216">
        <v>1384.0395507999999</v>
      </c>
      <c r="H1216">
        <v>1370.0357666</v>
      </c>
      <c r="I1216">
        <v>1286.9924315999999</v>
      </c>
      <c r="J1216">
        <v>1267.6098632999999</v>
      </c>
      <c r="K1216">
        <v>2400</v>
      </c>
      <c r="L1216">
        <v>0</v>
      </c>
      <c r="M1216">
        <v>0</v>
      </c>
      <c r="N1216">
        <v>2400</v>
      </c>
    </row>
    <row r="1217" spans="1:14" x14ac:dyDescent="0.25">
      <c r="A1217">
        <v>780.92562699999996</v>
      </c>
      <c r="B1217" s="1">
        <f>DATE(2012,6,19) + TIME(22,12,54)</f>
        <v>41079.925625000003</v>
      </c>
      <c r="C1217">
        <v>80</v>
      </c>
      <c r="D1217">
        <v>79.949836731000005</v>
      </c>
      <c r="E1217">
        <v>50</v>
      </c>
      <c r="F1217">
        <v>46.296661377</v>
      </c>
      <c r="G1217">
        <v>1383.9801024999999</v>
      </c>
      <c r="H1217">
        <v>1369.9866943</v>
      </c>
      <c r="I1217">
        <v>1286.9603271000001</v>
      </c>
      <c r="J1217">
        <v>1267.5660399999999</v>
      </c>
      <c r="K1217">
        <v>2400</v>
      </c>
      <c r="L1217">
        <v>0</v>
      </c>
      <c r="M1217">
        <v>0</v>
      </c>
      <c r="N1217">
        <v>2400</v>
      </c>
    </row>
    <row r="1218" spans="1:14" x14ac:dyDescent="0.25">
      <c r="A1218">
        <v>781.901884</v>
      </c>
      <c r="B1218" s="1">
        <f>DATE(2012,6,20) + TIME(21,38,42)</f>
        <v>41080.901875000003</v>
      </c>
      <c r="C1218">
        <v>80</v>
      </c>
      <c r="D1218">
        <v>79.94984436</v>
      </c>
      <c r="E1218">
        <v>50</v>
      </c>
      <c r="F1218">
        <v>46.237640380999999</v>
      </c>
      <c r="G1218">
        <v>1383.9204102000001</v>
      </c>
      <c r="H1218">
        <v>1369.9372559000001</v>
      </c>
      <c r="I1218">
        <v>1286.9272461</v>
      </c>
      <c r="J1218">
        <v>1267.5207519999999</v>
      </c>
      <c r="K1218">
        <v>2400</v>
      </c>
      <c r="L1218">
        <v>0</v>
      </c>
      <c r="M1218">
        <v>0</v>
      </c>
      <c r="N1218">
        <v>2400</v>
      </c>
    </row>
    <row r="1219" spans="1:14" x14ac:dyDescent="0.25">
      <c r="A1219">
        <v>782.89922100000001</v>
      </c>
      <c r="B1219" s="1">
        <f>DATE(2012,6,21) + TIME(21,34,52)</f>
        <v>41081.899212962962</v>
      </c>
      <c r="C1219">
        <v>80</v>
      </c>
      <c r="D1219">
        <v>79.949851989999999</v>
      </c>
      <c r="E1219">
        <v>50</v>
      </c>
      <c r="F1219">
        <v>46.177505492999998</v>
      </c>
      <c r="G1219">
        <v>1383.8602295000001</v>
      </c>
      <c r="H1219">
        <v>1369.8874512</v>
      </c>
      <c r="I1219">
        <v>1286.8929443</v>
      </c>
      <c r="J1219">
        <v>1267.4735106999999</v>
      </c>
      <c r="K1219">
        <v>2400</v>
      </c>
      <c r="L1219">
        <v>0</v>
      </c>
      <c r="M1219">
        <v>0</v>
      </c>
      <c r="N1219">
        <v>2400</v>
      </c>
    </row>
    <row r="1220" spans="1:14" x14ac:dyDescent="0.25">
      <c r="A1220">
        <v>783.91648099999998</v>
      </c>
      <c r="B1220" s="1">
        <f>DATE(2012,6,22) + TIME(21,59,43)</f>
        <v>41082.91646990741</v>
      </c>
      <c r="C1220">
        <v>80</v>
      </c>
      <c r="D1220">
        <v>79.949859618999994</v>
      </c>
      <c r="E1220">
        <v>50</v>
      </c>
      <c r="F1220">
        <v>46.116252899000003</v>
      </c>
      <c r="G1220">
        <v>1383.7995605000001</v>
      </c>
      <c r="H1220">
        <v>1369.8371582</v>
      </c>
      <c r="I1220">
        <v>1286.8572998</v>
      </c>
      <c r="J1220">
        <v>1267.4243164</v>
      </c>
      <c r="K1220">
        <v>2400</v>
      </c>
      <c r="L1220">
        <v>0</v>
      </c>
      <c r="M1220">
        <v>0</v>
      </c>
      <c r="N1220">
        <v>2400</v>
      </c>
    </row>
    <row r="1221" spans="1:14" x14ac:dyDescent="0.25">
      <c r="A1221">
        <v>784.94893300000001</v>
      </c>
      <c r="B1221" s="1">
        <f>DATE(2012,6,23) + TIME(22,46,27)</f>
        <v>41083.948923611111</v>
      </c>
      <c r="C1221">
        <v>80</v>
      </c>
      <c r="D1221">
        <v>79.949867248999993</v>
      </c>
      <c r="E1221">
        <v>50</v>
      </c>
      <c r="F1221">
        <v>46.054004669000001</v>
      </c>
      <c r="G1221">
        <v>1383.7386475000001</v>
      </c>
      <c r="H1221">
        <v>1369.7866211</v>
      </c>
      <c r="I1221">
        <v>1286.8203125</v>
      </c>
      <c r="J1221">
        <v>1267.3732910000001</v>
      </c>
      <c r="K1221">
        <v>2400</v>
      </c>
      <c r="L1221">
        <v>0</v>
      </c>
      <c r="M1221">
        <v>0</v>
      </c>
      <c r="N1221">
        <v>2400</v>
      </c>
    </row>
    <row r="1222" spans="1:14" x14ac:dyDescent="0.25">
      <c r="A1222">
        <v>785.98393299999998</v>
      </c>
      <c r="B1222" s="1">
        <f>DATE(2012,6,24) + TIME(23,36,51)</f>
        <v>41084.983923611115</v>
      </c>
      <c r="C1222">
        <v>80</v>
      </c>
      <c r="D1222">
        <v>79.949874878000003</v>
      </c>
      <c r="E1222">
        <v>50</v>
      </c>
      <c r="F1222">
        <v>45.991184234999999</v>
      </c>
      <c r="G1222">
        <v>1383.6776123</v>
      </c>
      <c r="H1222">
        <v>1369.7359618999999</v>
      </c>
      <c r="I1222">
        <v>1286.7822266000001</v>
      </c>
      <c r="J1222">
        <v>1267.3205565999999</v>
      </c>
      <c r="K1222">
        <v>2400</v>
      </c>
      <c r="L1222">
        <v>0</v>
      </c>
      <c r="M1222">
        <v>0</v>
      </c>
      <c r="N1222">
        <v>2400</v>
      </c>
    </row>
    <row r="1223" spans="1:14" x14ac:dyDescent="0.25">
      <c r="A1223">
        <v>787.02426600000001</v>
      </c>
      <c r="B1223" s="1">
        <f>DATE(2012,6,26) + TIME(0,34,56)</f>
        <v>41086.024259259262</v>
      </c>
      <c r="C1223">
        <v>80</v>
      </c>
      <c r="D1223">
        <v>79.949882506999998</v>
      </c>
      <c r="E1223">
        <v>50</v>
      </c>
      <c r="F1223">
        <v>45.927970885999997</v>
      </c>
      <c r="G1223">
        <v>1383.6173096</v>
      </c>
      <c r="H1223">
        <v>1369.6857910000001</v>
      </c>
      <c r="I1223">
        <v>1286.7434082</v>
      </c>
      <c r="J1223">
        <v>1267.2666016000001</v>
      </c>
      <c r="K1223">
        <v>2400</v>
      </c>
      <c r="L1223">
        <v>0</v>
      </c>
      <c r="M1223">
        <v>0</v>
      </c>
      <c r="N1223">
        <v>2400</v>
      </c>
    </row>
    <row r="1224" spans="1:14" x14ac:dyDescent="0.25">
      <c r="A1224">
        <v>788.07273599999996</v>
      </c>
      <c r="B1224" s="1">
        <f>DATE(2012,6,27) + TIME(1,44,44)</f>
        <v>41087.072731481479</v>
      </c>
      <c r="C1224">
        <v>80</v>
      </c>
      <c r="D1224">
        <v>79.949890136999997</v>
      </c>
      <c r="E1224">
        <v>50</v>
      </c>
      <c r="F1224">
        <v>45.864341736</v>
      </c>
      <c r="G1224">
        <v>1383.5576172000001</v>
      </c>
      <c r="H1224">
        <v>1369.6361084</v>
      </c>
      <c r="I1224">
        <v>1286.7037353999999</v>
      </c>
      <c r="J1224">
        <v>1267.2111815999999</v>
      </c>
      <c r="K1224">
        <v>2400</v>
      </c>
      <c r="L1224">
        <v>0</v>
      </c>
      <c r="M1224">
        <v>0</v>
      </c>
      <c r="N1224">
        <v>2400</v>
      </c>
    </row>
    <row r="1225" spans="1:14" x14ac:dyDescent="0.25">
      <c r="A1225">
        <v>789.13217699999996</v>
      </c>
      <c r="B1225" s="1">
        <f>DATE(2012,6,28) + TIME(3,10,20)</f>
        <v>41088.132175925923</v>
      </c>
      <c r="C1225">
        <v>80</v>
      </c>
      <c r="D1225">
        <v>79.949897766000007</v>
      </c>
      <c r="E1225">
        <v>50</v>
      </c>
      <c r="F1225">
        <v>45.800189971999998</v>
      </c>
      <c r="G1225">
        <v>1383.4981689000001</v>
      </c>
      <c r="H1225">
        <v>1369.5865478999999</v>
      </c>
      <c r="I1225">
        <v>1286.6632079999999</v>
      </c>
      <c r="J1225">
        <v>1267.1542969</v>
      </c>
      <c r="K1225">
        <v>2400</v>
      </c>
      <c r="L1225">
        <v>0</v>
      </c>
      <c r="M1225">
        <v>0</v>
      </c>
      <c r="N1225">
        <v>2400</v>
      </c>
    </row>
    <row r="1226" spans="1:14" x14ac:dyDescent="0.25">
      <c r="A1226">
        <v>790.20552099999998</v>
      </c>
      <c r="B1226" s="1">
        <f>DATE(2012,6,29) + TIME(4,55,57)</f>
        <v>41089.205520833333</v>
      </c>
      <c r="C1226">
        <v>80</v>
      </c>
      <c r="D1226">
        <v>79.949913025000001</v>
      </c>
      <c r="E1226">
        <v>50</v>
      </c>
      <c r="F1226">
        <v>45.735359191999997</v>
      </c>
      <c r="G1226">
        <v>1383.4389647999999</v>
      </c>
      <c r="H1226">
        <v>1369.5372314000001</v>
      </c>
      <c r="I1226">
        <v>1286.621582</v>
      </c>
      <c r="J1226">
        <v>1267.0957031</v>
      </c>
      <c r="K1226">
        <v>2400</v>
      </c>
      <c r="L1226">
        <v>0</v>
      </c>
      <c r="M1226">
        <v>0</v>
      </c>
      <c r="N1226">
        <v>2400</v>
      </c>
    </row>
    <row r="1227" spans="1:14" x14ac:dyDescent="0.25">
      <c r="A1227">
        <v>791.29528900000003</v>
      </c>
      <c r="B1227" s="1">
        <f>DATE(2012,6,30) + TIME(7,5,12)</f>
        <v>41090.295277777775</v>
      </c>
      <c r="C1227">
        <v>80</v>
      </c>
      <c r="D1227">
        <v>79.949920653999996</v>
      </c>
      <c r="E1227">
        <v>50</v>
      </c>
      <c r="F1227">
        <v>45.669689177999999</v>
      </c>
      <c r="G1227">
        <v>1383.3798827999999</v>
      </c>
      <c r="H1227">
        <v>1369.4879149999999</v>
      </c>
      <c r="I1227">
        <v>1286.5787353999999</v>
      </c>
      <c r="J1227">
        <v>1267.0351562000001</v>
      </c>
      <c r="K1227">
        <v>2400</v>
      </c>
      <c r="L1227">
        <v>0</v>
      </c>
      <c r="M1227">
        <v>0</v>
      </c>
      <c r="N1227">
        <v>2400</v>
      </c>
    </row>
    <row r="1228" spans="1:14" x14ac:dyDescent="0.25">
      <c r="A1228">
        <v>792</v>
      </c>
      <c r="B1228" s="1">
        <f>DATE(2012,7,1) + TIME(0,0,0)</f>
        <v>41091</v>
      </c>
      <c r="C1228">
        <v>80</v>
      </c>
      <c r="D1228">
        <v>79.949920653999996</v>
      </c>
      <c r="E1228">
        <v>50</v>
      </c>
      <c r="F1228">
        <v>45.616550445999998</v>
      </c>
      <c r="G1228">
        <v>1383.3205565999999</v>
      </c>
      <c r="H1228">
        <v>1369.4382324000001</v>
      </c>
      <c r="I1228">
        <v>1286.5339355000001</v>
      </c>
      <c r="J1228">
        <v>1266.9755858999999</v>
      </c>
      <c r="K1228">
        <v>2400</v>
      </c>
      <c r="L1228">
        <v>0</v>
      </c>
      <c r="M1228">
        <v>0</v>
      </c>
      <c r="N1228">
        <v>2400</v>
      </c>
    </row>
    <row r="1229" spans="1:14" x14ac:dyDescent="0.25">
      <c r="A1229">
        <v>793.10307899999998</v>
      </c>
      <c r="B1229" s="1">
        <f>DATE(2012,7,2) + TIME(2,28,26)</f>
        <v>41092.103078703702</v>
      </c>
      <c r="C1229">
        <v>80</v>
      </c>
      <c r="D1229">
        <v>79.949943542</v>
      </c>
      <c r="E1229">
        <v>50</v>
      </c>
      <c r="F1229">
        <v>45.555580139</v>
      </c>
      <c r="G1229">
        <v>1383.2825928</v>
      </c>
      <c r="H1229">
        <v>1369.4064940999999</v>
      </c>
      <c r="I1229">
        <v>1286.5051269999999</v>
      </c>
      <c r="J1229">
        <v>1266.9293213000001</v>
      </c>
      <c r="K1229">
        <v>2400</v>
      </c>
      <c r="L1229">
        <v>0</v>
      </c>
      <c r="M1229">
        <v>0</v>
      </c>
      <c r="N1229">
        <v>2400</v>
      </c>
    </row>
    <row r="1230" spans="1:14" x14ac:dyDescent="0.25">
      <c r="A1230">
        <v>794.23476000000005</v>
      </c>
      <c r="B1230" s="1">
        <f>DATE(2012,7,3) + TIME(5,38,3)</f>
        <v>41093.234756944446</v>
      </c>
      <c r="C1230">
        <v>80</v>
      </c>
      <c r="D1230">
        <v>79.949951171999999</v>
      </c>
      <c r="E1230">
        <v>50</v>
      </c>
      <c r="F1230">
        <v>45.490264893000003</v>
      </c>
      <c r="G1230">
        <v>1383.2241211</v>
      </c>
      <c r="H1230">
        <v>1369.3575439000001</v>
      </c>
      <c r="I1230">
        <v>1286.4593506000001</v>
      </c>
      <c r="J1230">
        <v>1266.8647461</v>
      </c>
      <c r="K1230">
        <v>2400</v>
      </c>
      <c r="L1230">
        <v>0</v>
      </c>
      <c r="M1230">
        <v>0</v>
      </c>
      <c r="N1230">
        <v>2400</v>
      </c>
    </row>
    <row r="1231" spans="1:14" x14ac:dyDescent="0.25">
      <c r="A1231">
        <v>795.38774699999999</v>
      </c>
      <c r="B1231" s="1">
        <f>DATE(2012,7,4) + TIME(9,18,21)</f>
        <v>41094.387743055559</v>
      </c>
      <c r="C1231">
        <v>80</v>
      </c>
      <c r="D1231">
        <v>79.949966431000007</v>
      </c>
      <c r="E1231">
        <v>50</v>
      </c>
      <c r="F1231">
        <v>45.422176360999998</v>
      </c>
      <c r="G1231">
        <v>1383.1646728999999</v>
      </c>
      <c r="H1231">
        <v>1369.3077393000001</v>
      </c>
      <c r="I1231">
        <v>1286.411499</v>
      </c>
      <c r="J1231">
        <v>1266.7966309000001</v>
      </c>
      <c r="K1231">
        <v>2400</v>
      </c>
      <c r="L1231">
        <v>0</v>
      </c>
      <c r="M1231">
        <v>0</v>
      </c>
      <c r="N1231">
        <v>2400</v>
      </c>
    </row>
    <row r="1232" spans="1:14" x14ac:dyDescent="0.25">
      <c r="A1232">
        <v>796.56570499999998</v>
      </c>
      <c r="B1232" s="1">
        <f>DATE(2012,7,5) + TIME(13,34,36)</f>
        <v>41095.565694444442</v>
      </c>
      <c r="C1232">
        <v>80</v>
      </c>
      <c r="D1232">
        <v>79.949981688999998</v>
      </c>
      <c r="E1232">
        <v>50</v>
      </c>
      <c r="F1232">
        <v>45.351989746000001</v>
      </c>
      <c r="G1232">
        <v>1383.1049805</v>
      </c>
      <c r="H1232">
        <v>1369.2576904</v>
      </c>
      <c r="I1232">
        <v>1286.3618164</v>
      </c>
      <c r="J1232">
        <v>1266.7255858999999</v>
      </c>
      <c r="K1232">
        <v>2400</v>
      </c>
      <c r="L1232">
        <v>0</v>
      </c>
      <c r="M1232">
        <v>0</v>
      </c>
      <c r="N1232">
        <v>2400</v>
      </c>
    </row>
    <row r="1233" spans="1:14" x14ac:dyDescent="0.25">
      <c r="A1233">
        <v>797.76967999999999</v>
      </c>
      <c r="B1233" s="1">
        <f>DATE(2012,7,6) + TIME(18,28,20)</f>
        <v>41096.769675925927</v>
      </c>
      <c r="C1233">
        <v>80</v>
      </c>
      <c r="D1233">
        <v>79.950004578000005</v>
      </c>
      <c r="E1233">
        <v>50</v>
      </c>
      <c r="F1233">
        <v>45.279930114999999</v>
      </c>
      <c r="G1233">
        <v>1383.0447998</v>
      </c>
      <c r="H1233">
        <v>1369.2071533000001</v>
      </c>
      <c r="I1233">
        <v>1286.3103027</v>
      </c>
      <c r="J1233">
        <v>1266.6513672000001</v>
      </c>
      <c r="K1233">
        <v>2400</v>
      </c>
      <c r="L1233">
        <v>0</v>
      </c>
      <c r="M1233">
        <v>0</v>
      </c>
      <c r="N1233">
        <v>2400</v>
      </c>
    </row>
    <row r="1234" spans="1:14" x14ac:dyDescent="0.25">
      <c r="A1234">
        <v>798.97837400000003</v>
      </c>
      <c r="B1234" s="1">
        <f>DATE(2012,7,7) + TIME(23,28,51)</f>
        <v>41097.978368055556</v>
      </c>
      <c r="C1234">
        <v>80</v>
      </c>
      <c r="D1234">
        <v>79.950019835999996</v>
      </c>
      <c r="E1234">
        <v>50</v>
      </c>
      <c r="F1234">
        <v>45.206623077000003</v>
      </c>
      <c r="G1234">
        <v>1382.9840088000001</v>
      </c>
      <c r="H1234">
        <v>1369.1560059000001</v>
      </c>
      <c r="I1234">
        <v>1286.2567139</v>
      </c>
      <c r="J1234">
        <v>1266.5740966999999</v>
      </c>
      <c r="K1234">
        <v>2400</v>
      </c>
      <c r="L1234">
        <v>0</v>
      </c>
      <c r="M1234">
        <v>0</v>
      </c>
      <c r="N1234">
        <v>2400</v>
      </c>
    </row>
    <row r="1235" spans="1:14" x14ac:dyDescent="0.25">
      <c r="A1235">
        <v>800.19510600000001</v>
      </c>
      <c r="B1235" s="1">
        <f>DATE(2012,7,9) + TIME(4,40,57)</f>
        <v>41099.195104166669</v>
      </c>
      <c r="C1235">
        <v>80</v>
      </c>
      <c r="D1235">
        <v>79.950035095000004</v>
      </c>
      <c r="E1235">
        <v>50</v>
      </c>
      <c r="F1235">
        <v>45.132450104</v>
      </c>
      <c r="G1235">
        <v>1382.9238281</v>
      </c>
      <c r="H1235">
        <v>1369.1054687999999</v>
      </c>
      <c r="I1235">
        <v>1286.2020264</v>
      </c>
      <c r="J1235">
        <v>1266.494751</v>
      </c>
      <c r="K1235">
        <v>2400</v>
      </c>
      <c r="L1235">
        <v>0</v>
      </c>
      <c r="M1235">
        <v>0</v>
      </c>
      <c r="N1235">
        <v>2400</v>
      </c>
    </row>
    <row r="1236" spans="1:14" x14ac:dyDescent="0.25">
      <c r="A1236">
        <v>801.41855199999998</v>
      </c>
      <c r="B1236" s="1">
        <f>DATE(2012,7,10) + TIME(10,2,42)</f>
        <v>41100.418541666666</v>
      </c>
      <c r="C1236">
        <v>80</v>
      </c>
      <c r="D1236">
        <v>79.950050353999998</v>
      </c>
      <c r="E1236">
        <v>50</v>
      </c>
      <c r="F1236">
        <v>45.057559967000003</v>
      </c>
      <c r="G1236">
        <v>1382.8641356999999</v>
      </c>
      <c r="H1236">
        <v>1369.0550536999999</v>
      </c>
      <c r="I1236">
        <v>1286.1461182</v>
      </c>
      <c r="J1236">
        <v>1266.4133300999999</v>
      </c>
      <c r="K1236">
        <v>2400</v>
      </c>
      <c r="L1236">
        <v>0</v>
      </c>
      <c r="M1236">
        <v>0</v>
      </c>
      <c r="N1236">
        <v>2400</v>
      </c>
    </row>
    <row r="1237" spans="1:14" x14ac:dyDescent="0.25">
      <c r="A1237">
        <v>802.65034300000002</v>
      </c>
      <c r="B1237" s="1">
        <f>DATE(2012,7,11) + TIME(15,36,29)</f>
        <v>41101.650335648148</v>
      </c>
      <c r="C1237">
        <v>80</v>
      </c>
      <c r="D1237">
        <v>79.950073242000002</v>
      </c>
      <c r="E1237">
        <v>50</v>
      </c>
      <c r="F1237">
        <v>44.981975554999998</v>
      </c>
      <c r="G1237">
        <v>1382.8048096</v>
      </c>
      <c r="H1237">
        <v>1369.0050048999999</v>
      </c>
      <c r="I1237">
        <v>1286.0888672000001</v>
      </c>
      <c r="J1237">
        <v>1266.3295897999999</v>
      </c>
      <c r="K1237">
        <v>2400</v>
      </c>
      <c r="L1237">
        <v>0</v>
      </c>
      <c r="M1237">
        <v>0</v>
      </c>
      <c r="N1237">
        <v>2400</v>
      </c>
    </row>
    <row r="1238" spans="1:14" x14ac:dyDescent="0.25">
      <c r="A1238">
        <v>803.89365299999997</v>
      </c>
      <c r="B1238" s="1">
        <f>DATE(2012,7,12) + TIME(21,26,51)</f>
        <v>41102.893645833334</v>
      </c>
      <c r="C1238">
        <v>80</v>
      </c>
      <c r="D1238">
        <v>79.950088500999996</v>
      </c>
      <c r="E1238">
        <v>50</v>
      </c>
      <c r="F1238">
        <v>44.905601501</v>
      </c>
      <c r="G1238">
        <v>1382.7457274999999</v>
      </c>
      <c r="H1238">
        <v>1368.9550781</v>
      </c>
      <c r="I1238">
        <v>1286.0303954999999</v>
      </c>
      <c r="J1238">
        <v>1266.2436522999999</v>
      </c>
      <c r="K1238">
        <v>2400</v>
      </c>
      <c r="L1238">
        <v>0</v>
      </c>
      <c r="M1238">
        <v>0</v>
      </c>
      <c r="N1238">
        <v>2400</v>
      </c>
    </row>
    <row r="1239" spans="1:14" x14ac:dyDescent="0.25">
      <c r="A1239">
        <v>805.15171599999996</v>
      </c>
      <c r="B1239" s="1">
        <f>DATE(2012,7,14) + TIME(3,38,28)</f>
        <v>41104.151712962965</v>
      </c>
      <c r="C1239">
        <v>80</v>
      </c>
      <c r="D1239">
        <v>79.950111389</v>
      </c>
      <c r="E1239">
        <v>50</v>
      </c>
      <c r="F1239">
        <v>44.828269958</v>
      </c>
      <c r="G1239">
        <v>1382.6870117000001</v>
      </c>
      <c r="H1239">
        <v>1368.9053954999999</v>
      </c>
      <c r="I1239">
        <v>1285.9703368999999</v>
      </c>
      <c r="J1239">
        <v>1266.1552733999999</v>
      </c>
      <c r="K1239">
        <v>2400</v>
      </c>
      <c r="L1239">
        <v>0</v>
      </c>
      <c r="M1239">
        <v>0</v>
      </c>
      <c r="N1239">
        <v>2400</v>
      </c>
    </row>
    <row r="1240" spans="1:14" x14ac:dyDescent="0.25">
      <c r="A1240">
        <v>806.42789200000004</v>
      </c>
      <c r="B1240" s="1">
        <f>DATE(2012,7,15) + TIME(10,16,9)</f>
        <v>41105.427881944444</v>
      </c>
      <c r="C1240">
        <v>80</v>
      </c>
      <c r="D1240">
        <v>79.950126647999994</v>
      </c>
      <c r="E1240">
        <v>50</v>
      </c>
      <c r="F1240">
        <v>44.749786377</v>
      </c>
      <c r="G1240">
        <v>1382.6281738</v>
      </c>
      <c r="H1240">
        <v>1368.8555908000001</v>
      </c>
      <c r="I1240">
        <v>1285.9086914</v>
      </c>
      <c r="J1240">
        <v>1266.0640868999999</v>
      </c>
      <c r="K1240">
        <v>2400</v>
      </c>
      <c r="L1240">
        <v>0</v>
      </c>
      <c r="M1240">
        <v>0</v>
      </c>
      <c r="N1240">
        <v>2400</v>
      </c>
    </row>
    <row r="1241" spans="1:14" x14ac:dyDescent="0.25">
      <c r="A1241">
        <v>807.72574699999996</v>
      </c>
      <c r="B1241" s="1">
        <f>DATE(2012,7,16) + TIME(17,25,4)</f>
        <v>41106.725740740738</v>
      </c>
      <c r="C1241">
        <v>80</v>
      </c>
      <c r="D1241">
        <v>79.950149535999998</v>
      </c>
      <c r="E1241">
        <v>50</v>
      </c>
      <c r="F1241">
        <v>44.669918060000001</v>
      </c>
      <c r="G1241">
        <v>1382.5693358999999</v>
      </c>
      <c r="H1241">
        <v>1368.8057861</v>
      </c>
      <c r="I1241">
        <v>1285.8452147999999</v>
      </c>
      <c r="J1241">
        <v>1265.9697266000001</v>
      </c>
      <c r="K1241">
        <v>2400</v>
      </c>
      <c r="L1241">
        <v>0</v>
      </c>
      <c r="M1241">
        <v>0</v>
      </c>
      <c r="N1241">
        <v>2400</v>
      </c>
    </row>
    <row r="1242" spans="1:14" x14ac:dyDescent="0.25">
      <c r="A1242">
        <v>809.04909899999996</v>
      </c>
      <c r="B1242" s="1">
        <f>DATE(2012,7,18) + TIME(1,10,42)</f>
        <v>41108.049097222225</v>
      </c>
      <c r="C1242">
        <v>80</v>
      </c>
      <c r="D1242">
        <v>79.950172424000002</v>
      </c>
      <c r="E1242">
        <v>50</v>
      </c>
      <c r="F1242">
        <v>44.588428497000002</v>
      </c>
      <c r="G1242">
        <v>1382.5101318</v>
      </c>
      <c r="H1242">
        <v>1368.7554932</v>
      </c>
      <c r="I1242">
        <v>1285.7796631000001</v>
      </c>
      <c r="J1242">
        <v>1265.8720702999999</v>
      </c>
      <c r="K1242">
        <v>2400</v>
      </c>
      <c r="L1242">
        <v>0</v>
      </c>
      <c r="M1242">
        <v>0</v>
      </c>
      <c r="N1242">
        <v>2400</v>
      </c>
    </row>
    <row r="1243" spans="1:14" x14ac:dyDescent="0.25">
      <c r="A1243">
        <v>810.40208700000005</v>
      </c>
      <c r="B1243" s="1">
        <f>DATE(2012,7,19) + TIME(9,39,0)</f>
        <v>41109.402083333334</v>
      </c>
      <c r="C1243">
        <v>80</v>
      </c>
      <c r="D1243">
        <v>79.950195312000005</v>
      </c>
      <c r="E1243">
        <v>50</v>
      </c>
      <c r="F1243">
        <v>44.505058288999997</v>
      </c>
      <c r="G1243">
        <v>1382.4505615</v>
      </c>
      <c r="H1243">
        <v>1368.7049560999999</v>
      </c>
      <c r="I1243">
        <v>1285.7119141000001</v>
      </c>
      <c r="J1243">
        <v>1265.7705077999999</v>
      </c>
      <c r="K1243">
        <v>2400</v>
      </c>
      <c r="L1243">
        <v>0</v>
      </c>
      <c r="M1243">
        <v>0</v>
      </c>
      <c r="N1243">
        <v>2400</v>
      </c>
    </row>
    <row r="1244" spans="1:14" x14ac:dyDescent="0.25">
      <c r="A1244">
        <v>811.78023199999996</v>
      </c>
      <c r="B1244" s="1">
        <f>DATE(2012,7,20) + TIME(18,43,32)</f>
        <v>41110.780231481483</v>
      </c>
      <c r="C1244">
        <v>80</v>
      </c>
      <c r="D1244">
        <v>79.950218200999998</v>
      </c>
      <c r="E1244">
        <v>50</v>
      </c>
      <c r="F1244">
        <v>44.419731140000003</v>
      </c>
      <c r="G1244">
        <v>1382.3905029</v>
      </c>
      <c r="H1244">
        <v>1368.6536865</v>
      </c>
      <c r="I1244">
        <v>1285.6414795000001</v>
      </c>
      <c r="J1244">
        <v>1265.6649170000001</v>
      </c>
      <c r="K1244">
        <v>2400</v>
      </c>
      <c r="L1244">
        <v>0</v>
      </c>
      <c r="M1244">
        <v>0</v>
      </c>
      <c r="N1244">
        <v>2400</v>
      </c>
    </row>
    <row r="1245" spans="1:14" x14ac:dyDescent="0.25">
      <c r="A1245">
        <v>813.16706899999997</v>
      </c>
      <c r="B1245" s="1">
        <f>DATE(2012,7,22) + TIME(4,0,34)</f>
        <v>41112.167060185187</v>
      </c>
      <c r="C1245">
        <v>80</v>
      </c>
      <c r="D1245">
        <v>79.950248717999997</v>
      </c>
      <c r="E1245">
        <v>50</v>
      </c>
      <c r="F1245">
        <v>44.332870483000001</v>
      </c>
      <c r="G1245">
        <v>1382.3299560999999</v>
      </c>
      <c r="H1245">
        <v>1368.6021728999999</v>
      </c>
      <c r="I1245">
        <v>1285.5687256000001</v>
      </c>
      <c r="J1245">
        <v>1265.5554199000001</v>
      </c>
      <c r="K1245">
        <v>2400</v>
      </c>
      <c r="L1245">
        <v>0</v>
      </c>
      <c r="M1245">
        <v>0</v>
      </c>
      <c r="N1245">
        <v>2400</v>
      </c>
    </row>
    <row r="1246" spans="1:14" x14ac:dyDescent="0.25">
      <c r="A1246">
        <v>814.55818199999999</v>
      </c>
      <c r="B1246" s="1">
        <f>DATE(2012,7,23) + TIME(13,23,46)</f>
        <v>41113.558171296296</v>
      </c>
      <c r="C1246">
        <v>80</v>
      </c>
      <c r="D1246">
        <v>79.950271606000001</v>
      </c>
      <c r="E1246">
        <v>50</v>
      </c>
      <c r="F1246">
        <v>44.244968413999999</v>
      </c>
      <c r="G1246">
        <v>1382.2697754000001</v>
      </c>
      <c r="H1246">
        <v>1368.5507812000001</v>
      </c>
      <c r="I1246">
        <v>1285.4945068</v>
      </c>
      <c r="J1246">
        <v>1265.4429932</v>
      </c>
      <c r="K1246">
        <v>2400</v>
      </c>
      <c r="L1246">
        <v>0</v>
      </c>
      <c r="M1246">
        <v>0</v>
      </c>
      <c r="N1246">
        <v>2400</v>
      </c>
    </row>
    <row r="1247" spans="1:14" x14ac:dyDescent="0.25">
      <c r="A1247">
        <v>815.95715499999994</v>
      </c>
      <c r="B1247" s="1">
        <f>DATE(2012,7,24) + TIME(22,58,18)</f>
        <v>41114.957152777781</v>
      </c>
      <c r="C1247">
        <v>80</v>
      </c>
      <c r="D1247">
        <v>79.950294494999994</v>
      </c>
      <c r="E1247">
        <v>50</v>
      </c>
      <c r="F1247">
        <v>44.156192779999998</v>
      </c>
      <c r="G1247">
        <v>1382.2100829999999</v>
      </c>
      <c r="H1247">
        <v>1368.4998779</v>
      </c>
      <c r="I1247">
        <v>1285.4188231999999</v>
      </c>
      <c r="J1247">
        <v>1265.328125</v>
      </c>
      <c r="K1247">
        <v>2400</v>
      </c>
      <c r="L1247">
        <v>0</v>
      </c>
      <c r="M1247">
        <v>0</v>
      </c>
      <c r="N1247">
        <v>2400</v>
      </c>
    </row>
    <row r="1248" spans="1:14" x14ac:dyDescent="0.25">
      <c r="A1248">
        <v>817.36740399999996</v>
      </c>
      <c r="B1248" s="1">
        <f>DATE(2012,7,26) + TIME(8,49,3)</f>
        <v>41116.367395833331</v>
      </c>
      <c r="C1248">
        <v>80</v>
      </c>
      <c r="D1248">
        <v>79.950325011999993</v>
      </c>
      <c r="E1248">
        <v>50</v>
      </c>
      <c r="F1248">
        <v>44.066471100000001</v>
      </c>
      <c r="G1248">
        <v>1382.1507568</v>
      </c>
      <c r="H1248">
        <v>1368.4492187999999</v>
      </c>
      <c r="I1248">
        <v>1285.3417969</v>
      </c>
      <c r="J1248">
        <v>1265.2105713000001</v>
      </c>
      <c r="K1248">
        <v>2400</v>
      </c>
      <c r="L1248">
        <v>0</v>
      </c>
      <c r="M1248">
        <v>0</v>
      </c>
      <c r="N1248">
        <v>2400</v>
      </c>
    </row>
    <row r="1249" spans="1:14" x14ac:dyDescent="0.25">
      <c r="A1249">
        <v>818.79258400000003</v>
      </c>
      <c r="B1249" s="1">
        <f>DATE(2012,7,27) + TIME(19,1,19)</f>
        <v>41117.792581018519</v>
      </c>
      <c r="C1249">
        <v>80</v>
      </c>
      <c r="D1249">
        <v>79.950347899999997</v>
      </c>
      <c r="E1249">
        <v>50</v>
      </c>
      <c r="F1249">
        <v>43.975631714000002</v>
      </c>
      <c r="G1249">
        <v>1382.0916748</v>
      </c>
      <c r="H1249">
        <v>1368.3985596</v>
      </c>
      <c r="I1249">
        <v>1285.2630615</v>
      </c>
      <c r="J1249">
        <v>1265.0899658000001</v>
      </c>
      <c r="K1249">
        <v>2400</v>
      </c>
      <c r="L1249">
        <v>0</v>
      </c>
      <c r="M1249">
        <v>0</v>
      </c>
      <c r="N1249">
        <v>2400</v>
      </c>
    </row>
    <row r="1250" spans="1:14" x14ac:dyDescent="0.25">
      <c r="A1250">
        <v>820.23653000000002</v>
      </c>
      <c r="B1250" s="1">
        <f>DATE(2012,7,29) + TIME(5,40,36)</f>
        <v>41119.236527777779</v>
      </c>
      <c r="C1250">
        <v>80</v>
      </c>
      <c r="D1250">
        <v>79.950378418</v>
      </c>
      <c r="E1250">
        <v>50</v>
      </c>
      <c r="F1250">
        <v>43.883464813000003</v>
      </c>
      <c r="G1250">
        <v>1382.0327147999999</v>
      </c>
      <c r="H1250">
        <v>1368.3480225000001</v>
      </c>
      <c r="I1250">
        <v>1285.1824951000001</v>
      </c>
      <c r="J1250">
        <v>1264.9661865</v>
      </c>
      <c r="K1250">
        <v>2400</v>
      </c>
      <c r="L1250">
        <v>0</v>
      </c>
      <c r="M1250">
        <v>0</v>
      </c>
      <c r="N1250">
        <v>2400</v>
      </c>
    </row>
    <row r="1251" spans="1:14" x14ac:dyDescent="0.25">
      <c r="A1251">
        <v>821.70323900000005</v>
      </c>
      <c r="B1251" s="1">
        <f>DATE(2012,7,30) + TIME(16,52,39)</f>
        <v>41120.703229166669</v>
      </c>
      <c r="C1251">
        <v>80</v>
      </c>
      <c r="D1251">
        <v>79.950408936000002</v>
      </c>
      <c r="E1251">
        <v>50</v>
      </c>
      <c r="F1251">
        <v>43.789730071999998</v>
      </c>
      <c r="G1251">
        <v>1381.9736327999999</v>
      </c>
      <c r="H1251">
        <v>1368.2972411999999</v>
      </c>
      <c r="I1251">
        <v>1285.0998535000001</v>
      </c>
      <c r="J1251">
        <v>1264.8386230000001</v>
      </c>
      <c r="K1251">
        <v>2400</v>
      </c>
      <c r="L1251">
        <v>0</v>
      </c>
      <c r="M1251">
        <v>0</v>
      </c>
      <c r="N1251">
        <v>2400</v>
      </c>
    </row>
    <row r="1252" spans="1:14" x14ac:dyDescent="0.25">
      <c r="A1252">
        <v>823</v>
      </c>
      <c r="B1252" s="1">
        <f>DATE(2012,8,1) + TIME(0,0,0)</f>
        <v>41122</v>
      </c>
      <c r="C1252">
        <v>80</v>
      </c>
      <c r="D1252">
        <v>79.950431824000006</v>
      </c>
      <c r="E1252">
        <v>50</v>
      </c>
      <c r="F1252">
        <v>43.699283600000001</v>
      </c>
      <c r="G1252">
        <v>1381.9141846</v>
      </c>
      <c r="H1252">
        <v>1368.2462158000001</v>
      </c>
      <c r="I1252">
        <v>1285.0152588000001</v>
      </c>
      <c r="J1252">
        <v>1264.7092285000001</v>
      </c>
      <c r="K1252">
        <v>2400</v>
      </c>
      <c r="L1252">
        <v>0</v>
      </c>
      <c r="M1252">
        <v>0</v>
      </c>
      <c r="N1252">
        <v>2400</v>
      </c>
    </row>
    <row r="1253" spans="1:14" x14ac:dyDescent="0.25">
      <c r="A1253">
        <v>824.49374499999999</v>
      </c>
      <c r="B1253" s="1">
        <f>DATE(2012,8,2) + TIME(11,50,59)</f>
        <v>41123.493738425925</v>
      </c>
      <c r="C1253">
        <v>80</v>
      </c>
      <c r="D1253">
        <v>79.950462341000005</v>
      </c>
      <c r="E1253">
        <v>50</v>
      </c>
      <c r="F1253">
        <v>43.607227324999997</v>
      </c>
      <c r="G1253">
        <v>1381.8621826000001</v>
      </c>
      <c r="H1253">
        <v>1368.2015381000001</v>
      </c>
      <c r="I1253">
        <v>1284.9385986</v>
      </c>
      <c r="J1253">
        <v>1264.5874022999999</v>
      </c>
      <c r="K1253">
        <v>2400</v>
      </c>
      <c r="L1253">
        <v>0</v>
      </c>
      <c r="M1253">
        <v>0</v>
      </c>
      <c r="N1253">
        <v>2400</v>
      </c>
    </row>
    <row r="1254" spans="1:14" x14ac:dyDescent="0.25">
      <c r="A1254">
        <v>826.03899999999999</v>
      </c>
      <c r="B1254" s="1">
        <f>DATE(2012,8,4) + TIME(0,56,9)</f>
        <v>41125.038993055554</v>
      </c>
      <c r="C1254">
        <v>80</v>
      </c>
      <c r="D1254">
        <v>79.950492858999993</v>
      </c>
      <c r="E1254">
        <v>50</v>
      </c>
      <c r="F1254">
        <v>43.510238647000001</v>
      </c>
      <c r="G1254">
        <v>1381.8029785000001</v>
      </c>
      <c r="H1254">
        <v>1368.1505127</v>
      </c>
      <c r="I1254">
        <v>1284.8507079999999</v>
      </c>
      <c r="J1254">
        <v>1264.4504394999999</v>
      </c>
      <c r="K1254">
        <v>2400</v>
      </c>
      <c r="L1254">
        <v>0</v>
      </c>
      <c r="M1254">
        <v>0</v>
      </c>
      <c r="N1254">
        <v>2400</v>
      </c>
    </row>
    <row r="1255" spans="1:14" x14ac:dyDescent="0.25">
      <c r="A1255">
        <v>827.60353299999997</v>
      </c>
      <c r="B1255" s="1">
        <f>DATE(2012,8,5) + TIME(14,29,5)</f>
        <v>41126.603530092594</v>
      </c>
      <c r="C1255">
        <v>80</v>
      </c>
      <c r="D1255">
        <v>79.950531006000006</v>
      </c>
      <c r="E1255">
        <v>50</v>
      </c>
      <c r="F1255">
        <v>43.409835815000001</v>
      </c>
      <c r="G1255">
        <v>1381.7424315999999</v>
      </c>
      <c r="H1255">
        <v>1368.0982666</v>
      </c>
      <c r="I1255">
        <v>1284.7586670000001</v>
      </c>
      <c r="J1255">
        <v>1264.3067627</v>
      </c>
      <c r="K1255">
        <v>2400</v>
      </c>
      <c r="L1255">
        <v>0</v>
      </c>
      <c r="M1255">
        <v>0</v>
      </c>
      <c r="N1255">
        <v>2400</v>
      </c>
    </row>
    <row r="1256" spans="1:14" x14ac:dyDescent="0.25">
      <c r="A1256">
        <v>829.18314599999997</v>
      </c>
      <c r="B1256" s="1">
        <f>DATE(2012,8,7) + TIME(4,23,43)</f>
        <v>41128.183136574073</v>
      </c>
      <c r="C1256">
        <v>80</v>
      </c>
      <c r="D1256">
        <v>79.950561523000005</v>
      </c>
      <c r="E1256">
        <v>50</v>
      </c>
      <c r="F1256">
        <v>43.307304381999998</v>
      </c>
      <c r="G1256">
        <v>1381.6817627</v>
      </c>
      <c r="H1256">
        <v>1368.0458983999999</v>
      </c>
      <c r="I1256">
        <v>1284.6645507999999</v>
      </c>
      <c r="J1256">
        <v>1264.1588135</v>
      </c>
      <c r="K1256">
        <v>2400</v>
      </c>
      <c r="L1256">
        <v>0</v>
      </c>
      <c r="M1256">
        <v>0</v>
      </c>
      <c r="N1256">
        <v>2400</v>
      </c>
    </row>
    <row r="1257" spans="1:14" x14ac:dyDescent="0.25">
      <c r="A1257">
        <v>830.77011200000004</v>
      </c>
      <c r="B1257" s="1">
        <f>DATE(2012,8,8) + TIME(18,28,57)</f>
        <v>41129.770104166666</v>
      </c>
      <c r="C1257">
        <v>80</v>
      </c>
      <c r="D1257">
        <v>79.950592040999993</v>
      </c>
      <c r="E1257">
        <v>50</v>
      </c>
      <c r="F1257">
        <v>43.203399658000002</v>
      </c>
      <c r="G1257">
        <v>1381.6210937999999</v>
      </c>
      <c r="H1257">
        <v>1367.9934082</v>
      </c>
      <c r="I1257">
        <v>1284.5684814000001</v>
      </c>
      <c r="J1257">
        <v>1264.0072021000001</v>
      </c>
      <c r="K1257">
        <v>2400</v>
      </c>
      <c r="L1257">
        <v>0</v>
      </c>
      <c r="M1257">
        <v>0</v>
      </c>
      <c r="N1257">
        <v>2400</v>
      </c>
    </row>
    <row r="1258" spans="1:14" x14ac:dyDescent="0.25">
      <c r="A1258">
        <v>832.36860899999999</v>
      </c>
      <c r="B1258" s="1">
        <f>DATE(2012,8,10) + TIME(8,50,47)</f>
        <v>41131.36859953704</v>
      </c>
      <c r="C1258">
        <v>80</v>
      </c>
      <c r="D1258">
        <v>79.950630188000005</v>
      </c>
      <c r="E1258">
        <v>50</v>
      </c>
      <c r="F1258">
        <v>43.098476410000004</v>
      </c>
      <c r="G1258">
        <v>1381.5609131000001</v>
      </c>
      <c r="H1258">
        <v>1367.9412841999999</v>
      </c>
      <c r="I1258">
        <v>1284.4710693</v>
      </c>
      <c r="J1258">
        <v>1263.8527832</v>
      </c>
      <c r="K1258">
        <v>2400</v>
      </c>
      <c r="L1258">
        <v>0</v>
      </c>
      <c r="M1258">
        <v>0</v>
      </c>
      <c r="N1258">
        <v>2400</v>
      </c>
    </row>
    <row r="1259" spans="1:14" x14ac:dyDescent="0.25">
      <c r="A1259">
        <v>833.98278300000004</v>
      </c>
      <c r="B1259" s="1">
        <f>DATE(2012,8,11) + TIME(23,35,12)</f>
        <v>41132.982777777775</v>
      </c>
      <c r="C1259">
        <v>80</v>
      </c>
      <c r="D1259">
        <v>79.950660705999994</v>
      </c>
      <c r="E1259">
        <v>50</v>
      </c>
      <c r="F1259">
        <v>42.992523192999997</v>
      </c>
      <c r="G1259">
        <v>1381.5008545000001</v>
      </c>
      <c r="H1259">
        <v>1367.8891602000001</v>
      </c>
      <c r="I1259">
        <v>1284.3723144999999</v>
      </c>
      <c r="J1259">
        <v>1263.6953125</v>
      </c>
      <c r="K1259">
        <v>2400</v>
      </c>
      <c r="L1259">
        <v>0</v>
      </c>
      <c r="M1259">
        <v>0</v>
      </c>
      <c r="N1259">
        <v>2400</v>
      </c>
    </row>
    <row r="1260" spans="1:14" x14ac:dyDescent="0.25">
      <c r="A1260">
        <v>835.61694799999998</v>
      </c>
      <c r="B1260" s="1">
        <f>DATE(2012,8,13) + TIME(14,48,24)</f>
        <v>41134.616944444446</v>
      </c>
      <c r="C1260">
        <v>80</v>
      </c>
      <c r="D1260">
        <v>79.950698853000006</v>
      </c>
      <c r="E1260">
        <v>50</v>
      </c>
      <c r="F1260">
        <v>42.885410309000001</v>
      </c>
      <c r="G1260">
        <v>1381.440918</v>
      </c>
      <c r="H1260">
        <v>1367.8371582</v>
      </c>
      <c r="I1260">
        <v>1284.2718506000001</v>
      </c>
      <c r="J1260">
        <v>1263.5344238</v>
      </c>
      <c r="K1260">
        <v>2400</v>
      </c>
      <c r="L1260">
        <v>0</v>
      </c>
      <c r="M1260">
        <v>0</v>
      </c>
      <c r="N1260">
        <v>2400</v>
      </c>
    </row>
    <row r="1261" spans="1:14" x14ac:dyDescent="0.25">
      <c r="A1261">
        <v>837.27566100000001</v>
      </c>
      <c r="B1261" s="1">
        <f>DATE(2012,8,15) + TIME(6,36,57)</f>
        <v>41136.275659722225</v>
      </c>
      <c r="C1261">
        <v>80</v>
      </c>
      <c r="D1261">
        <v>79.950737000000004</v>
      </c>
      <c r="E1261">
        <v>50</v>
      </c>
      <c r="F1261">
        <v>42.776943207000002</v>
      </c>
      <c r="G1261">
        <v>1381.3807373</v>
      </c>
      <c r="H1261">
        <v>1367.7847899999999</v>
      </c>
      <c r="I1261">
        <v>1284.1694336</v>
      </c>
      <c r="J1261">
        <v>1263.3699951000001</v>
      </c>
      <c r="K1261">
        <v>2400</v>
      </c>
      <c r="L1261">
        <v>0</v>
      </c>
      <c r="M1261">
        <v>0</v>
      </c>
      <c r="N1261">
        <v>2400</v>
      </c>
    </row>
    <row r="1262" spans="1:14" x14ac:dyDescent="0.25">
      <c r="A1262">
        <v>838.96220200000005</v>
      </c>
      <c r="B1262" s="1">
        <f>DATE(2012,8,16) + TIME(23,5,34)</f>
        <v>41137.962199074071</v>
      </c>
      <c r="C1262">
        <v>80</v>
      </c>
      <c r="D1262">
        <v>79.950775145999998</v>
      </c>
      <c r="E1262">
        <v>50</v>
      </c>
      <c r="F1262">
        <v>42.666965484999999</v>
      </c>
      <c r="G1262">
        <v>1381.3203125</v>
      </c>
      <c r="H1262">
        <v>1367.7321777</v>
      </c>
      <c r="I1262">
        <v>1284.0650635</v>
      </c>
      <c r="J1262">
        <v>1263.2015381000001</v>
      </c>
      <c r="K1262">
        <v>2400</v>
      </c>
      <c r="L1262">
        <v>0</v>
      </c>
      <c r="M1262">
        <v>0</v>
      </c>
      <c r="N1262">
        <v>2400</v>
      </c>
    </row>
    <row r="1263" spans="1:14" x14ac:dyDescent="0.25">
      <c r="A1263">
        <v>840.66972699999997</v>
      </c>
      <c r="B1263" s="1">
        <f>DATE(2012,8,18) + TIME(16,4,24)</f>
        <v>41139.669722222221</v>
      </c>
      <c r="C1263">
        <v>80</v>
      </c>
      <c r="D1263">
        <v>79.950813292999996</v>
      </c>
      <c r="E1263">
        <v>50</v>
      </c>
      <c r="F1263">
        <v>42.555572509999998</v>
      </c>
      <c r="G1263">
        <v>1381.2595214999999</v>
      </c>
      <c r="H1263">
        <v>1367.6791992000001</v>
      </c>
      <c r="I1263">
        <v>1283.9584961</v>
      </c>
      <c r="J1263">
        <v>1263.0288086</v>
      </c>
      <c r="K1263">
        <v>2400</v>
      </c>
      <c r="L1263">
        <v>0</v>
      </c>
      <c r="M1263">
        <v>0</v>
      </c>
      <c r="N1263">
        <v>2400</v>
      </c>
    </row>
    <row r="1264" spans="1:14" x14ac:dyDescent="0.25">
      <c r="A1264">
        <v>842.39038100000005</v>
      </c>
      <c r="B1264" s="1">
        <f>DATE(2012,8,20) + TIME(9,22,8)</f>
        <v>41141.390370370369</v>
      </c>
      <c r="C1264">
        <v>80</v>
      </c>
      <c r="D1264">
        <v>79.950851439999994</v>
      </c>
      <c r="E1264">
        <v>50</v>
      </c>
      <c r="F1264">
        <v>42.443199157999999</v>
      </c>
      <c r="G1264">
        <v>1381.1984863</v>
      </c>
      <c r="H1264">
        <v>1367.6259766000001</v>
      </c>
      <c r="I1264">
        <v>1283.8502197</v>
      </c>
      <c r="J1264">
        <v>1262.8526611</v>
      </c>
      <c r="K1264">
        <v>2400</v>
      </c>
      <c r="L1264">
        <v>0</v>
      </c>
      <c r="M1264">
        <v>0</v>
      </c>
      <c r="N1264">
        <v>2400</v>
      </c>
    </row>
    <row r="1265" spans="1:14" x14ac:dyDescent="0.25">
      <c r="A1265">
        <v>844.12635699999998</v>
      </c>
      <c r="B1265" s="1">
        <f>DATE(2012,8,22) + TIME(3,1,57)</f>
        <v>41143.126354166663</v>
      </c>
      <c r="C1265">
        <v>80</v>
      </c>
      <c r="D1265">
        <v>79.950889587000006</v>
      </c>
      <c r="E1265">
        <v>50</v>
      </c>
      <c r="F1265">
        <v>42.330219268999997</v>
      </c>
      <c r="G1265">
        <v>1381.1376952999999</v>
      </c>
      <c r="H1265">
        <v>1367.5727539</v>
      </c>
      <c r="I1265">
        <v>1283.7408447</v>
      </c>
      <c r="J1265">
        <v>1262.6737060999999</v>
      </c>
      <c r="K1265">
        <v>2400</v>
      </c>
      <c r="L1265">
        <v>0</v>
      </c>
      <c r="M1265">
        <v>0</v>
      </c>
      <c r="N1265">
        <v>2400</v>
      </c>
    </row>
    <row r="1266" spans="1:14" x14ac:dyDescent="0.25">
      <c r="A1266">
        <v>845.88226499999996</v>
      </c>
      <c r="B1266" s="1">
        <f>DATE(2012,8,23) + TIME(21,10,27)</f>
        <v>41144.882256944446</v>
      </c>
      <c r="C1266">
        <v>80</v>
      </c>
      <c r="D1266">
        <v>79.950927734000004</v>
      </c>
      <c r="E1266">
        <v>50</v>
      </c>
      <c r="F1266">
        <v>42.216732024999999</v>
      </c>
      <c r="G1266">
        <v>1381.0769043</v>
      </c>
      <c r="H1266">
        <v>1367.5195312000001</v>
      </c>
      <c r="I1266">
        <v>1283.630249</v>
      </c>
      <c r="J1266">
        <v>1262.4920654</v>
      </c>
      <c r="K1266">
        <v>2400</v>
      </c>
      <c r="L1266">
        <v>0</v>
      </c>
      <c r="M1266">
        <v>0</v>
      </c>
      <c r="N1266">
        <v>2400</v>
      </c>
    </row>
    <row r="1267" spans="1:14" x14ac:dyDescent="0.25">
      <c r="A1267">
        <v>847.66293099999996</v>
      </c>
      <c r="B1267" s="1">
        <f>DATE(2012,8,25) + TIME(15,54,37)</f>
        <v>41146.662928240738</v>
      </c>
      <c r="C1267">
        <v>80</v>
      </c>
      <c r="D1267">
        <v>79.950965881000002</v>
      </c>
      <c r="E1267">
        <v>50</v>
      </c>
      <c r="F1267">
        <v>42.102714538999997</v>
      </c>
      <c r="G1267">
        <v>1381.0159911999999</v>
      </c>
      <c r="H1267">
        <v>1367.4660644999999</v>
      </c>
      <c r="I1267">
        <v>1283.5184326000001</v>
      </c>
      <c r="J1267">
        <v>1262.3073730000001</v>
      </c>
      <c r="K1267">
        <v>2400</v>
      </c>
      <c r="L1267">
        <v>0</v>
      </c>
      <c r="M1267">
        <v>0</v>
      </c>
      <c r="N1267">
        <v>2400</v>
      </c>
    </row>
    <row r="1268" spans="1:14" x14ac:dyDescent="0.25">
      <c r="A1268">
        <v>849.47342300000003</v>
      </c>
      <c r="B1268" s="1">
        <f>DATE(2012,8,27) + TIME(11,21,43)</f>
        <v>41148.473414351851</v>
      </c>
      <c r="C1268">
        <v>80</v>
      </c>
      <c r="D1268">
        <v>79.951011657999999</v>
      </c>
      <c r="E1268">
        <v>50</v>
      </c>
      <c r="F1268">
        <v>41.988082886000001</v>
      </c>
      <c r="G1268">
        <v>1380.9547118999999</v>
      </c>
      <c r="H1268">
        <v>1367.4123535000001</v>
      </c>
      <c r="I1268">
        <v>1283.4051514</v>
      </c>
      <c r="J1268">
        <v>1262.1195068</v>
      </c>
      <c r="K1268">
        <v>2400</v>
      </c>
      <c r="L1268">
        <v>0</v>
      </c>
      <c r="M1268">
        <v>0</v>
      </c>
      <c r="N1268">
        <v>2400</v>
      </c>
    </row>
    <row r="1269" spans="1:14" x14ac:dyDescent="0.25">
      <c r="A1269">
        <v>851.30659400000002</v>
      </c>
      <c r="B1269" s="1">
        <f>DATE(2012,8,29) + TIME(7,21,29)</f>
        <v>41150.306585648148</v>
      </c>
      <c r="C1269">
        <v>80</v>
      </c>
      <c r="D1269">
        <v>79.951049804999997</v>
      </c>
      <c r="E1269">
        <v>50</v>
      </c>
      <c r="F1269">
        <v>41.873016356999997</v>
      </c>
      <c r="G1269">
        <v>1380.8930664</v>
      </c>
      <c r="H1269">
        <v>1367.3580322</v>
      </c>
      <c r="I1269">
        <v>1283.2902832</v>
      </c>
      <c r="J1269">
        <v>1261.9282227000001</v>
      </c>
      <c r="K1269">
        <v>2400</v>
      </c>
      <c r="L1269">
        <v>0</v>
      </c>
      <c r="M1269">
        <v>0</v>
      </c>
      <c r="N1269">
        <v>2400</v>
      </c>
    </row>
    <row r="1270" spans="1:14" x14ac:dyDescent="0.25">
      <c r="A1270">
        <v>853.16362000000004</v>
      </c>
      <c r="B1270" s="1">
        <f>DATE(2012,8,31) + TIME(3,55,36)</f>
        <v>41152.163611111115</v>
      </c>
      <c r="C1270">
        <v>80</v>
      </c>
      <c r="D1270">
        <v>79.951095581000004</v>
      </c>
      <c r="E1270">
        <v>50</v>
      </c>
      <c r="F1270">
        <v>41.757869720000002</v>
      </c>
      <c r="G1270">
        <v>1380.8310547000001</v>
      </c>
      <c r="H1270">
        <v>1367.3034668</v>
      </c>
      <c r="I1270">
        <v>1283.1744385</v>
      </c>
      <c r="J1270">
        <v>1261.7342529</v>
      </c>
      <c r="K1270">
        <v>2400</v>
      </c>
      <c r="L1270">
        <v>0</v>
      </c>
      <c r="M1270">
        <v>0</v>
      </c>
      <c r="N1270">
        <v>2400</v>
      </c>
    </row>
    <row r="1271" spans="1:14" x14ac:dyDescent="0.25">
      <c r="A1271">
        <v>854</v>
      </c>
      <c r="B1271" s="1">
        <f>DATE(2012,9,1) + TIME(0,0,0)</f>
        <v>41153</v>
      </c>
      <c r="C1271">
        <v>80</v>
      </c>
      <c r="D1271">
        <v>79.951103209999999</v>
      </c>
      <c r="E1271">
        <v>50</v>
      </c>
      <c r="F1271">
        <v>41.675445557000003</v>
      </c>
      <c r="G1271">
        <v>1380.7689209</v>
      </c>
      <c r="H1271">
        <v>1367.2486572</v>
      </c>
      <c r="I1271">
        <v>1283.0620117000001</v>
      </c>
      <c r="J1271">
        <v>1261.5581055</v>
      </c>
      <c r="K1271">
        <v>2400</v>
      </c>
      <c r="L1271">
        <v>0</v>
      </c>
      <c r="M1271">
        <v>0</v>
      </c>
      <c r="N1271">
        <v>2400</v>
      </c>
    </row>
    <row r="1272" spans="1:14" x14ac:dyDescent="0.25">
      <c r="A1272">
        <v>855.87725899999998</v>
      </c>
      <c r="B1272" s="1">
        <f>DATE(2012,9,2) + TIME(21,3,15)</f>
        <v>41154.877256944441</v>
      </c>
      <c r="C1272">
        <v>80</v>
      </c>
      <c r="D1272">
        <v>79.951156616000006</v>
      </c>
      <c r="E1272">
        <v>50</v>
      </c>
      <c r="F1272">
        <v>41.582355499000002</v>
      </c>
      <c r="G1272">
        <v>1380.7409668</v>
      </c>
      <c r="H1272">
        <v>1367.2238769999999</v>
      </c>
      <c r="I1272">
        <v>1283.0013428</v>
      </c>
      <c r="J1272">
        <v>1261.4392089999999</v>
      </c>
      <c r="K1272">
        <v>2400</v>
      </c>
      <c r="L1272">
        <v>0</v>
      </c>
      <c r="M1272">
        <v>0</v>
      </c>
      <c r="N1272">
        <v>2400</v>
      </c>
    </row>
    <row r="1273" spans="1:14" x14ac:dyDescent="0.25">
      <c r="A1273">
        <v>857.76527899999996</v>
      </c>
      <c r="B1273" s="1">
        <f>DATE(2012,9,4) + TIME(18,22,0)</f>
        <v>41156.765277777777</v>
      </c>
      <c r="C1273">
        <v>80</v>
      </c>
      <c r="D1273">
        <v>79.951202393000003</v>
      </c>
      <c r="E1273">
        <v>50</v>
      </c>
      <c r="F1273">
        <v>41.475982666</v>
      </c>
      <c r="G1273">
        <v>1380.6790771000001</v>
      </c>
      <c r="H1273">
        <v>1367.1691894999999</v>
      </c>
      <c r="I1273">
        <v>1282.8873291</v>
      </c>
      <c r="J1273">
        <v>1261.2486572</v>
      </c>
      <c r="K1273">
        <v>2400</v>
      </c>
      <c r="L1273">
        <v>0</v>
      </c>
      <c r="M1273">
        <v>0</v>
      </c>
      <c r="N1273">
        <v>2400</v>
      </c>
    </row>
    <row r="1274" spans="1:14" x14ac:dyDescent="0.25">
      <c r="A1274">
        <v>859.66715099999999</v>
      </c>
      <c r="B1274" s="1">
        <f>DATE(2012,9,6) + TIME(16,0,41)</f>
        <v>41158.667141203703</v>
      </c>
      <c r="C1274">
        <v>80</v>
      </c>
      <c r="D1274">
        <v>79.951248168999996</v>
      </c>
      <c r="E1274">
        <v>50</v>
      </c>
      <c r="F1274">
        <v>41.366703033</v>
      </c>
      <c r="G1274">
        <v>1380.6171875</v>
      </c>
      <c r="H1274">
        <v>1367.1143798999999</v>
      </c>
      <c r="I1274">
        <v>1282.7717285000001</v>
      </c>
      <c r="J1274">
        <v>1261.0527344</v>
      </c>
      <c r="K1274">
        <v>2400</v>
      </c>
      <c r="L1274">
        <v>0</v>
      </c>
      <c r="M1274">
        <v>0</v>
      </c>
      <c r="N1274">
        <v>2400</v>
      </c>
    </row>
    <row r="1275" spans="1:14" x14ac:dyDescent="0.25">
      <c r="A1275">
        <v>861.58779700000002</v>
      </c>
      <c r="B1275" s="1">
        <f>DATE(2012,9,8) + TIME(14,6,25)</f>
        <v>41160.587789351855</v>
      </c>
      <c r="C1275">
        <v>80</v>
      </c>
      <c r="D1275">
        <v>79.951293945000003</v>
      </c>
      <c r="E1275">
        <v>50</v>
      </c>
      <c r="F1275">
        <v>41.257934570000003</v>
      </c>
      <c r="G1275">
        <v>1380.5552978999999</v>
      </c>
      <c r="H1275">
        <v>1367.0595702999999</v>
      </c>
      <c r="I1275">
        <v>1282.6560059000001</v>
      </c>
      <c r="J1275">
        <v>1260.8549805</v>
      </c>
      <c r="K1275">
        <v>2400</v>
      </c>
      <c r="L1275">
        <v>0</v>
      </c>
      <c r="M1275">
        <v>0</v>
      </c>
      <c r="N1275">
        <v>2400</v>
      </c>
    </row>
    <row r="1276" spans="1:14" x14ac:dyDescent="0.25">
      <c r="A1276">
        <v>863.53235099999995</v>
      </c>
      <c r="B1276" s="1">
        <f>DATE(2012,9,10) + TIME(12,46,35)</f>
        <v>41162.532349537039</v>
      </c>
      <c r="C1276">
        <v>80</v>
      </c>
      <c r="D1276">
        <v>79.951339722</v>
      </c>
      <c r="E1276">
        <v>50</v>
      </c>
      <c r="F1276">
        <v>41.150882721000002</v>
      </c>
      <c r="G1276">
        <v>1380.4932861</v>
      </c>
      <c r="H1276">
        <v>1367.0045166</v>
      </c>
      <c r="I1276">
        <v>1282.5405272999999</v>
      </c>
      <c r="J1276">
        <v>1260.6564940999999</v>
      </c>
      <c r="K1276">
        <v>2400</v>
      </c>
      <c r="L1276">
        <v>0</v>
      </c>
      <c r="M1276">
        <v>0</v>
      </c>
      <c r="N1276">
        <v>2400</v>
      </c>
    </row>
    <row r="1277" spans="1:14" x14ac:dyDescent="0.25">
      <c r="A1277">
        <v>865.50621000000001</v>
      </c>
      <c r="B1277" s="1">
        <f>DATE(2012,9,12) + TIME(12,8,56)</f>
        <v>41164.506203703706</v>
      </c>
      <c r="C1277">
        <v>80</v>
      </c>
      <c r="D1277">
        <v>79.951393127000003</v>
      </c>
      <c r="E1277">
        <v>50</v>
      </c>
      <c r="F1277">
        <v>41.046104431000003</v>
      </c>
      <c r="G1277">
        <v>1380.4310303</v>
      </c>
      <c r="H1277">
        <v>1366.9492187999999</v>
      </c>
      <c r="I1277">
        <v>1282.425293</v>
      </c>
      <c r="J1277">
        <v>1260.4575195</v>
      </c>
      <c r="K1277">
        <v>2400</v>
      </c>
      <c r="L1277">
        <v>0</v>
      </c>
      <c r="M1277">
        <v>0</v>
      </c>
      <c r="N1277">
        <v>2400</v>
      </c>
    </row>
    <row r="1278" spans="1:14" x14ac:dyDescent="0.25">
      <c r="A1278">
        <v>867.48941400000001</v>
      </c>
      <c r="B1278" s="1">
        <f>DATE(2012,9,14) + TIME(11,44,45)</f>
        <v>41166.48940972222</v>
      </c>
      <c r="C1278">
        <v>80</v>
      </c>
      <c r="D1278">
        <v>79.951438904</v>
      </c>
      <c r="E1278">
        <v>50</v>
      </c>
      <c r="F1278">
        <v>40.944408416999998</v>
      </c>
      <c r="G1278">
        <v>1380.3682861</v>
      </c>
      <c r="H1278">
        <v>1366.8933105000001</v>
      </c>
      <c r="I1278">
        <v>1282.3104248</v>
      </c>
      <c r="J1278">
        <v>1260.2584228999999</v>
      </c>
      <c r="K1278">
        <v>2400</v>
      </c>
      <c r="L1278">
        <v>0</v>
      </c>
      <c r="M1278">
        <v>0</v>
      </c>
      <c r="N1278">
        <v>2400</v>
      </c>
    </row>
    <row r="1279" spans="1:14" x14ac:dyDescent="0.25">
      <c r="A1279">
        <v>869.48646199999996</v>
      </c>
      <c r="B1279" s="1">
        <f>DATE(2012,9,16) + TIME(11,40,30)</f>
        <v>41168.486458333333</v>
      </c>
      <c r="C1279">
        <v>80</v>
      </c>
      <c r="D1279">
        <v>79.951484679999993</v>
      </c>
      <c r="E1279">
        <v>50</v>
      </c>
      <c r="F1279">
        <v>40.846775055000002</v>
      </c>
      <c r="G1279">
        <v>1380.3056641000001</v>
      </c>
      <c r="H1279">
        <v>1366.8375243999999</v>
      </c>
      <c r="I1279">
        <v>1282.1972656</v>
      </c>
      <c r="J1279">
        <v>1260.0612793</v>
      </c>
      <c r="K1279">
        <v>2400</v>
      </c>
      <c r="L1279">
        <v>0</v>
      </c>
      <c r="M1279">
        <v>0</v>
      </c>
      <c r="N1279">
        <v>2400</v>
      </c>
    </row>
    <row r="1280" spans="1:14" x14ac:dyDescent="0.25">
      <c r="A1280">
        <v>871.50077899999997</v>
      </c>
      <c r="B1280" s="1">
        <f>DATE(2012,9,18) + TIME(12,1,7)</f>
        <v>41170.500775462962</v>
      </c>
      <c r="C1280">
        <v>80</v>
      </c>
      <c r="D1280">
        <v>79.951538085999999</v>
      </c>
      <c r="E1280">
        <v>50</v>
      </c>
      <c r="F1280">
        <v>40.753826140999998</v>
      </c>
      <c r="G1280">
        <v>1380.2431641000001</v>
      </c>
      <c r="H1280">
        <v>1366.7816161999999</v>
      </c>
      <c r="I1280">
        <v>1282.0859375</v>
      </c>
      <c r="J1280">
        <v>1259.8662108999999</v>
      </c>
      <c r="K1280">
        <v>2400</v>
      </c>
      <c r="L1280">
        <v>0</v>
      </c>
      <c r="M1280">
        <v>0</v>
      </c>
      <c r="N1280">
        <v>2400</v>
      </c>
    </row>
    <row r="1281" spans="1:14" x14ac:dyDescent="0.25">
      <c r="A1281">
        <v>873.54265399999997</v>
      </c>
      <c r="B1281" s="1">
        <f>DATE(2012,9,20) + TIME(13,1,25)</f>
        <v>41172.542650462965</v>
      </c>
      <c r="C1281">
        <v>80</v>
      </c>
      <c r="D1281">
        <v>79.951583862000007</v>
      </c>
      <c r="E1281">
        <v>50</v>
      </c>
      <c r="F1281">
        <v>40.666042328000003</v>
      </c>
      <c r="G1281">
        <v>1380.1805420000001</v>
      </c>
      <c r="H1281">
        <v>1366.7255858999999</v>
      </c>
      <c r="I1281">
        <v>1281.9763184000001</v>
      </c>
      <c r="J1281">
        <v>1259.6737060999999</v>
      </c>
      <c r="K1281">
        <v>2400</v>
      </c>
      <c r="L1281">
        <v>0</v>
      </c>
      <c r="M1281">
        <v>0</v>
      </c>
      <c r="N1281">
        <v>2400</v>
      </c>
    </row>
    <row r="1282" spans="1:14" x14ac:dyDescent="0.25">
      <c r="A1282">
        <v>875.61798399999998</v>
      </c>
      <c r="B1282" s="1">
        <f>DATE(2012,9,22) + TIME(14,49,53)</f>
        <v>41174.617974537039</v>
      </c>
      <c r="C1282">
        <v>80</v>
      </c>
      <c r="D1282">
        <v>79.951637267999999</v>
      </c>
      <c r="E1282">
        <v>50</v>
      </c>
      <c r="F1282">
        <v>40.583900452000002</v>
      </c>
      <c r="G1282">
        <v>1380.1174315999999</v>
      </c>
      <c r="H1282">
        <v>1366.6690673999999</v>
      </c>
      <c r="I1282">
        <v>1281.8685303</v>
      </c>
      <c r="J1282">
        <v>1259.4832764</v>
      </c>
      <c r="K1282">
        <v>2400</v>
      </c>
      <c r="L1282">
        <v>0</v>
      </c>
      <c r="M1282">
        <v>0</v>
      </c>
      <c r="N1282">
        <v>2400</v>
      </c>
    </row>
    <row r="1283" spans="1:14" x14ac:dyDescent="0.25">
      <c r="A1283">
        <v>877.71541000000002</v>
      </c>
      <c r="B1283" s="1">
        <f>DATE(2012,9,24) + TIME(17,10,11)</f>
        <v>41176.715405092589</v>
      </c>
      <c r="C1283">
        <v>80</v>
      </c>
      <c r="D1283">
        <v>79.951690674000005</v>
      </c>
      <c r="E1283">
        <v>50</v>
      </c>
      <c r="F1283">
        <v>40.508258820000002</v>
      </c>
      <c r="G1283">
        <v>1380.0538329999999</v>
      </c>
      <c r="H1283">
        <v>1366.6119385</v>
      </c>
      <c r="I1283">
        <v>1281.7623291</v>
      </c>
      <c r="J1283">
        <v>1259.2955322</v>
      </c>
      <c r="K1283">
        <v>2400</v>
      </c>
      <c r="L1283">
        <v>0</v>
      </c>
      <c r="M1283">
        <v>0</v>
      </c>
      <c r="N1283">
        <v>2400</v>
      </c>
    </row>
    <row r="1284" spans="1:14" x14ac:dyDescent="0.25">
      <c r="A1284">
        <v>879.831637</v>
      </c>
      <c r="B1284" s="1">
        <f>DATE(2012,9,26) + TIME(19,57,33)</f>
        <v>41178.831631944442</v>
      </c>
      <c r="C1284">
        <v>80</v>
      </c>
      <c r="D1284">
        <v>79.951744079999997</v>
      </c>
      <c r="E1284">
        <v>50</v>
      </c>
      <c r="F1284">
        <v>40.440242767000001</v>
      </c>
      <c r="G1284">
        <v>1379.9898682</v>
      </c>
      <c r="H1284">
        <v>1366.5545654</v>
      </c>
      <c r="I1284">
        <v>1281.6588135</v>
      </c>
      <c r="J1284">
        <v>1259.1118164</v>
      </c>
      <c r="K1284">
        <v>2400</v>
      </c>
      <c r="L1284">
        <v>0</v>
      </c>
      <c r="M1284">
        <v>0</v>
      </c>
      <c r="N1284">
        <v>2400</v>
      </c>
    </row>
    <row r="1285" spans="1:14" x14ac:dyDescent="0.25">
      <c r="A1285">
        <v>881.96482700000001</v>
      </c>
      <c r="B1285" s="1">
        <f>DATE(2012,9,28) + TIME(23,9,21)</f>
        <v>41180.964826388888</v>
      </c>
      <c r="C1285">
        <v>80</v>
      </c>
      <c r="D1285">
        <v>79.951789856000005</v>
      </c>
      <c r="E1285">
        <v>50</v>
      </c>
      <c r="F1285">
        <v>40.380916595000002</v>
      </c>
      <c r="G1285">
        <v>1379.9259033000001</v>
      </c>
      <c r="H1285">
        <v>1366.4969481999999</v>
      </c>
      <c r="I1285">
        <v>1281.5584716999999</v>
      </c>
      <c r="J1285">
        <v>1258.9331055</v>
      </c>
      <c r="K1285">
        <v>2400</v>
      </c>
      <c r="L1285">
        <v>0</v>
      </c>
      <c r="M1285">
        <v>0</v>
      </c>
      <c r="N1285">
        <v>2400</v>
      </c>
    </row>
    <row r="1286" spans="1:14" x14ac:dyDescent="0.25">
      <c r="A1286">
        <v>884</v>
      </c>
      <c r="B1286" s="1">
        <f>DATE(2012,10,1) + TIME(0,0,0)</f>
        <v>41183</v>
      </c>
      <c r="C1286">
        <v>80</v>
      </c>
      <c r="D1286">
        <v>79.951843261999997</v>
      </c>
      <c r="E1286">
        <v>50</v>
      </c>
      <c r="F1286">
        <v>40.332050322999997</v>
      </c>
      <c r="G1286">
        <v>1379.8618164</v>
      </c>
      <c r="H1286">
        <v>1366.4390868999999</v>
      </c>
      <c r="I1286">
        <v>1281.4620361</v>
      </c>
      <c r="J1286">
        <v>1258.7615966999999</v>
      </c>
      <c r="K1286">
        <v>2400</v>
      </c>
      <c r="L1286">
        <v>0</v>
      </c>
      <c r="M1286">
        <v>0</v>
      </c>
      <c r="N1286">
        <v>2400</v>
      </c>
    </row>
    <row r="1287" spans="1:14" x14ac:dyDescent="0.25">
      <c r="A1287">
        <v>886.15763700000002</v>
      </c>
      <c r="B1287" s="1">
        <f>DATE(2012,10,3) + TIME(3,46,59)</f>
        <v>41185.157627314817</v>
      </c>
      <c r="C1287">
        <v>80</v>
      </c>
      <c r="D1287">
        <v>79.951896667</v>
      </c>
      <c r="E1287">
        <v>50</v>
      </c>
      <c r="F1287">
        <v>40.293819427000003</v>
      </c>
      <c r="G1287">
        <v>1379.8010254000001</v>
      </c>
      <c r="H1287">
        <v>1366.3842772999999</v>
      </c>
      <c r="I1287">
        <v>1281.3728027</v>
      </c>
      <c r="J1287">
        <v>1258.6024170000001</v>
      </c>
      <c r="K1287">
        <v>2400</v>
      </c>
      <c r="L1287">
        <v>0</v>
      </c>
      <c r="M1287">
        <v>0</v>
      </c>
      <c r="N1287">
        <v>2400</v>
      </c>
    </row>
    <row r="1288" spans="1:14" x14ac:dyDescent="0.25">
      <c r="A1288">
        <v>887.26023699999996</v>
      </c>
      <c r="B1288" s="1">
        <f>DATE(2012,10,4) + TIME(6,14,44)</f>
        <v>41186.260231481479</v>
      </c>
      <c r="C1288">
        <v>80</v>
      </c>
      <c r="D1288">
        <v>79.951919556000007</v>
      </c>
      <c r="E1288">
        <v>50</v>
      </c>
      <c r="F1288">
        <v>40.272071838000002</v>
      </c>
      <c r="G1288">
        <v>1379.7370605000001</v>
      </c>
      <c r="H1288">
        <v>1366.3264160000001</v>
      </c>
      <c r="I1288">
        <v>1281.2913818</v>
      </c>
      <c r="J1288">
        <v>1258.4592285000001</v>
      </c>
      <c r="K1288">
        <v>2400</v>
      </c>
      <c r="L1288">
        <v>0</v>
      </c>
      <c r="M1288">
        <v>0</v>
      </c>
      <c r="N1288">
        <v>2400</v>
      </c>
    </row>
    <row r="1289" spans="1:14" x14ac:dyDescent="0.25">
      <c r="A1289">
        <v>888.36283800000001</v>
      </c>
      <c r="B1289" s="1">
        <f>DATE(2012,10,5) + TIME(8,42,29)</f>
        <v>41187.362835648149</v>
      </c>
      <c r="C1289">
        <v>80</v>
      </c>
      <c r="D1289">
        <v>79.951942443999997</v>
      </c>
      <c r="E1289">
        <v>50</v>
      </c>
      <c r="F1289">
        <v>40.259418488000001</v>
      </c>
      <c r="G1289">
        <v>1379.7041016000001</v>
      </c>
      <c r="H1289">
        <v>1366.2966309000001</v>
      </c>
      <c r="I1289">
        <v>1281.2429199000001</v>
      </c>
      <c r="J1289">
        <v>1258.3720702999999</v>
      </c>
      <c r="K1289">
        <v>2400</v>
      </c>
      <c r="L1289">
        <v>0</v>
      </c>
      <c r="M1289">
        <v>0</v>
      </c>
      <c r="N1289">
        <v>2400</v>
      </c>
    </row>
    <row r="1290" spans="1:14" x14ac:dyDescent="0.25">
      <c r="A1290">
        <v>889.46543799999995</v>
      </c>
      <c r="B1290" s="1">
        <f>DATE(2012,10,6) + TIME(11,10,13)</f>
        <v>41188.465428240743</v>
      </c>
      <c r="C1290">
        <v>80</v>
      </c>
      <c r="D1290">
        <v>79.951965332</v>
      </c>
      <c r="E1290">
        <v>50</v>
      </c>
      <c r="F1290">
        <v>40.252616881999998</v>
      </c>
      <c r="G1290">
        <v>1379.6717529</v>
      </c>
      <c r="H1290">
        <v>1366.2672118999999</v>
      </c>
      <c r="I1290">
        <v>1281.1989745999999</v>
      </c>
      <c r="J1290">
        <v>1258.2935791</v>
      </c>
      <c r="K1290">
        <v>2400</v>
      </c>
      <c r="L1290">
        <v>0</v>
      </c>
      <c r="M1290">
        <v>0</v>
      </c>
      <c r="N1290">
        <v>2400</v>
      </c>
    </row>
    <row r="1291" spans="1:14" x14ac:dyDescent="0.25">
      <c r="A1291">
        <v>890.568038</v>
      </c>
      <c r="B1291" s="1">
        <f>DATE(2012,10,7) + TIME(13,37,58)</f>
        <v>41189.568032407406</v>
      </c>
      <c r="C1291">
        <v>80</v>
      </c>
      <c r="D1291">
        <v>79.951995850000003</v>
      </c>
      <c r="E1291">
        <v>50</v>
      </c>
      <c r="F1291">
        <v>40.250297545999999</v>
      </c>
      <c r="G1291">
        <v>1379.6394043</v>
      </c>
      <c r="H1291">
        <v>1366.2379149999999</v>
      </c>
      <c r="I1291">
        <v>1281.1577147999999</v>
      </c>
      <c r="J1291">
        <v>1258.2204589999999</v>
      </c>
      <c r="K1291">
        <v>2400</v>
      </c>
      <c r="L1291">
        <v>0</v>
      </c>
      <c r="M1291">
        <v>0</v>
      </c>
      <c r="N1291">
        <v>2400</v>
      </c>
    </row>
    <row r="1292" spans="1:14" x14ac:dyDescent="0.25">
      <c r="A1292">
        <v>891.67063900000005</v>
      </c>
      <c r="B1292" s="1">
        <f>DATE(2012,10,8) + TIME(16,5,43)</f>
        <v>41190.670636574076</v>
      </c>
      <c r="C1292">
        <v>80</v>
      </c>
      <c r="D1292">
        <v>79.952026367000002</v>
      </c>
      <c r="E1292">
        <v>50</v>
      </c>
      <c r="F1292">
        <v>40.251899719000001</v>
      </c>
      <c r="G1292">
        <v>1379.6072998</v>
      </c>
      <c r="H1292">
        <v>1366.2087402</v>
      </c>
      <c r="I1292">
        <v>1281.1184082</v>
      </c>
      <c r="J1292">
        <v>1258.151001</v>
      </c>
      <c r="K1292">
        <v>2400</v>
      </c>
      <c r="L1292">
        <v>0</v>
      </c>
      <c r="M1292">
        <v>0</v>
      </c>
      <c r="N1292">
        <v>2400</v>
      </c>
    </row>
    <row r="1293" spans="1:14" x14ac:dyDescent="0.25">
      <c r="A1293">
        <v>892.77323899999999</v>
      </c>
      <c r="B1293" s="1">
        <f>DATE(2012,10,9) + TIME(18,33,27)</f>
        <v>41191.773229166669</v>
      </c>
      <c r="C1293">
        <v>80</v>
      </c>
      <c r="D1293">
        <v>79.952049255000006</v>
      </c>
      <c r="E1293">
        <v>50</v>
      </c>
      <c r="F1293">
        <v>40.257198334000002</v>
      </c>
      <c r="G1293">
        <v>1379.5751952999999</v>
      </c>
      <c r="H1293">
        <v>1366.1795654</v>
      </c>
      <c r="I1293">
        <v>1281.0806885</v>
      </c>
      <c r="J1293">
        <v>1258.0847168</v>
      </c>
      <c r="K1293">
        <v>2400</v>
      </c>
      <c r="L1293">
        <v>0</v>
      </c>
      <c r="M1293">
        <v>0</v>
      </c>
      <c r="N1293">
        <v>2400</v>
      </c>
    </row>
    <row r="1294" spans="1:14" x14ac:dyDescent="0.25">
      <c r="A1294">
        <v>893.87583900000004</v>
      </c>
      <c r="B1294" s="1">
        <f>DATE(2012,10,10) + TIME(21,1,12)</f>
        <v>41192.875833333332</v>
      </c>
      <c r="C1294">
        <v>80</v>
      </c>
      <c r="D1294">
        <v>79.952079772999994</v>
      </c>
      <c r="E1294">
        <v>50</v>
      </c>
      <c r="F1294">
        <v>40.266113281000003</v>
      </c>
      <c r="G1294">
        <v>1379.5433350000001</v>
      </c>
      <c r="H1294">
        <v>1366.1506348</v>
      </c>
      <c r="I1294">
        <v>1281.0443115</v>
      </c>
      <c r="J1294">
        <v>1258.0212402</v>
      </c>
      <c r="K1294">
        <v>2400</v>
      </c>
      <c r="L1294">
        <v>0</v>
      </c>
      <c r="M1294">
        <v>0</v>
      </c>
      <c r="N1294">
        <v>2400</v>
      </c>
    </row>
    <row r="1295" spans="1:14" x14ac:dyDescent="0.25">
      <c r="A1295">
        <v>896.08104000000003</v>
      </c>
      <c r="B1295" s="1">
        <f>DATE(2012,10,13) + TIME(1,56,41)</f>
        <v>41195.081030092595</v>
      </c>
      <c r="C1295">
        <v>80</v>
      </c>
      <c r="D1295">
        <v>79.952140807999996</v>
      </c>
      <c r="E1295">
        <v>50</v>
      </c>
      <c r="F1295">
        <v>40.282016753999997</v>
      </c>
      <c r="G1295">
        <v>1379.5115966999999</v>
      </c>
      <c r="H1295">
        <v>1366.1218262</v>
      </c>
      <c r="I1295">
        <v>1281.0041504000001</v>
      </c>
      <c r="J1295">
        <v>1257.9532471</v>
      </c>
      <c r="K1295">
        <v>2400</v>
      </c>
      <c r="L1295">
        <v>0</v>
      </c>
      <c r="M1295">
        <v>0</v>
      </c>
      <c r="N1295">
        <v>2400</v>
      </c>
    </row>
    <row r="1296" spans="1:14" x14ac:dyDescent="0.25">
      <c r="A1296">
        <v>898.29312400000003</v>
      </c>
      <c r="B1296" s="1">
        <f>DATE(2012,10,15) + TIME(7,2,5)</f>
        <v>41197.293113425927</v>
      </c>
      <c r="C1296">
        <v>80</v>
      </c>
      <c r="D1296">
        <v>79.952201842999997</v>
      </c>
      <c r="E1296">
        <v>50</v>
      </c>
      <c r="F1296">
        <v>40.313987732000001</v>
      </c>
      <c r="G1296">
        <v>1379.4486084</v>
      </c>
      <c r="H1296">
        <v>1366.0645752</v>
      </c>
      <c r="I1296">
        <v>1280.9422606999999</v>
      </c>
      <c r="J1296">
        <v>1257.8454589999999</v>
      </c>
      <c r="K1296">
        <v>2400</v>
      </c>
      <c r="L1296">
        <v>0</v>
      </c>
      <c r="M1296">
        <v>0</v>
      </c>
      <c r="N1296">
        <v>2400</v>
      </c>
    </row>
    <row r="1297" spans="1:14" x14ac:dyDescent="0.25">
      <c r="A1297">
        <v>900.54543799999999</v>
      </c>
      <c r="B1297" s="1">
        <f>DATE(2012,10,17) + TIME(13,5,25)</f>
        <v>41199.545428240737</v>
      </c>
      <c r="C1297">
        <v>80</v>
      </c>
      <c r="D1297">
        <v>79.952255249000004</v>
      </c>
      <c r="E1297">
        <v>50</v>
      </c>
      <c r="F1297">
        <v>40.361293793000002</v>
      </c>
      <c r="G1297">
        <v>1379.3856201000001</v>
      </c>
      <c r="H1297">
        <v>1366.0072021000001</v>
      </c>
      <c r="I1297">
        <v>1280.8813477000001</v>
      </c>
      <c r="J1297">
        <v>1257.7420654</v>
      </c>
      <c r="K1297">
        <v>2400</v>
      </c>
      <c r="L1297">
        <v>0</v>
      </c>
      <c r="M1297">
        <v>0</v>
      </c>
      <c r="N1297">
        <v>2400</v>
      </c>
    </row>
    <row r="1298" spans="1:14" x14ac:dyDescent="0.25">
      <c r="A1298">
        <v>902.84564899999998</v>
      </c>
      <c r="B1298" s="1">
        <f>DATE(2012,10,19) + TIME(20,17,44)</f>
        <v>41201.845648148148</v>
      </c>
      <c r="C1298">
        <v>80</v>
      </c>
      <c r="D1298">
        <v>79.952316284000005</v>
      </c>
      <c r="E1298">
        <v>50</v>
      </c>
      <c r="F1298">
        <v>40.424400329999997</v>
      </c>
      <c r="G1298">
        <v>1379.3220214999999</v>
      </c>
      <c r="H1298">
        <v>1365.9493408000001</v>
      </c>
      <c r="I1298">
        <v>1280.8237305</v>
      </c>
      <c r="J1298">
        <v>1257.6462402</v>
      </c>
      <c r="K1298">
        <v>2400</v>
      </c>
      <c r="L1298">
        <v>0</v>
      </c>
      <c r="M1298">
        <v>0</v>
      </c>
      <c r="N1298">
        <v>2400</v>
      </c>
    </row>
    <row r="1299" spans="1:14" x14ac:dyDescent="0.25">
      <c r="A1299">
        <v>905.20212200000003</v>
      </c>
      <c r="B1299" s="1">
        <f>DATE(2012,10,22) + TIME(4,51,3)</f>
        <v>41204.202118055553</v>
      </c>
      <c r="C1299">
        <v>80</v>
      </c>
      <c r="D1299">
        <v>79.952377318999993</v>
      </c>
      <c r="E1299">
        <v>50</v>
      </c>
      <c r="F1299">
        <v>40.504077911000003</v>
      </c>
      <c r="G1299">
        <v>1379.2576904</v>
      </c>
      <c r="H1299">
        <v>1365.890625</v>
      </c>
      <c r="I1299">
        <v>1280.7700195</v>
      </c>
      <c r="J1299">
        <v>1257.5593262</v>
      </c>
      <c r="K1299">
        <v>2400</v>
      </c>
      <c r="L1299">
        <v>0</v>
      </c>
      <c r="M1299">
        <v>0</v>
      </c>
      <c r="N1299">
        <v>2400</v>
      </c>
    </row>
    <row r="1300" spans="1:14" x14ac:dyDescent="0.25">
      <c r="A1300">
        <v>907.57137499999999</v>
      </c>
      <c r="B1300" s="1">
        <f>DATE(2012,10,24) + TIME(13,42,46)</f>
        <v>41206.57136574074</v>
      </c>
      <c r="C1300">
        <v>80</v>
      </c>
      <c r="D1300">
        <v>79.952430724999999</v>
      </c>
      <c r="E1300">
        <v>50</v>
      </c>
      <c r="F1300">
        <v>40.600673676</v>
      </c>
      <c r="G1300">
        <v>1379.1923827999999</v>
      </c>
      <c r="H1300">
        <v>1365.8309326000001</v>
      </c>
      <c r="I1300">
        <v>1280.7209473</v>
      </c>
      <c r="J1300">
        <v>1257.4824219</v>
      </c>
      <c r="K1300">
        <v>2400</v>
      </c>
      <c r="L1300">
        <v>0</v>
      </c>
      <c r="M1300">
        <v>0</v>
      </c>
      <c r="N1300">
        <v>2400</v>
      </c>
    </row>
    <row r="1301" spans="1:14" x14ac:dyDescent="0.25">
      <c r="A1301">
        <v>909.94688699999995</v>
      </c>
      <c r="B1301" s="1">
        <f>DATE(2012,10,26) + TIME(22,43,31)</f>
        <v>41208.946886574071</v>
      </c>
      <c r="C1301">
        <v>80</v>
      </c>
      <c r="D1301">
        <v>79.952491760000001</v>
      </c>
      <c r="E1301">
        <v>50</v>
      </c>
      <c r="F1301">
        <v>40.713260650999999</v>
      </c>
      <c r="G1301">
        <v>1379.1273193</v>
      </c>
      <c r="H1301">
        <v>1365.7716064000001</v>
      </c>
      <c r="I1301">
        <v>1280.6768798999999</v>
      </c>
      <c r="J1301">
        <v>1257.4167480000001</v>
      </c>
      <c r="K1301">
        <v>2400</v>
      </c>
      <c r="L1301">
        <v>0</v>
      </c>
      <c r="M1301">
        <v>0</v>
      </c>
      <c r="N1301">
        <v>2400</v>
      </c>
    </row>
    <row r="1302" spans="1:14" x14ac:dyDescent="0.25">
      <c r="A1302">
        <v>912.35160099999996</v>
      </c>
      <c r="B1302" s="1">
        <f>DATE(2012,10,29) + TIME(8,26,18)</f>
        <v>41211.351597222223</v>
      </c>
      <c r="C1302">
        <v>80</v>
      </c>
      <c r="D1302">
        <v>79.952552795000003</v>
      </c>
      <c r="E1302">
        <v>50</v>
      </c>
      <c r="F1302">
        <v>40.841094970999997</v>
      </c>
      <c r="G1302">
        <v>1379.0628661999999</v>
      </c>
      <c r="H1302">
        <v>1365.7125243999999</v>
      </c>
      <c r="I1302">
        <v>1280.6379394999999</v>
      </c>
      <c r="J1302">
        <v>1257.3624268000001</v>
      </c>
      <c r="K1302">
        <v>2400</v>
      </c>
      <c r="L1302">
        <v>0</v>
      </c>
      <c r="M1302">
        <v>0</v>
      </c>
      <c r="N1302">
        <v>2400</v>
      </c>
    </row>
    <row r="1303" spans="1:14" x14ac:dyDescent="0.25">
      <c r="A1303">
        <v>914.79834000000005</v>
      </c>
      <c r="B1303" s="1">
        <f>DATE(2012,10,31) + TIME(19,9,36)</f>
        <v>41213.798333333332</v>
      </c>
      <c r="C1303">
        <v>80</v>
      </c>
      <c r="D1303">
        <v>79.952613830999994</v>
      </c>
      <c r="E1303">
        <v>50</v>
      </c>
      <c r="F1303">
        <v>40.984310149999999</v>
      </c>
      <c r="G1303">
        <v>1378.9982910000001</v>
      </c>
      <c r="H1303">
        <v>1365.6534423999999</v>
      </c>
      <c r="I1303">
        <v>1280.6038818</v>
      </c>
      <c r="J1303">
        <v>1257.3188477000001</v>
      </c>
      <c r="K1303">
        <v>2400</v>
      </c>
      <c r="L1303">
        <v>0</v>
      </c>
      <c r="M1303">
        <v>0</v>
      </c>
      <c r="N1303">
        <v>2400</v>
      </c>
    </row>
    <row r="1304" spans="1:14" x14ac:dyDescent="0.25">
      <c r="A1304">
        <v>915</v>
      </c>
      <c r="B1304" s="1">
        <f>DATE(2012,11,1) + TIME(0,0,0)</f>
        <v>41214</v>
      </c>
      <c r="C1304">
        <v>80</v>
      </c>
      <c r="D1304">
        <v>79.952606200999995</v>
      </c>
      <c r="E1304">
        <v>50</v>
      </c>
      <c r="F1304">
        <v>41.026298523000001</v>
      </c>
      <c r="G1304">
        <v>1378.9373779</v>
      </c>
      <c r="H1304">
        <v>1365.5979004000001</v>
      </c>
      <c r="I1304">
        <v>1280.6114502</v>
      </c>
      <c r="J1304">
        <v>1257.2971190999999</v>
      </c>
      <c r="K1304">
        <v>2400</v>
      </c>
      <c r="L1304">
        <v>0</v>
      </c>
      <c r="M1304">
        <v>0</v>
      </c>
      <c r="N1304">
        <v>2400</v>
      </c>
    </row>
    <row r="1305" spans="1:14" x14ac:dyDescent="0.25">
      <c r="A1305">
        <v>915.000001</v>
      </c>
      <c r="B1305" s="1">
        <f>DATE(2012,11,1) + TIME(0,0,0)</f>
        <v>41214</v>
      </c>
      <c r="C1305">
        <v>80</v>
      </c>
      <c r="D1305">
        <v>79.952484131000006</v>
      </c>
      <c r="E1305">
        <v>50</v>
      </c>
      <c r="F1305">
        <v>41.026416779000002</v>
      </c>
      <c r="G1305">
        <v>1364.7260742000001</v>
      </c>
      <c r="H1305">
        <v>1352.7513428</v>
      </c>
      <c r="I1305">
        <v>1304.7419434000001</v>
      </c>
      <c r="J1305">
        <v>1281.5238036999999</v>
      </c>
      <c r="K1305">
        <v>0</v>
      </c>
      <c r="L1305">
        <v>2400</v>
      </c>
      <c r="M1305">
        <v>2400</v>
      </c>
      <c r="N1305">
        <v>0</v>
      </c>
    </row>
    <row r="1306" spans="1:14" x14ac:dyDescent="0.25">
      <c r="A1306">
        <v>915.00000399999999</v>
      </c>
      <c r="B1306" s="1">
        <f>DATE(2012,11,1) + TIME(0,0,0)</f>
        <v>41214</v>
      </c>
      <c r="C1306">
        <v>80</v>
      </c>
      <c r="D1306">
        <v>79.952171325999998</v>
      </c>
      <c r="E1306">
        <v>50</v>
      </c>
      <c r="F1306">
        <v>41.026748656999999</v>
      </c>
      <c r="G1306">
        <v>1362.5235596</v>
      </c>
      <c r="H1306">
        <v>1350.5482178</v>
      </c>
      <c r="I1306">
        <v>1307.1433105000001</v>
      </c>
      <c r="J1306">
        <v>1283.9962158000001</v>
      </c>
      <c r="K1306">
        <v>0</v>
      </c>
      <c r="L1306">
        <v>2400</v>
      </c>
      <c r="M1306">
        <v>2400</v>
      </c>
      <c r="N1306">
        <v>0</v>
      </c>
    </row>
    <row r="1307" spans="1:14" x14ac:dyDescent="0.25">
      <c r="A1307">
        <v>915.00001299999997</v>
      </c>
      <c r="B1307" s="1">
        <f>DATE(2012,11,1) + TIME(0,0,1)</f>
        <v>41214.000011574077</v>
      </c>
      <c r="C1307">
        <v>80</v>
      </c>
      <c r="D1307">
        <v>79.951538085999999</v>
      </c>
      <c r="E1307">
        <v>50</v>
      </c>
      <c r="F1307">
        <v>41.027542113999999</v>
      </c>
      <c r="G1307">
        <v>1358.0773925999999</v>
      </c>
      <c r="H1307">
        <v>1346.1014404</v>
      </c>
      <c r="I1307">
        <v>1312.7575684000001</v>
      </c>
      <c r="J1307">
        <v>1289.7346190999999</v>
      </c>
      <c r="K1307">
        <v>0</v>
      </c>
      <c r="L1307">
        <v>2400</v>
      </c>
      <c r="M1307">
        <v>2400</v>
      </c>
      <c r="N1307">
        <v>0</v>
      </c>
    </row>
    <row r="1308" spans="1:14" x14ac:dyDescent="0.25">
      <c r="A1308">
        <v>915.00004000000001</v>
      </c>
      <c r="B1308" s="1">
        <f>DATE(2012,11,1) + TIME(0,0,3)</f>
        <v>41214.000034722223</v>
      </c>
      <c r="C1308">
        <v>80</v>
      </c>
      <c r="D1308">
        <v>79.950614928999997</v>
      </c>
      <c r="E1308">
        <v>50</v>
      </c>
      <c r="F1308">
        <v>41.029048920000001</v>
      </c>
      <c r="G1308">
        <v>1351.5814209</v>
      </c>
      <c r="H1308">
        <v>1339.6076660000001</v>
      </c>
      <c r="I1308">
        <v>1322.7092285000001</v>
      </c>
      <c r="J1308">
        <v>1299.7790527</v>
      </c>
      <c r="K1308">
        <v>0</v>
      </c>
      <c r="L1308">
        <v>2400</v>
      </c>
      <c r="M1308">
        <v>2400</v>
      </c>
      <c r="N1308">
        <v>0</v>
      </c>
    </row>
    <row r="1309" spans="1:14" x14ac:dyDescent="0.25">
      <c r="A1309">
        <v>915.00012100000004</v>
      </c>
      <c r="B1309" s="1">
        <f>DATE(2012,11,1) + TIME(0,0,10)</f>
        <v>41214.000115740739</v>
      </c>
      <c r="C1309">
        <v>80</v>
      </c>
      <c r="D1309">
        <v>79.949569702000005</v>
      </c>
      <c r="E1309">
        <v>50</v>
      </c>
      <c r="F1309">
        <v>41.031475067000002</v>
      </c>
      <c r="G1309">
        <v>1344.3519286999999</v>
      </c>
      <c r="H1309">
        <v>1332.3837891000001</v>
      </c>
      <c r="I1309">
        <v>1335.5178223</v>
      </c>
      <c r="J1309">
        <v>1312.5994873</v>
      </c>
      <c r="K1309">
        <v>0</v>
      </c>
      <c r="L1309">
        <v>2400</v>
      </c>
      <c r="M1309">
        <v>2400</v>
      </c>
      <c r="N1309">
        <v>0</v>
      </c>
    </row>
    <row r="1310" spans="1:14" x14ac:dyDescent="0.25">
      <c r="A1310">
        <v>915.00036399999999</v>
      </c>
      <c r="B1310" s="1">
        <f>DATE(2012,11,1) + TIME(0,0,31)</f>
        <v>41214.000358796293</v>
      </c>
      <c r="C1310">
        <v>80</v>
      </c>
      <c r="D1310">
        <v>79.948486328000001</v>
      </c>
      <c r="E1310">
        <v>50</v>
      </c>
      <c r="F1310">
        <v>41.035747528000002</v>
      </c>
      <c r="G1310">
        <v>1337.0832519999999</v>
      </c>
      <c r="H1310">
        <v>1325.1220702999999</v>
      </c>
      <c r="I1310">
        <v>1349.0714111</v>
      </c>
      <c r="J1310">
        <v>1326.1507568</v>
      </c>
      <c r="K1310">
        <v>0</v>
      </c>
      <c r="L1310">
        <v>2400</v>
      </c>
      <c r="M1310">
        <v>2400</v>
      </c>
      <c r="N1310">
        <v>0</v>
      </c>
    </row>
    <row r="1311" spans="1:14" x14ac:dyDescent="0.25">
      <c r="A1311">
        <v>915.00109299999997</v>
      </c>
      <c r="B1311" s="1">
        <f>DATE(2012,11,1) + TIME(0,1,34)</f>
        <v>41214.001087962963</v>
      </c>
      <c r="C1311">
        <v>80</v>
      </c>
      <c r="D1311">
        <v>79.947288513000004</v>
      </c>
      <c r="E1311">
        <v>50</v>
      </c>
      <c r="F1311">
        <v>41.045330047999997</v>
      </c>
      <c r="G1311">
        <v>1329.7607422000001</v>
      </c>
      <c r="H1311">
        <v>1317.7791748</v>
      </c>
      <c r="I1311">
        <v>1362.8723144999999</v>
      </c>
      <c r="J1311">
        <v>1339.9407959</v>
      </c>
      <c r="K1311">
        <v>0</v>
      </c>
      <c r="L1311">
        <v>2400</v>
      </c>
      <c r="M1311">
        <v>2400</v>
      </c>
      <c r="N1311">
        <v>0</v>
      </c>
    </row>
    <row r="1312" spans="1:14" x14ac:dyDescent="0.25">
      <c r="A1312">
        <v>915.00328000000002</v>
      </c>
      <c r="B1312" s="1">
        <f>DATE(2012,11,1) + TIME(0,4,43)</f>
        <v>41214.003275462965</v>
      </c>
      <c r="C1312">
        <v>80</v>
      </c>
      <c r="D1312">
        <v>79.945709229000002</v>
      </c>
      <c r="E1312">
        <v>50</v>
      </c>
      <c r="F1312">
        <v>41.070774077999999</v>
      </c>
      <c r="G1312">
        <v>1322.0887451000001</v>
      </c>
      <c r="H1312">
        <v>1309.9960937999999</v>
      </c>
      <c r="I1312">
        <v>1376.9320068</v>
      </c>
      <c r="J1312">
        <v>1353.9309082</v>
      </c>
      <c r="K1312">
        <v>0</v>
      </c>
      <c r="L1312">
        <v>2400</v>
      </c>
      <c r="M1312">
        <v>2400</v>
      </c>
      <c r="N1312">
        <v>0</v>
      </c>
    </row>
    <row r="1313" spans="1:14" x14ac:dyDescent="0.25">
      <c r="A1313">
        <v>915.00984100000005</v>
      </c>
      <c r="B1313" s="1">
        <f>DATE(2012,11,1) + TIME(0,14,10)</f>
        <v>41214.009837962964</v>
      </c>
      <c r="C1313">
        <v>80</v>
      </c>
      <c r="D1313">
        <v>79.943122864000003</v>
      </c>
      <c r="E1313">
        <v>50</v>
      </c>
      <c r="F1313">
        <v>41.143512725999997</v>
      </c>
      <c r="G1313">
        <v>1314.1457519999999</v>
      </c>
      <c r="H1313">
        <v>1301.9082031</v>
      </c>
      <c r="I1313">
        <v>1390.1138916</v>
      </c>
      <c r="J1313">
        <v>1366.9891356999999</v>
      </c>
      <c r="K1313">
        <v>0</v>
      </c>
      <c r="L1313">
        <v>2400</v>
      </c>
      <c r="M1313">
        <v>2400</v>
      </c>
      <c r="N1313">
        <v>0</v>
      </c>
    </row>
    <row r="1314" spans="1:14" x14ac:dyDescent="0.25">
      <c r="A1314">
        <v>915.02952400000004</v>
      </c>
      <c r="B1314" s="1">
        <f>DATE(2012,11,1) + TIME(0,42,30)</f>
        <v>41214.029513888891</v>
      </c>
      <c r="C1314">
        <v>80</v>
      </c>
      <c r="D1314">
        <v>79.937828064000001</v>
      </c>
      <c r="E1314">
        <v>50</v>
      </c>
      <c r="F1314">
        <v>41.354347228999998</v>
      </c>
      <c r="G1314">
        <v>1307.4488524999999</v>
      </c>
      <c r="H1314">
        <v>1295.135376</v>
      </c>
      <c r="I1314">
        <v>1399.5721435999999</v>
      </c>
      <c r="J1314">
        <v>1376.3927002</v>
      </c>
      <c r="K1314">
        <v>0</v>
      </c>
      <c r="L1314">
        <v>2400</v>
      </c>
      <c r="M1314">
        <v>2400</v>
      </c>
      <c r="N1314">
        <v>0</v>
      </c>
    </row>
    <row r="1315" spans="1:14" x14ac:dyDescent="0.25">
      <c r="A1315">
        <v>915.08094700000004</v>
      </c>
      <c r="B1315" s="1">
        <f>DATE(2012,11,1) + TIME(1,56,33)</f>
        <v>41214.080937500003</v>
      </c>
      <c r="C1315">
        <v>80</v>
      </c>
      <c r="D1315">
        <v>79.926460266000007</v>
      </c>
      <c r="E1315">
        <v>50</v>
      </c>
      <c r="F1315">
        <v>41.871349334999998</v>
      </c>
      <c r="G1315">
        <v>1304.0219727000001</v>
      </c>
      <c r="H1315">
        <v>1291.6859131000001</v>
      </c>
      <c r="I1315">
        <v>1403.2086182</v>
      </c>
      <c r="J1315">
        <v>1380.1795654</v>
      </c>
      <c r="K1315">
        <v>0</v>
      </c>
      <c r="L1315">
        <v>2400</v>
      </c>
      <c r="M1315">
        <v>2400</v>
      </c>
      <c r="N1315">
        <v>0</v>
      </c>
    </row>
    <row r="1316" spans="1:14" x14ac:dyDescent="0.25">
      <c r="A1316">
        <v>915.13495999999998</v>
      </c>
      <c r="B1316" s="1">
        <f>DATE(2012,11,1) + TIME(3,14,20)</f>
        <v>41214.134953703702</v>
      </c>
      <c r="C1316">
        <v>80</v>
      </c>
      <c r="D1316">
        <v>79.915107727000006</v>
      </c>
      <c r="E1316">
        <v>50</v>
      </c>
      <c r="F1316">
        <v>42.380599975999999</v>
      </c>
      <c r="G1316">
        <v>1303.1906738</v>
      </c>
      <c r="H1316">
        <v>1290.8502197</v>
      </c>
      <c r="I1316">
        <v>1403.5898437999999</v>
      </c>
      <c r="J1316">
        <v>1380.7468262</v>
      </c>
      <c r="K1316">
        <v>0</v>
      </c>
      <c r="L1316">
        <v>2400</v>
      </c>
      <c r="M1316">
        <v>2400</v>
      </c>
      <c r="N1316">
        <v>0</v>
      </c>
    </row>
    <row r="1317" spans="1:14" x14ac:dyDescent="0.25">
      <c r="A1317">
        <v>915.19154900000001</v>
      </c>
      <c r="B1317" s="1">
        <f>DATE(2012,11,1) + TIME(4,35,49)</f>
        <v>41214.19153935185</v>
      </c>
      <c r="C1317">
        <v>80</v>
      </c>
      <c r="D1317">
        <v>79.903533936000002</v>
      </c>
      <c r="E1317">
        <v>50</v>
      </c>
      <c r="F1317">
        <v>42.879493713000002</v>
      </c>
      <c r="G1317">
        <v>1302.9678954999999</v>
      </c>
      <c r="H1317">
        <v>1290.6260986</v>
      </c>
      <c r="I1317">
        <v>1403.3725586</v>
      </c>
      <c r="J1317">
        <v>1380.71875</v>
      </c>
      <c r="K1317">
        <v>0</v>
      </c>
      <c r="L1317">
        <v>2400</v>
      </c>
      <c r="M1317">
        <v>2400</v>
      </c>
      <c r="N1317">
        <v>0</v>
      </c>
    </row>
    <row r="1318" spans="1:14" x14ac:dyDescent="0.25">
      <c r="A1318">
        <v>915.250944</v>
      </c>
      <c r="B1318" s="1">
        <f>DATE(2012,11,1) + TIME(6,1,21)</f>
        <v>41214.250937500001</v>
      </c>
      <c r="C1318">
        <v>80</v>
      </c>
      <c r="D1318">
        <v>79.891639709000003</v>
      </c>
      <c r="E1318">
        <v>50</v>
      </c>
      <c r="F1318">
        <v>43.367492675999998</v>
      </c>
      <c r="G1318">
        <v>1302.9018555</v>
      </c>
      <c r="H1318">
        <v>1290.5592041</v>
      </c>
      <c r="I1318">
        <v>1403.0609131000001</v>
      </c>
      <c r="J1318">
        <v>1380.5913086</v>
      </c>
      <c r="K1318">
        <v>0</v>
      </c>
      <c r="L1318">
        <v>2400</v>
      </c>
      <c r="M1318">
        <v>2400</v>
      </c>
      <c r="N1318">
        <v>0</v>
      </c>
    </row>
    <row r="1319" spans="1:14" x14ac:dyDescent="0.25">
      <c r="A1319">
        <v>915.31346399999995</v>
      </c>
      <c r="B1319" s="1">
        <f>DATE(2012,11,1) + TIME(7,31,23)</f>
        <v>41214.313460648147</v>
      </c>
      <c r="C1319">
        <v>80</v>
      </c>
      <c r="D1319">
        <v>79.879371642999999</v>
      </c>
      <c r="E1319">
        <v>50</v>
      </c>
      <c r="F1319">
        <v>43.844436645999998</v>
      </c>
      <c r="G1319">
        <v>1302.8792725000001</v>
      </c>
      <c r="H1319">
        <v>1290.5361327999999</v>
      </c>
      <c r="I1319">
        <v>1402.7470702999999</v>
      </c>
      <c r="J1319">
        <v>1380.4555664</v>
      </c>
      <c r="K1319">
        <v>0</v>
      </c>
      <c r="L1319">
        <v>2400</v>
      </c>
      <c r="M1319">
        <v>2400</v>
      </c>
      <c r="N1319">
        <v>0</v>
      </c>
    </row>
    <row r="1320" spans="1:14" x14ac:dyDescent="0.25">
      <c r="A1320">
        <v>915.37949000000003</v>
      </c>
      <c r="B1320" s="1">
        <f>DATE(2012,11,1) + TIME(9,6,27)</f>
        <v>41214.379479166666</v>
      </c>
      <c r="C1320">
        <v>80</v>
      </c>
      <c r="D1320">
        <v>79.866683960000003</v>
      </c>
      <c r="E1320">
        <v>50</v>
      </c>
      <c r="F1320">
        <v>44.310195923000002</v>
      </c>
      <c r="G1320">
        <v>1302.8699951000001</v>
      </c>
      <c r="H1320">
        <v>1290.5262451000001</v>
      </c>
      <c r="I1320">
        <v>1402.4442139</v>
      </c>
      <c r="J1320">
        <v>1380.3242187999999</v>
      </c>
      <c r="K1320">
        <v>0</v>
      </c>
      <c r="L1320">
        <v>2400</v>
      </c>
      <c r="M1320">
        <v>2400</v>
      </c>
      <c r="N1320">
        <v>0</v>
      </c>
    </row>
    <row r="1321" spans="1:14" x14ac:dyDescent="0.25">
      <c r="A1321">
        <v>915.44948299999999</v>
      </c>
      <c r="B1321" s="1">
        <f>DATE(2012,11,1) + TIME(10,47,15)</f>
        <v>41214.449479166666</v>
      </c>
      <c r="C1321">
        <v>80</v>
      </c>
      <c r="D1321">
        <v>79.853507996000005</v>
      </c>
      <c r="E1321">
        <v>50</v>
      </c>
      <c r="F1321">
        <v>44.764610290999997</v>
      </c>
      <c r="G1321">
        <v>1302.8648682</v>
      </c>
      <c r="H1321">
        <v>1290.5205077999999</v>
      </c>
      <c r="I1321">
        <v>1402.1520995999999</v>
      </c>
      <c r="J1321">
        <v>1380.1972656</v>
      </c>
      <c r="K1321">
        <v>0</v>
      </c>
      <c r="L1321">
        <v>2400</v>
      </c>
      <c r="M1321">
        <v>2400</v>
      </c>
      <c r="N1321">
        <v>0</v>
      </c>
    </row>
    <row r="1322" spans="1:14" x14ac:dyDescent="0.25">
      <c r="A1322">
        <v>915.52399200000002</v>
      </c>
      <c r="B1322" s="1">
        <f>DATE(2012,11,1) + TIME(12,34,32)</f>
        <v>41214.523981481485</v>
      </c>
      <c r="C1322">
        <v>80</v>
      </c>
      <c r="D1322">
        <v>79.839782714999998</v>
      </c>
      <c r="E1322">
        <v>50</v>
      </c>
      <c r="F1322">
        <v>45.207473755000002</v>
      </c>
      <c r="G1322">
        <v>1302.8609618999999</v>
      </c>
      <c r="H1322">
        <v>1290.5159911999999</v>
      </c>
      <c r="I1322">
        <v>1401.8693848</v>
      </c>
      <c r="J1322">
        <v>1380.0734863</v>
      </c>
      <c r="K1322">
        <v>0</v>
      </c>
      <c r="L1322">
        <v>2400</v>
      </c>
      <c r="M1322">
        <v>2400</v>
      </c>
      <c r="N1322">
        <v>0</v>
      </c>
    </row>
    <row r="1323" spans="1:14" x14ac:dyDescent="0.25">
      <c r="A1323">
        <v>915.60368300000005</v>
      </c>
      <c r="B1323" s="1">
        <f>DATE(2012,11,1) + TIME(14,29,18)</f>
        <v>41214.603680555556</v>
      </c>
      <c r="C1323">
        <v>80</v>
      </c>
      <c r="D1323">
        <v>79.825408936000002</v>
      </c>
      <c r="E1323">
        <v>50</v>
      </c>
      <c r="F1323">
        <v>45.638515472000002</v>
      </c>
      <c r="G1323">
        <v>1302.8574219</v>
      </c>
      <c r="H1323">
        <v>1290.5118408000001</v>
      </c>
      <c r="I1323">
        <v>1401.5949707</v>
      </c>
      <c r="J1323">
        <v>1379.9521483999999</v>
      </c>
      <c r="K1323">
        <v>0</v>
      </c>
      <c r="L1323">
        <v>2400</v>
      </c>
      <c r="M1323">
        <v>2400</v>
      </c>
      <c r="N1323">
        <v>0</v>
      </c>
    </row>
    <row r="1324" spans="1:14" x14ac:dyDescent="0.25">
      <c r="A1324">
        <v>915.68937800000003</v>
      </c>
      <c r="B1324" s="1">
        <f>DATE(2012,11,1) + TIME(16,32,42)</f>
        <v>41214.689375000002</v>
      </c>
      <c r="C1324">
        <v>80</v>
      </c>
      <c r="D1324">
        <v>79.810295104999994</v>
      </c>
      <c r="E1324">
        <v>50</v>
      </c>
      <c r="F1324">
        <v>46.057399750000002</v>
      </c>
      <c r="G1324">
        <v>1302.8537598</v>
      </c>
      <c r="H1324">
        <v>1290.5074463000001</v>
      </c>
      <c r="I1324">
        <v>1401.3282471</v>
      </c>
      <c r="J1324">
        <v>1379.8323975000001</v>
      </c>
      <c r="K1324">
        <v>0</v>
      </c>
      <c r="L1324">
        <v>2400</v>
      </c>
      <c r="M1324">
        <v>2400</v>
      </c>
      <c r="N1324">
        <v>0</v>
      </c>
    </row>
    <row r="1325" spans="1:14" x14ac:dyDescent="0.25">
      <c r="A1325">
        <v>915.78209700000002</v>
      </c>
      <c r="B1325" s="1">
        <f>DATE(2012,11,1) + TIME(18,46,13)</f>
        <v>41214.782094907408</v>
      </c>
      <c r="C1325">
        <v>80</v>
      </c>
      <c r="D1325">
        <v>79.794311523000005</v>
      </c>
      <c r="E1325">
        <v>50</v>
      </c>
      <c r="F1325">
        <v>46.463706969999997</v>
      </c>
      <c r="G1325">
        <v>1302.8498535000001</v>
      </c>
      <c r="H1325">
        <v>1290.5029297000001</v>
      </c>
      <c r="I1325">
        <v>1401.0684814000001</v>
      </c>
      <c r="J1325">
        <v>1379.7139893000001</v>
      </c>
      <c r="K1325">
        <v>0</v>
      </c>
      <c r="L1325">
        <v>2400</v>
      </c>
      <c r="M1325">
        <v>2400</v>
      </c>
      <c r="N1325">
        <v>0</v>
      </c>
    </row>
    <row r="1326" spans="1:14" x14ac:dyDescent="0.25">
      <c r="A1326">
        <v>915.88312499999995</v>
      </c>
      <c r="B1326" s="1">
        <f>DATE(2012,11,1) + TIME(21,11,42)</f>
        <v>41214.883125</v>
      </c>
      <c r="C1326">
        <v>80</v>
      </c>
      <c r="D1326">
        <v>79.777305603000002</v>
      </c>
      <c r="E1326">
        <v>50</v>
      </c>
      <c r="F1326">
        <v>46.856884002999998</v>
      </c>
      <c r="G1326">
        <v>1302.8455810999999</v>
      </c>
      <c r="H1326">
        <v>1290.4979248</v>
      </c>
      <c r="I1326">
        <v>1400.8154297000001</v>
      </c>
      <c r="J1326">
        <v>1379.5965576000001</v>
      </c>
      <c r="K1326">
        <v>0</v>
      </c>
      <c r="L1326">
        <v>2400</v>
      </c>
      <c r="M1326">
        <v>2400</v>
      </c>
      <c r="N1326">
        <v>0</v>
      </c>
    </row>
    <row r="1327" spans="1:14" x14ac:dyDescent="0.25">
      <c r="A1327">
        <v>915.99411999999995</v>
      </c>
      <c r="B1327" s="1">
        <f>DATE(2012,11,1) + TIME(23,51,31)</f>
        <v>41214.994108796294</v>
      </c>
      <c r="C1327">
        <v>80</v>
      </c>
      <c r="D1327">
        <v>79.759078978999995</v>
      </c>
      <c r="E1327">
        <v>50</v>
      </c>
      <c r="F1327">
        <v>47.236248015999998</v>
      </c>
      <c r="G1327">
        <v>1302.8410644999999</v>
      </c>
      <c r="H1327">
        <v>1290.4925536999999</v>
      </c>
      <c r="I1327">
        <v>1400.5684814000001</v>
      </c>
      <c r="J1327">
        <v>1379.4796143000001</v>
      </c>
      <c r="K1327">
        <v>0</v>
      </c>
      <c r="L1327">
        <v>2400</v>
      </c>
      <c r="M1327">
        <v>2400</v>
      </c>
      <c r="N1327">
        <v>0</v>
      </c>
    </row>
    <row r="1328" spans="1:14" x14ac:dyDescent="0.25">
      <c r="A1328">
        <v>916.11729500000001</v>
      </c>
      <c r="B1328" s="1">
        <f>DATE(2012,11,2) + TIME(2,48,54)</f>
        <v>41215.117291666669</v>
      </c>
      <c r="C1328">
        <v>80</v>
      </c>
      <c r="D1328">
        <v>79.739364624000004</v>
      </c>
      <c r="E1328">
        <v>50</v>
      </c>
      <c r="F1328">
        <v>47.601039886000002</v>
      </c>
      <c r="G1328">
        <v>1302.8360596</v>
      </c>
      <c r="H1328">
        <v>1290.4866943</v>
      </c>
      <c r="I1328">
        <v>1400.3271483999999</v>
      </c>
      <c r="J1328">
        <v>1379.3626709</v>
      </c>
      <c r="K1328">
        <v>0</v>
      </c>
      <c r="L1328">
        <v>2400</v>
      </c>
      <c r="M1328">
        <v>2400</v>
      </c>
      <c r="N1328">
        <v>0</v>
      </c>
    </row>
    <row r="1329" spans="1:14" x14ac:dyDescent="0.25">
      <c r="A1329">
        <v>916.25562600000001</v>
      </c>
      <c r="B1329" s="1">
        <f>DATE(2012,11,2) + TIME(6,8,6)</f>
        <v>41215.255624999998</v>
      </c>
      <c r="C1329">
        <v>80</v>
      </c>
      <c r="D1329">
        <v>79.717834472999996</v>
      </c>
      <c r="E1329">
        <v>50</v>
      </c>
      <c r="F1329">
        <v>47.950229645</v>
      </c>
      <c r="G1329">
        <v>1302.8305664</v>
      </c>
      <c r="H1329">
        <v>1290.4802245999999</v>
      </c>
      <c r="I1329">
        <v>1400.0910644999999</v>
      </c>
      <c r="J1329">
        <v>1379.2451172000001</v>
      </c>
      <c r="K1329">
        <v>0</v>
      </c>
      <c r="L1329">
        <v>2400</v>
      </c>
      <c r="M1329">
        <v>2400</v>
      </c>
      <c r="N1329">
        <v>0</v>
      </c>
    </row>
    <row r="1330" spans="1:14" x14ac:dyDescent="0.25">
      <c r="A1330">
        <v>916.41326600000002</v>
      </c>
      <c r="B1330" s="1">
        <f>DATE(2012,11,2) + TIME(9,55,6)</f>
        <v>41215.413263888891</v>
      </c>
      <c r="C1330">
        <v>80</v>
      </c>
      <c r="D1330">
        <v>79.694023131999998</v>
      </c>
      <c r="E1330">
        <v>50</v>
      </c>
      <c r="F1330">
        <v>48.282501220999997</v>
      </c>
      <c r="G1330">
        <v>1302.8243408000001</v>
      </c>
      <c r="H1330">
        <v>1290.4730225000001</v>
      </c>
      <c r="I1330">
        <v>1399.8594971</v>
      </c>
      <c r="J1330">
        <v>1379.1264647999999</v>
      </c>
      <c r="K1330">
        <v>0</v>
      </c>
      <c r="L1330">
        <v>2400</v>
      </c>
      <c r="M1330">
        <v>2400</v>
      </c>
      <c r="N1330">
        <v>0</v>
      </c>
    </row>
    <row r="1331" spans="1:14" x14ac:dyDescent="0.25">
      <c r="A1331">
        <v>916.59622999999999</v>
      </c>
      <c r="B1331" s="1">
        <f>DATE(2012,11,2) + TIME(14,18,34)</f>
        <v>41215.596226851849</v>
      </c>
      <c r="C1331">
        <v>80</v>
      </c>
      <c r="D1331">
        <v>79.667289733999993</v>
      </c>
      <c r="E1331">
        <v>50</v>
      </c>
      <c r="F1331">
        <v>48.596157073999997</v>
      </c>
      <c r="G1331">
        <v>1302.8173827999999</v>
      </c>
      <c r="H1331">
        <v>1290.4648437999999</v>
      </c>
      <c r="I1331">
        <v>1399.6319579999999</v>
      </c>
      <c r="J1331">
        <v>1379.0056152</v>
      </c>
      <c r="K1331">
        <v>0</v>
      </c>
      <c r="L1331">
        <v>2400</v>
      </c>
      <c r="M1331">
        <v>2400</v>
      </c>
      <c r="N1331">
        <v>0</v>
      </c>
    </row>
    <row r="1332" spans="1:14" x14ac:dyDescent="0.25">
      <c r="A1332">
        <v>916.80485799999997</v>
      </c>
      <c r="B1332" s="1">
        <f>DATE(2012,11,2) + TIME(19,18,59)</f>
        <v>41215.804849537039</v>
      </c>
      <c r="C1332">
        <v>80</v>
      </c>
      <c r="D1332">
        <v>79.637680054</v>
      </c>
      <c r="E1332">
        <v>50</v>
      </c>
      <c r="F1332">
        <v>48.87960434</v>
      </c>
      <c r="G1332">
        <v>1302.8092041</v>
      </c>
      <c r="H1332">
        <v>1290.4554443</v>
      </c>
      <c r="I1332">
        <v>1399.4138184000001</v>
      </c>
      <c r="J1332">
        <v>1378.8845214999999</v>
      </c>
      <c r="K1332">
        <v>0</v>
      </c>
      <c r="L1332">
        <v>2400</v>
      </c>
      <c r="M1332">
        <v>2400</v>
      </c>
      <c r="N1332">
        <v>0</v>
      </c>
    </row>
    <row r="1333" spans="1:14" x14ac:dyDescent="0.25">
      <c r="A1333">
        <v>917.01392099999998</v>
      </c>
      <c r="B1333" s="1">
        <f>DATE(2012,11,3) + TIME(0,20,2)</f>
        <v>41216.013912037037</v>
      </c>
      <c r="C1333">
        <v>80</v>
      </c>
      <c r="D1333">
        <v>79.608024596999996</v>
      </c>
      <c r="E1333">
        <v>50</v>
      </c>
      <c r="F1333">
        <v>49.104614257999998</v>
      </c>
      <c r="G1333">
        <v>1302.7999268000001</v>
      </c>
      <c r="H1333">
        <v>1290.4449463000001</v>
      </c>
      <c r="I1333">
        <v>1399.2233887</v>
      </c>
      <c r="J1333">
        <v>1378.7714844</v>
      </c>
      <c r="K1333">
        <v>0</v>
      </c>
      <c r="L1333">
        <v>2400</v>
      </c>
      <c r="M1333">
        <v>2400</v>
      </c>
      <c r="N1333">
        <v>0</v>
      </c>
    </row>
    <row r="1334" spans="1:14" x14ac:dyDescent="0.25">
      <c r="A1334">
        <v>917.22804499999995</v>
      </c>
      <c r="B1334" s="1">
        <f>DATE(2012,11,3) + TIME(5,28,23)</f>
        <v>41216.228043981479</v>
      </c>
      <c r="C1334">
        <v>80</v>
      </c>
      <c r="D1334">
        <v>79.577865600999999</v>
      </c>
      <c r="E1334">
        <v>50</v>
      </c>
      <c r="F1334">
        <v>49.286266327</v>
      </c>
      <c r="G1334">
        <v>1302.7905272999999</v>
      </c>
      <c r="H1334">
        <v>1290.4344481999999</v>
      </c>
      <c r="I1334">
        <v>1399.0567627</v>
      </c>
      <c r="J1334">
        <v>1378.6687012</v>
      </c>
      <c r="K1334">
        <v>0</v>
      </c>
      <c r="L1334">
        <v>2400</v>
      </c>
      <c r="M1334">
        <v>2400</v>
      </c>
      <c r="N1334">
        <v>0</v>
      </c>
    </row>
    <row r="1335" spans="1:14" x14ac:dyDescent="0.25">
      <c r="A1335">
        <v>917.44924500000002</v>
      </c>
      <c r="B1335" s="1">
        <f>DATE(2012,11,3) + TIME(10,46,54)</f>
        <v>41216.449236111112</v>
      </c>
      <c r="C1335">
        <v>80</v>
      </c>
      <c r="D1335">
        <v>79.546974182</v>
      </c>
      <c r="E1335">
        <v>50</v>
      </c>
      <c r="F1335">
        <v>49.433170318999998</v>
      </c>
      <c r="G1335">
        <v>1302.7811279</v>
      </c>
      <c r="H1335">
        <v>1290.4237060999999</v>
      </c>
      <c r="I1335">
        <v>1398.9085693</v>
      </c>
      <c r="J1335">
        <v>1378.5734863</v>
      </c>
      <c r="K1335">
        <v>0</v>
      </c>
      <c r="L1335">
        <v>2400</v>
      </c>
      <c r="M1335">
        <v>2400</v>
      </c>
      <c r="N1335">
        <v>0</v>
      </c>
    </row>
    <row r="1336" spans="1:14" x14ac:dyDescent="0.25">
      <c r="A1336">
        <v>917.67981099999997</v>
      </c>
      <c r="B1336" s="1">
        <f>DATE(2012,11,3) + TIME(16,18,55)</f>
        <v>41216.679803240739</v>
      </c>
      <c r="C1336">
        <v>80</v>
      </c>
      <c r="D1336">
        <v>79.515121460000003</v>
      </c>
      <c r="E1336">
        <v>50</v>
      </c>
      <c r="F1336">
        <v>49.551975249999998</v>
      </c>
      <c r="G1336">
        <v>1302.7713623</v>
      </c>
      <c r="H1336">
        <v>1290.4127197</v>
      </c>
      <c r="I1336">
        <v>1398.7749022999999</v>
      </c>
      <c r="J1336">
        <v>1378.4841309000001</v>
      </c>
      <c r="K1336">
        <v>0</v>
      </c>
      <c r="L1336">
        <v>2400</v>
      </c>
      <c r="M1336">
        <v>2400</v>
      </c>
      <c r="N1336">
        <v>0</v>
      </c>
    </row>
    <row r="1337" spans="1:14" x14ac:dyDescent="0.25">
      <c r="A1337">
        <v>917.92222800000002</v>
      </c>
      <c r="B1337" s="1">
        <f>DATE(2012,11,3) + TIME(22,8,0)</f>
        <v>41216.922222222223</v>
      </c>
      <c r="C1337">
        <v>80</v>
      </c>
      <c r="D1337">
        <v>79.482040405000006</v>
      </c>
      <c r="E1337">
        <v>50</v>
      </c>
      <c r="F1337">
        <v>49.647815704000003</v>
      </c>
      <c r="G1337">
        <v>1302.7612305</v>
      </c>
      <c r="H1337">
        <v>1290.4012451000001</v>
      </c>
      <c r="I1337">
        <v>1398.6529541</v>
      </c>
      <c r="J1337">
        <v>1378.3995361</v>
      </c>
      <c r="K1337">
        <v>0</v>
      </c>
      <c r="L1337">
        <v>2400</v>
      </c>
      <c r="M1337">
        <v>2400</v>
      </c>
      <c r="N1337">
        <v>0</v>
      </c>
    </row>
    <row r="1338" spans="1:14" x14ac:dyDescent="0.25">
      <c r="A1338">
        <v>918.17935699999998</v>
      </c>
      <c r="B1338" s="1">
        <f>DATE(2012,11,4) + TIME(4,18,16)</f>
        <v>41217.179351851853</v>
      </c>
      <c r="C1338">
        <v>80</v>
      </c>
      <c r="D1338">
        <v>79.447433472</v>
      </c>
      <c r="E1338">
        <v>50</v>
      </c>
      <c r="F1338">
        <v>49.724765777999998</v>
      </c>
      <c r="G1338">
        <v>1302.7507324000001</v>
      </c>
      <c r="H1338">
        <v>1290.3892822</v>
      </c>
      <c r="I1338">
        <v>1398.5400391000001</v>
      </c>
      <c r="J1338">
        <v>1378.3183594</v>
      </c>
      <c r="K1338">
        <v>0</v>
      </c>
      <c r="L1338">
        <v>2400</v>
      </c>
      <c r="M1338">
        <v>2400</v>
      </c>
      <c r="N1338">
        <v>0</v>
      </c>
    </row>
    <row r="1339" spans="1:14" x14ac:dyDescent="0.25">
      <c r="A1339">
        <v>918.45458499999995</v>
      </c>
      <c r="B1339" s="1">
        <f>DATE(2012,11,4) + TIME(10,54,36)</f>
        <v>41217.454583333332</v>
      </c>
      <c r="C1339">
        <v>80</v>
      </c>
      <c r="D1339">
        <v>79.410949707</v>
      </c>
      <c r="E1339">
        <v>50</v>
      </c>
      <c r="F1339">
        <v>49.78609848</v>
      </c>
      <c r="G1339">
        <v>1302.739624</v>
      </c>
      <c r="H1339">
        <v>1290.3765868999999</v>
      </c>
      <c r="I1339">
        <v>1398.4343262</v>
      </c>
      <c r="J1339">
        <v>1378.239624</v>
      </c>
      <c r="K1339">
        <v>0</v>
      </c>
      <c r="L1339">
        <v>2400</v>
      </c>
      <c r="M1339">
        <v>2400</v>
      </c>
      <c r="N1339">
        <v>0</v>
      </c>
    </row>
    <row r="1340" spans="1:14" x14ac:dyDescent="0.25">
      <c r="A1340">
        <v>918.752163</v>
      </c>
      <c r="B1340" s="1">
        <f>DATE(2012,11,4) + TIME(18,3,6)</f>
        <v>41217.752152777779</v>
      </c>
      <c r="C1340">
        <v>80</v>
      </c>
      <c r="D1340">
        <v>79.372161864999995</v>
      </c>
      <c r="E1340">
        <v>50</v>
      </c>
      <c r="F1340">
        <v>49.834514618</v>
      </c>
      <c r="G1340">
        <v>1302.7276611</v>
      </c>
      <c r="H1340">
        <v>1290.3630370999999</v>
      </c>
      <c r="I1340">
        <v>1398.3339844</v>
      </c>
      <c r="J1340">
        <v>1378.1623535000001</v>
      </c>
      <c r="K1340">
        <v>0</v>
      </c>
      <c r="L1340">
        <v>2400</v>
      </c>
      <c r="M1340">
        <v>2400</v>
      </c>
      <c r="N1340">
        <v>0</v>
      </c>
    </row>
    <row r="1341" spans="1:14" x14ac:dyDescent="0.25">
      <c r="A1341">
        <v>919.07399199999998</v>
      </c>
      <c r="B1341" s="1">
        <f>DATE(2012,11,5) + TIME(1,46,32)</f>
        <v>41218.073981481481</v>
      </c>
      <c r="C1341">
        <v>80</v>
      </c>
      <c r="D1341">
        <v>79.330863953000005</v>
      </c>
      <c r="E1341">
        <v>50</v>
      </c>
      <c r="F1341">
        <v>49.871971129999999</v>
      </c>
      <c r="G1341">
        <v>1302.7148437999999</v>
      </c>
      <c r="H1341">
        <v>1290.3485106999999</v>
      </c>
      <c r="I1341">
        <v>1398.2375488</v>
      </c>
      <c r="J1341">
        <v>1378.0859375</v>
      </c>
      <c r="K1341">
        <v>0</v>
      </c>
      <c r="L1341">
        <v>2400</v>
      </c>
      <c r="M1341">
        <v>2400</v>
      </c>
      <c r="N1341">
        <v>0</v>
      </c>
    </row>
    <row r="1342" spans="1:14" x14ac:dyDescent="0.25">
      <c r="A1342">
        <v>919.42205100000001</v>
      </c>
      <c r="B1342" s="1">
        <f>DATE(2012,11,5) + TIME(10,7,45)</f>
        <v>41218.422048611108</v>
      </c>
      <c r="C1342">
        <v>80</v>
      </c>
      <c r="D1342">
        <v>79.286842346</v>
      </c>
      <c r="E1342">
        <v>50</v>
      </c>
      <c r="F1342">
        <v>49.900333404999998</v>
      </c>
      <c r="G1342">
        <v>1302.7010498</v>
      </c>
      <c r="H1342">
        <v>1290.3327637</v>
      </c>
      <c r="I1342">
        <v>1398.1441649999999</v>
      </c>
      <c r="J1342">
        <v>1378.0100098</v>
      </c>
      <c r="K1342">
        <v>0</v>
      </c>
      <c r="L1342">
        <v>2400</v>
      </c>
      <c r="M1342">
        <v>2400</v>
      </c>
      <c r="N1342">
        <v>0</v>
      </c>
    </row>
    <row r="1343" spans="1:14" x14ac:dyDescent="0.25">
      <c r="A1343">
        <v>919.80271300000004</v>
      </c>
      <c r="B1343" s="1">
        <f>DATE(2012,11,5) + TIME(19,15,54)</f>
        <v>41218.802708333336</v>
      </c>
      <c r="C1343">
        <v>80</v>
      </c>
      <c r="D1343">
        <v>79.239509583</v>
      </c>
      <c r="E1343">
        <v>50</v>
      </c>
      <c r="F1343">
        <v>49.921508789000001</v>
      </c>
      <c r="G1343">
        <v>1302.6861572</v>
      </c>
      <c r="H1343">
        <v>1290.3157959</v>
      </c>
      <c r="I1343">
        <v>1398.0529785000001</v>
      </c>
      <c r="J1343">
        <v>1377.9344481999999</v>
      </c>
      <c r="K1343">
        <v>0</v>
      </c>
      <c r="L1343">
        <v>2400</v>
      </c>
      <c r="M1343">
        <v>2400</v>
      </c>
      <c r="N1343">
        <v>0</v>
      </c>
    </row>
    <row r="1344" spans="1:14" x14ac:dyDescent="0.25">
      <c r="A1344">
        <v>920.22390299999995</v>
      </c>
      <c r="B1344" s="1">
        <f>DATE(2012,11,6) + TIME(5,22,25)</f>
        <v>41219.223900462966</v>
      </c>
      <c r="C1344">
        <v>80</v>
      </c>
      <c r="D1344">
        <v>79.188148498999993</v>
      </c>
      <c r="E1344">
        <v>50</v>
      </c>
      <c r="F1344">
        <v>49.937026977999999</v>
      </c>
      <c r="G1344">
        <v>1302.6699219</v>
      </c>
      <c r="H1344">
        <v>1290.2973632999999</v>
      </c>
      <c r="I1344">
        <v>1397.9626464999999</v>
      </c>
      <c r="J1344">
        <v>1377.8582764</v>
      </c>
      <c r="K1344">
        <v>0</v>
      </c>
      <c r="L1344">
        <v>2400</v>
      </c>
      <c r="M1344">
        <v>2400</v>
      </c>
      <c r="N1344">
        <v>0</v>
      </c>
    </row>
    <row r="1345" spans="1:14" x14ac:dyDescent="0.25">
      <c r="A1345">
        <v>920.66055900000003</v>
      </c>
      <c r="B1345" s="1">
        <f>DATE(2012,11,6) + TIME(15,51,12)</f>
        <v>41219.660555555558</v>
      </c>
      <c r="C1345">
        <v>80</v>
      </c>
      <c r="D1345">
        <v>79.134620666999993</v>
      </c>
      <c r="E1345">
        <v>50</v>
      </c>
      <c r="F1345">
        <v>49.947597504000001</v>
      </c>
      <c r="G1345">
        <v>1302.6519774999999</v>
      </c>
      <c r="H1345">
        <v>1290.2770995999999</v>
      </c>
      <c r="I1345">
        <v>1397.8719481999999</v>
      </c>
      <c r="J1345">
        <v>1377.7807617000001</v>
      </c>
      <c r="K1345">
        <v>0</v>
      </c>
      <c r="L1345">
        <v>2400</v>
      </c>
      <c r="M1345">
        <v>2400</v>
      </c>
      <c r="N1345">
        <v>0</v>
      </c>
    </row>
    <row r="1346" spans="1:14" x14ac:dyDescent="0.25">
      <c r="A1346">
        <v>921.10734400000001</v>
      </c>
      <c r="B1346" s="1">
        <f>DATE(2012,11,7) + TIME(2,34,34)</f>
        <v>41220.10733796296</v>
      </c>
      <c r="C1346">
        <v>80</v>
      </c>
      <c r="D1346">
        <v>79.079582213999998</v>
      </c>
      <c r="E1346">
        <v>50</v>
      </c>
      <c r="F1346">
        <v>49.954681395999998</v>
      </c>
      <c r="G1346">
        <v>1302.6331786999999</v>
      </c>
      <c r="H1346">
        <v>1290.2561035000001</v>
      </c>
      <c r="I1346">
        <v>1397.7858887</v>
      </c>
      <c r="J1346">
        <v>1377.7064209</v>
      </c>
      <c r="K1346">
        <v>0</v>
      </c>
      <c r="L1346">
        <v>2400</v>
      </c>
      <c r="M1346">
        <v>2400</v>
      </c>
      <c r="N1346">
        <v>0</v>
      </c>
    </row>
    <row r="1347" spans="1:14" x14ac:dyDescent="0.25">
      <c r="A1347">
        <v>921.57050900000002</v>
      </c>
      <c r="B1347" s="1">
        <f>DATE(2012,11,7) + TIME(13,41,31)</f>
        <v>41220.570497685185</v>
      </c>
      <c r="C1347">
        <v>80</v>
      </c>
      <c r="D1347">
        <v>79.022827148000005</v>
      </c>
      <c r="E1347">
        <v>50</v>
      </c>
      <c r="F1347">
        <v>49.959468842</v>
      </c>
      <c r="G1347">
        <v>1302.6141356999999</v>
      </c>
      <c r="H1347">
        <v>1290.2346190999999</v>
      </c>
      <c r="I1347">
        <v>1397.7043457</v>
      </c>
      <c r="J1347">
        <v>1377.6358643000001</v>
      </c>
      <c r="K1347">
        <v>0</v>
      </c>
      <c r="L1347">
        <v>2400</v>
      </c>
      <c r="M1347">
        <v>2400</v>
      </c>
      <c r="N1347">
        <v>0</v>
      </c>
    </row>
    <row r="1348" spans="1:14" x14ac:dyDescent="0.25">
      <c r="A1348">
        <v>922.04960300000005</v>
      </c>
      <c r="B1348" s="1">
        <f>DATE(2012,11,8) + TIME(1,11,25)</f>
        <v>41221.04959490741</v>
      </c>
      <c r="C1348">
        <v>80</v>
      </c>
      <c r="D1348">
        <v>78.964469910000005</v>
      </c>
      <c r="E1348">
        <v>50</v>
      </c>
      <c r="F1348">
        <v>49.962680816999999</v>
      </c>
      <c r="G1348">
        <v>1302.5944824000001</v>
      </c>
      <c r="H1348">
        <v>1290.2122803</v>
      </c>
      <c r="I1348">
        <v>1397.6259766000001</v>
      </c>
      <c r="J1348">
        <v>1377.567749</v>
      </c>
      <c r="K1348">
        <v>0</v>
      </c>
      <c r="L1348">
        <v>2400</v>
      </c>
      <c r="M1348">
        <v>2400</v>
      </c>
      <c r="N1348">
        <v>0</v>
      </c>
    </row>
    <row r="1349" spans="1:14" x14ac:dyDescent="0.25">
      <c r="A1349">
        <v>922.54620599999998</v>
      </c>
      <c r="B1349" s="1">
        <f>DATE(2012,11,8) + TIME(13,6,32)</f>
        <v>41221.546203703707</v>
      </c>
      <c r="C1349">
        <v>80</v>
      </c>
      <c r="D1349">
        <v>78.904479980000005</v>
      </c>
      <c r="E1349">
        <v>50</v>
      </c>
      <c r="F1349">
        <v>49.964836120999998</v>
      </c>
      <c r="G1349">
        <v>1302.5740966999999</v>
      </c>
      <c r="H1349">
        <v>1290.1893310999999</v>
      </c>
      <c r="I1349">
        <v>1397.550293</v>
      </c>
      <c r="J1349">
        <v>1377.5020752</v>
      </c>
      <c r="K1349">
        <v>0</v>
      </c>
      <c r="L1349">
        <v>2400</v>
      </c>
      <c r="M1349">
        <v>2400</v>
      </c>
      <c r="N1349">
        <v>0</v>
      </c>
    </row>
    <row r="1350" spans="1:14" x14ac:dyDescent="0.25">
      <c r="A1350">
        <v>923.06580199999996</v>
      </c>
      <c r="B1350" s="1">
        <f>DATE(2012,11,9) + TIME(1,34,45)</f>
        <v>41222.065798611111</v>
      </c>
      <c r="C1350">
        <v>80</v>
      </c>
      <c r="D1350">
        <v>78.842491150000001</v>
      </c>
      <c r="E1350">
        <v>50</v>
      </c>
      <c r="F1350">
        <v>49.966293335000003</v>
      </c>
      <c r="G1350">
        <v>1302.5531006000001</v>
      </c>
      <c r="H1350">
        <v>1290.1654053</v>
      </c>
      <c r="I1350">
        <v>1397.4769286999999</v>
      </c>
      <c r="J1350">
        <v>1377.4383545000001</v>
      </c>
      <c r="K1350">
        <v>0</v>
      </c>
      <c r="L1350">
        <v>2400</v>
      </c>
      <c r="M1350">
        <v>2400</v>
      </c>
      <c r="N1350">
        <v>0</v>
      </c>
    </row>
    <row r="1351" spans="1:14" x14ac:dyDescent="0.25">
      <c r="A1351">
        <v>923.61448099999996</v>
      </c>
      <c r="B1351" s="1">
        <f>DATE(2012,11,9) + TIME(14,44,51)</f>
        <v>41222.614479166667</v>
      </c>
      <c r="C1351">
        <v>80</v>
      </c>
      <c r="D1351">
        <v>78.778038025000001</v>
      </c>
      <c r="E1351">
        <v>50</v>
      </c>
      <c r="F1351">
        <v>49.967285156000003</v>
      </c>
      <c r="G1351">
        <v>1302.5311279</v>
      </c>
      <c r="H1351">
        <v>1290.1403809000001</v>
      </c>
      <c r="I1351">
        <v>1397.4049072</v>
      </c>
      <c r="J1351">
        <v>1377.3758545000001</v>
      </c>
      <c r="K1351">
        <v>0</v>
      </c>
      <c r="L1351">
        <v>2400</v>
      </c>
      <c r="M1351">
        <v>2400</v>
      </c>
      <c r="N1351">
        <v>0</v>
      </c>
    </row>
    <row r="1352" spans="1:14" x14ac:dyDescent="0.25">
      <c r="A1352">
        <v>924.19938400000001</v>
      </c>
      <c r="B1352" s="1">
        <f>DATE(2012,11,10) + TIME(4,47,6)</f>
        <v>41223.199374999997</v>
      </c>
      <c r="C1352">
        <v>80</v>
      </c>
      <c r="D1352">
        <v>78.710517882999994</v>
      </c>
      <c r="E1352">
        <v>50</v>
      </c>
      <c r="F1352">
        <v>49.967967987000002</v>
      </c>
      <c r="G1352">
        <v>1302.5079346</v>
      </c>
      <c r="H1352">
        <v>1290.1140137</v>
      </c>
      <c r="I1352">
        <v>1397.3334961</v>
      </c>
      <c r="J1352">
        <v>1377.3138428</v>
      </c>
      <c r="K1352">
        <v>0</v>
      </c>
      <c r="L1352">
        <v>2400</v>
      </c>
      <c r="M1352">
        <v>2400</v>
      </c>
      <c r="N1352">
        <v>0</v>
      </c>
    </row>
    <row r="1353" spans="1:14" x14ac:dyDescent="0.25">
      <c r="A1353">
        <v>924.82961</v>
      </c>
      <c r="B1353" s="1">
        <f>DATE(2012,11,10) + TIME(19,54,38)</f>
        <v>41223.829606481479</v>
      </c>
      <c r="C1353">
        <v>80</v>
      </c>
      <c r="D1353">
        <v>78.639175414999997</v>
      </c>
      <c r="E1353">
        <v>50</v>
      </c>
      <c r="F1353">
        <v>49.968441009999999</v>
      </c>
      <c r="G1353">
        <v>1302.4831543</v>
      </c>
      <c r="H1353">
        <v>1290.0859375</v>
      </c>
      <c r="I1353">
        <v>1397.2618408000001</v>
      </c>
      <c r="J1353">
        <v>1377.2518310999999</v>
      </c>
      <c r="K1353">
        <v>0</v>
      </c>
      <c r="L1353">
        <v>2400</v>
      </c>
      <c r="M1353">
        <v>2400</v>
      </c>
      <c r="N1353">
        <v>0</v>
      </c>
    </row>
    <row r="1354" spans="1:14" x14ac:dyDescent="0.25">
      <c r="A1354">
        <v>925.50739299999998</v>
      </c>
      <c r="B1354" s="1">
        <f>DATE(2012,11,11) + TIME(12,10,38)</f>
        <v>41224.507384259261</v>
      </c>
      <c r="C1354">
        <v>80</v>
      </c>
      <c r="D1354">
        <v>78.563629149999997</v>
      </c>
      <c r="E1354">
        <v>50</v>
      </c>
      <c r="F1354">
        <v>49.968769072999997</v>
      </c>
      <c r="G1354">
        <v>1302.456543</v>
      </c>
      <c r="H1354">
        <v>1290.0555420000001</v>
      </c>
      <c r="I1354">
        <v>1397.1892089999999</v>
      </c>
      <c r="J1354">
        <v>1377.1892089999999</v>
      </c>
      <c r="K1354">
        <v>0</v>
      </c>
      <c r="L1354">
        <v>2400</v>
      </c>
      <c r="M1354">
        <v>2400</v>
      </c>
      <c r="N1354">
        <v>0</v>
      </c>
    </row>
    <row r="1355" spans="1:14" x14ac:dyDescent="0.25">
      <c r="A1355">
        <v>926.19583599999999</v>
      </c>
      <c r="B1355" s="1">
        <f>DATE(2012,11,12) + TIME(4,42,0)</f>
        <v>41225.195833333331</v>
      </c>
      <c r="C1355">
        <v>80</v>
      </c>
      <c r="D1355">
        <v>78.485969542999996</v>
      </c>
      <c r="E1355">
        <v>50</v>
      </c>
      <c r="F1355">
        <v>49.968986510999997</v>
      </c>
      <c r="G1355">
        <v>1302.4276123</v>
      </c>
      <c r="H1355">
        <v>1290.0229492000001</v>
      </c>
      <c r="I1355">
        <v>1397.1157227000001</v>
      </c>
      <c r="J1355">
        <v>1377.1258545000001</v>
      </c>
      <c r="K1355">
        <v>0</v>
      </c>
      <c r="L1355">
        <v>2400</v>
      </c>
      <c r="M1355">
        <v>2400</v>
      </c>
      <c r="N1355">
        <v>0</v>
      </c>
    </row>
    <row r="1356" spans="1:14" x14ac:dyDescent="0.25">
      <c r="A1356">
        <v>926.90393900000004</v>
      </c>
      <c r="B1356" s="1">
        <f>DATE(2012,11,12) + TIME(21,41,40)</f>
        <v>41225.903935185182</v>
      </c>
      <c r="C1356">
        <v>80</v>
      </c>
      <c r="D1356">
        <v>78.406417847</v>
      </c>
      <c r="E1356">
        <v>50</v>
      </c>
      <c r="F1356">
        <v>49.969142914000003</v>
      </c>
      <c r="G1356">
        <v>1302.3983154</v>
      </c>
      <c r="H1356">
        <v>1289.9897461</v>
      </c>
      <c r="I1356">
        <v>1397.0455322</v>
      </c>
      <c r="J1356">
        <v>1377.0655518000001</v>
      </c>
      <c r="K1356">
        <v>0</v>
      </c>
      <c r="L1356">
        <v>2400</v>
      </c>
      <c r="M1356">
        <v>2400</v>
      </c>
      <c r="N1356">
        <v>0</v>
      </c>
    </row>
    <row r="1357" spans="1:14" x14ac:dyDescent="0.25">
      <c r="A1357">
        <v>927.64067</v>
      </c>
      <c r="B1357" s="1">
        <f>DATE(2012,11,13) + TIME(15,22,33)</f>
        <v>41226.640659722223</v>
      </c>
      <c r="C1357">
        <v>80</v>
      </c>
      <c r="D1357">
        <v>78.324684142999999</v>
      </c>
      <c r="E1357">
        <v>50</v>
      </c>
      <c r="F1357">
        <v>49.969249724999997</v>
      </c>
      <c r="G1357">
        <v>1302.3681641000001</v>
      </c>
      <c r="H1357">
        <v>1289.9553223</v>
      </c>
      <c r="I1357">
        <v>1396.9774170000001</v>
      </c>
      <c r="J1357">
        <v>1377.0070800999999</v>
      </c>
      <c r="K1357">
        <v>0</v>
      </c>
      <c r="L1357">
        <v>2400</v>
      </c>
      <c r="M1357">
        <v>2400</v>
      </c>
      <c r="N1357">
        <v>0</v>
      </c>
    </row>
    <row r="1358" spans="1:14" x14ac:dyDescent="0.25">
      <c r="A1358">
        <v>928.41068700000005</v>
      </c>
      <c r="B1358" s="1">
        <f>DATE(2012,11,14) + TIME(9,51,23)</f>
        <v>41227.410682870373</v>
      </c>
      <c r="C1358">
        <v>80</v>
      </c>
      <c r="D1358">
        <v>78.240470885999997</v>
      </c>
      <c r="E1358">
        <v>50</v>
      </c>
      <c r="F1358">
        <v>49.969329834</v>
      </c>
      <c r="G1358">
        <v>1302.3366699000001</v>
      </c>
      <c r="H1358">
        <v>1289.9194336</v>
      </c>
      <c r="I1358">
        <v>1396.9105225000001</v>
      </c>
      <c r="J1358">
        <v>1376.9498291</v>
      </c>
      <c r="K1358">
        <v>0</v>
      </c>
      <c r="L1358">
        <v>2400</v>
      </c>
      <c r="M1358">
        <v>2400</v>
      </c>
      <c r="N1358">
        <v>0</v>
      </c>
    </row>
    <row r="1359" spans="1:14" x14ac:dyDescent="0.25">
      <c r="A1359">
        <v>929.20295699999997</v>
      </c>
      <c r="B1359" s="1">
        <f>DATE(2012,11,15) + TIME(4,52,15)</f>
        <v>41228.202951388892</v>
      </c>
      <c r="C1359">
        <v>80</v>
      </c>
      <c r="D1359">
        <v>78.154296875</v>
      </c>
      <c r="E1359">
        <v>50</v>
      </c>
      <c r="F1359">
        <v>49.969390869000001</v>
      </c>
      <c r="G1359">
        <v>1302.3035889</v>
      </c>
      <c r="H1359">
        <v>1289.8818358999999</v>
      </c>
      <c r="I1359">
        <v>1396.8443603999999</v>
      </c>
      <c r="J1359">
        <v>1376.8931885</v>
      </c>
      <c r="K1359">
        <v>0</v>
      </c>
      <c r="L1359">
        <v>2400</v>
      </c>
      <c r="M1359">
        <v>2400</v>
      </c>
      <c r="N1359">
        <v>0</v>
      </c>
    </row>
    <row r="1360" spans="1:14" x14ac:dyDescent="0.25">
      <c r="A1360">
        <v>930.02633500000002</v>
      </c>
      <c r="B1360" s="1">
        <f>DATE(2012,11,16) + TIME(0,37,55)</f>
        <v>41229.026331018518</v>
      </c>
      <c r="C1360">
        <v>80</v>
      </c>
      <c r="D1360">
        <v>78.065917968999997</v>
      </c>
      <c r="E1360">
        <v>50</v>
      </c>
      <c r="F1360">
        <v>49.969436645999998</v>
      </c>
      <c r="G1360">
        <v>1302.2695312000001</v>
      </c>
      <c r="H1360">
        <v>1289.8428954999999</v>
      </c>
      <c r="I1360">
        <v>1396.7797852000001</v>
      </c>
      <c r="J1360">
        <v>1376.8382568</v>
      </c>
      <c r="K1360">
        <v>0</v>
      </c>
      <c r="L1360">
        <v>2400</v>
      </c>
      <c r="M1360">
        <v>2400</v>
      </c>
      <c r="N1360">
        <v>0</v>
      </c>
    </row>
    <row r="1361" spans="1:14" x14ac:dyDescent="0.25">
      <c r="A1361">
        <v>930.89025100000003</v>
      </c>
      <c r="B1361" s="1">
        <f>DATE(2012,11,16) + TIME(21,21,57)</f>
        <v>41229.890243055554</v>
      </c>
      <c r="C1361">
        <v>80</v>
      </c>
      <c r="D1361">
        <v>77.974784850999995</v>
      </c>
      <c r="E1361">
        <v>50</v>
      </c>
      <c r="F1361">
        <v>49.969470977999997</v>
      </c>
      <c r="G1361">
        <v>1302.2340088000001</v>
      </c>
      <c r="H1361">
        <v>1289.802124</v>
      </c>
      <c r="I1361">
        <v>1396.7161865</v>
      </c>
      <c r="J1361">
        <v>1376.7840576000001</v>
      </c>
      <c r="K1361">
        <v>0</v>
      </c>
      <c r="L1361">
        <v>2400</v>
      </c>
      <c r="M1361">
        <v>2400</v>
      </c>
      <c r="N1361">
        <v>0</v>
      </c>
    </row>
    <row r="1362" spans="1:14" x14ac:dyDescent="0.25">
      <c r="A1362">
        <v>931.805657</v>
      </c>
      <c r="B1362" s="1">
        <f>DATE(2012,11,17) + TIME(19,20,8)</f>
        <v>41230.805648148147</v>
      </c>
      <c r="C1362">
        <v>80</v>
      </c>
      <c r="D1362">
        <v>77.880126953000001</v>
      </c>
      <c r="E1362">
        <v>50</v>
      </c>
      <c r="F1362">
        <v>49.969501495000003</v>
      </c>
      <c r="G1362">
        <v>1302.1965332</v>
      </c>
      <c r="H1362">
        <v>1289.7591553</v>
      </c>
      <c r="I1362">
        <v>1396.6529541</v>
      </c>
      <c r="J1362">
        <v>1376.7303466999999</v>
      </c>
      <c r="K1362">
        <v>0</v>
      </c>
      <c r="L1362">
        <v>2400</v>
      </c>
      <c r="M1362">
        <v>2400</v>
      </c>
      <c r="N1362">
        <v>0</v>
      </c>
    </row>
    <row r="1363" spans="1:14" x14ac:dyDescent="0.25">
      <c r="A1363">
        <v>932.75799900000004</v>
      </c>
      <c r="B1363" s="1">
        <f>DATE(2012,11,18) + TIME(18,11,31)</f>
        <v>41231.757997685185</v>
      </c>
      <c r="C1363">
        <v>80</v>
      </c>
      <c r="D1363">
        <v>77.782279967999997</v>
      </c>
      <c r="E1363">
        <v>50</v>
      </c>
      <c r="F1363">
        <v>49.969528197999999</v>
      </c>
      <c r="G1363">
        <v>1302.1566161999999</v>
      </c>
      <c r="H1363">
        <v>1289.7133789</v>
      </c>
      <c r="I1363">
        <v>1396.5891113</v>
      </c>
      <c r="J1363">
        <v>1376.6762695</v>
      </c>
      <c r="K1363">
        <v>0</v>
      </c>
      <c r="L1363">
        <v>2400</v>
      </c>
      <c r="M1363">
        <v>2400</v>
      </c>
      <c r="N1363">
        <v>0</v>
      </c>
    </row>
    <row r="1364" spans="1:14" x14ac:dyDescent="0.25">
      <c r="A1364">
        <v>933.74442299999998</v>
      </c>
      <c r="B1364" s="1">
        <f>DATE(2012,11,19) + TIME(17,51,58)</f>
        <v>41232.744421296295</v>
      </c>
      <c r="C1364">
        <v>80</v>
      </c>
      <c r="D1364">
        <v>77.681678771999998</v>
      </c>
      <c r="E1364">
        <v>50</v>
      </c>
      <c r="F1364">
        <v>49.969551086000003</v>
      </c>
      <c r="G1364">
        <v>1302.1147461</v>
      </c>
      <c r="H1364">
        <v>1289.6652832</v>
      </c>
      <c r="I1364">
        <v>1396.5261230000001</v>
      </c>
      <c r="J1364">
        <v>1376.6228027</v>
      </c>
      <c r="K1364">
        <v>0</v>
      </c>
      <c r="L1364">
        <v>2400</v>
      </c>
      <c r="M1364">
        <v>2400</v>
      </c>
      <c r="N1364">
        <v>0</v>
      </c>
    </row>
    <row r="1365" spans="1:14" x14ac:dyDescent="0.25">
      <c r="A1365">
        <v>934.77903300000003</v>
      </c>
      <c r="B1365" s="1">
        <f>DATE(2012,11,20) + TIME(18,41,48)</f>
        <v>41233.779027777775</v>
      </c>
      <c r="C1365">
        <v>80</v>
      </c>
      <c r="D1365">
        <v>77.577941894999995</v>
      </c>
      <c r="E1365">
        <v>50</v>
      </c>
      <c r="F1365">
        <v>49.969573975000003</v>
      </c>
      <c r="G1365">
        <v>1302.0711670000001</v>
      </c>
      <c r="H1365">
        <v>1289.6149902</v>
      </c>
      <c r="I1365">
        <v>1396.4641113</v>
      </c>
      <c r="J1365">
        <v>1376.5703125</v>
      </c>
      <c r="K1365">
        <v>0</v>
      </c>
      <c r="L1365">
        <v>2400</v>
      </c>
      <c r="M1365">
        <v>2400</v>
      </c>
      <c r="N1365">
        <v>0</v>
      </c>
    </row>
    <row r="1366" spans="1:14" x14ac:dyDescent="0.25">
      <c r="A1366">
        <v>935.85408500000005</v>
      </c>
      <c r="B1366" s="1">
        <f>DATE(2012,11,21) + TIME(20,29,52)</f>
        <v>41234.854074074072</v>
      </c>
      <c r="C1366">
        <v>80</v>
      </c>
      <c r="D1366">
        <v>77.471191406000003</v>
      </c>
      <c r="E1366">
        <v>50</v>
      </c>
      <c r="F1366">
        <v>49.969593048</v>
      </c>
      <c r="G1366">
        <v>1302.0250243999999</v>
      </c>
      <c r="H1366">
        <v>1289.5617675999999</v>
      </c>
      <c r="I1366">
        <v>1396.4022216999999</v>
      </c>
      <c r="J1366">
        <v>1376.5180664</v>
      </c>
      <c r="K1366">
        <v>0</v>
      </c>
      <c r="L1366">
        <v>2400</v>
      </c>
      <c r="M1366">
        <v>2400</v>
      </c>
      <c r="N1366">
        <v>0</v>
      </c>
    </row>
    <row r="1367" spans="1:14" x14ac:dyDescent="0.25">
      <c r="A1367">
        <v>936.95183199999997</v>
      </c>
      <c r="B1367" s="1">
        <f>DATE(2012,11,22) + TIME(22,50,38)</f>
        <v>41235.951828703706</v>
      </c>
      <c r="C1367">
        <v>80</v>
      </c>
      <c r="D1367">
        <v>77.362388611</v>
      </c>
      <c r="E1367">
        <v>50</v>
      </c>
      <c r="F1367">
        <v>49.969615935999997</v>
      </c>
      <c r="G1367">
        <v>1301.9766846</v>
      </c>
      <c r="H1367">
        <v>1289.5058594</v>
      </c>
      <c r="I1367">
        <v>1396.3409423999999</v>
      </c>
      <c r="J1367">
        <v>1376.4664307</v>
      </c>
      <c r="K1367">
        <v>0</v>
      </c>
      <c r="L1367">
        <v>2400</v>
      </c>
      <c r="M1367">
        <v>2400</v>
      </c>
      <c r="N1367">
        <v>0</v>
      </c>
    </row>
    <row r="1368" spans="1:14" x14ac:dyDescent="0.25">
      <c r="A1368">
        <v>938.08434899999997</v>
      </c>
      <c r="B1368" s="1">
        <f>DATE(2012,11,24) + TIME(2,1,27)</f>
        <v>41237.084340277775</v>
      </c>
      <c r="C1368">
        <v>80</v>
      </c>
      <c r="D1368">
        <v>77.251708984000004</v>
      </c>
      <c r="E1368">
        <v>50</v>
      </c>
      <c r="F1368">
        <v>49.969635009999998</v>
      </c>
      <c r="G1368">
        <v>1301.9268798999999</v>
      </c>
      <c r="H1368">
        <v>1289.447876</v>
      </c>
      <c r="I1368">
        <v>1396.2813721</v>
      </c>
      <c r="J1368">
        <v>1376.4161377</v>
      </c>
      <c r="K1368">
        <v>0</v>
      </c>
      <c r="L1368">
        <v>2400</v>
      </c>
      <c r="M1368">
        <v>2400</v>
      </c>
      <c r="N1368">
        <v>0</v>
      </c>
    </row>
    <row r="1369" spans="1:14" x14ac:dyDescent="0.25">
      <c r="A1369">
        <v>939.26430800000003</v>
      </c>
      <c r="B1369" s="1">
        <f>DATE(2012,11,25) + TIME(6,20,36)</f>
        <v>41238.264305555553</v>
      </c>
      <c r="C1369">
        <v>80</v>
      </c>
      <c r="D1369">
        <v>77.138595581000004</v>
      </c>
      <c r="E1369">
        <v>50</v>
      </c>
      <c r="F1369">
        <v>49.969654083000002</v>
      </c>
      <c r="G1369">
        <v>1301.875</v>
      </c>
      <c r="H1369">
        <v>1289.3874512</v>
      </c>
      <c r="I1369">
        <v>1396.2227783000001</v>
      </c>
      <c r="J1369">
        <v>1376.3666992000001</v>
      </c>
      <c r="K1369">
        <v>0</v>
      </c>
      <c r="L1369">
        <v>2400</v>
      </c>
      <c r="M1369">
        <v>2400</v>
      </c>
      <c r="N1369">
        <v>0</v>
      </c>
    </row>
    <row r="1370" spans="1:14" x14ac:dyDescent="0.25">
      <c r="A1370">
        <v>940.50618799999995</v>
      </c>
      <c r="B1370" s="1">
        <f>DATE(2012,11,26) + TIME(12,8,54)</f>
        <v>41239.506180555552</v>
      </c>
      <c r="C1370">
        <v>80</v>
      </c>
      <c r="D1370">
        <v>77.022155761999997</v>
      </c>
      <c r="E1370">
        <v>50</v>
      </c>
      <c r="F1370">
        <v>49.969676970999998</v>
      </c>
      <c r="G1370">
        <v>1301.8203125</v>
      </c>
      <c r="H1370">
        <v>1289.3234863</v>
      </c>
      <c r="I1370">
        <v>1396.1644286999999</v>
      </c>
      <c r="J1370">
        <v>1376.3176269999999</v>
      </c>
      <c r="K1370">
        <v>0</v>
      </c>
      <c r="L1370">
        <v>2400</v>
      </c>
      <c r="M1370">
        <v>2400</v>
      </c>
      <c r="N1370">
        <v>0</v>
      </c>
    </row>
    <row r="1371" spans="1:14" x14ac:dyDescent="0.25">
      <c r="A1371">
        <v>941.78251499999999</v>
      </c>
      <c r="B1371" s="1">
        <f>DATE(2012,11,27) + TIME(18,46,49)</f>
        <v>41240.782511574071</v>
      </c>
      <c r="C1371">
        <v>80</v>
      </c>
      <c r="D1371">
        <v>76.902854919000006</v>
      </c>
      <c r="E1371">
        <v>50</v>
      </c>
      <c r="F1371">
        <v>49.969699859999999</v>
      </c>
      <c r="G1371">
        <v>1301.7620850000001</v>
      </c>
      <c r="H1371">
        <v>1289.255249</v>
      </c>
      <c r="I1371">
        <v>1396.1057129000001</v>
      </c>
      <c r="J1371">
        <v>1376.2683105000001</v>
      </c>
      <c r="K1371">
        <v>0</v>
      </c>
      <c r="L1371">
        <v>2400</v>
      </c>
      <c r="M1371">
        <v>2400</v>
      </c>
      <c r="N1371">
        <v>0</v>
      </c>
    </row>
    <row r="1372" spans="1:14" x14ac:dyDescent="0.25">
      <c r="A1372">
        <v>943.10784100000001</v>
      </c>
      <c r="B1372" s="1">
        <f>DATE(2012,11,29) + TIME(2,35,17)</f>
        <v>41242.107835648145</v>
      </c>
      <c r="C1372">
        <v>80</v>
      </c>
      <c r="D1372">
        <v>76.780929564999994</v>
      </c>
      <c r="E1372">
        <v>50</v>
      </c>
      <c r="F1372">
        <v>49.969726561999998</v>
      </c>
      <c r="G1372">
        <v>1301.7014160000001</v>
      </c>
      <c r="H1372">
        <v>1289.1838379000001</v>
      </c>
      <c r="I1372">
        <v>1396.0480957</v>
      </c>
      <c r="J1372">
        <v>1376.2198486</v>
      </c>
      <c r="K1372">
        <v>0</v>
      </c>
      <c r="L1372">
        <v>2400</v>
      </c>
      <c r="M1372">
        <v>2400</v>
      </c>
      <c r="N1372">
        <v>0</v>
      </c>
    </row>
    <row r="1373" spans="1:14" x14ac:dyDescent="0.25">
      <c r="A1373">
        <v>944.500226</v>
      </c>
      <c r="B1373" s="1">
        <f>DATE(2012,11,30) + TIME(12,0,19)</f>
        <v>41243.500219907408</v>
      </c>
      <c r="C1373">
        <v>80</v>
      </c>
      <c r="D1373">
        <v>76.655632018999995</v>
      </c>
      <c r="E1373">
        <v>50</v>
      </c>
      <c r="F1373">
        <v>49.969753265000001</v>
      </c>
      <c r="G1373">
        <v>1301.6376952999999</v>
      </c>
      <c r="H1373">
        <v>1289.1083983999999</v>
      </c>
      <c r="I1373">
        <v>1395.9908447</v>
      </c>
      <c r="J1373">
        <v>1376.1717529</v>
      </c>
      <c r="K1373">
        <v>0</v>
      </c>
      <c r="L1373">
        <v>2400</v>
      </c>
      <c r="M1373">
        <v>2400</v>
      </c>
      <c r="N1373">
        <v>0</v>
      </c>
    </row>
    <row r="1374" spans="1:14" x14ac:dyDescent="0.25">
      <c r="A1374">
        <v>945</v>
      </c>
      <c r="B1374" s="1">
        <f>DATE(2012,12,1) + TIME(0,0,0)</f>
        <v>41244</v>
      </c>
      <c r="C1374">
        <v>80</v>
      </c>
      <c r="D1374">
        <v>76.580085753999995</v>
      </c>
      <c r="E1374">
        <v>50</v>
      </c>
      <c r="F1374">
        <v>49.969753265000001</v>
      </c>
      <c r="G1374">
        <v>1301.5679932</v>
      </c>
      <c r="H1374">
        <v>1289.0318603999999</v>
      </c>
      <c r="I1374">
        <v>1395.9327393000001</v>
      </c>
      <c r="J1374">
        <v>1376.1230469</v>
      </c>
      <c r="K1374">
        <v>0</v>
      </c>
      <c r="L1374">
        <v>2400</v>
      </c>
      <c r="M1374">
        <v>2400</v>
      </c>
      <c r="N1374">
        <v>0</v>
      </c>
    </row>
    <row r="1375" spans="1:14" x14ac:dyDescent="0.25">
      <c r="A1375">
        <v>946.44548399999996</v>
      </c>
      <c r="B1375" s="1">
        <f>DATE(2012,12,2) + TIME(10,41,29)</f>
        <v>41245.445474537039</v>
      </c>
      <c r="C1375">
        <v>80</v>
      </c>
      <c r="D1375">
        <v>76.470230103000006</v>
      </c>
      <c r="E1375">
        <v>50</v>
      </c>
      <c r="F1375">
        <v>49.969787598000003</v>
      </c>
      <c r="G1375">
        <v>1301.5441894999999</v>
      </c>
      <c r="H1375">
        <v>1288.9958495999999</v>
      </c>
      <c r="I1375">
        <v>1395.9132079999999</v>
      </c>
      <c r="J1375">
        <v>1376.1066894999999</v>
      </c>
      <c r="K1375">
        <v>0</v>
      </c>
      <c r="L1375">
        <v>2400</v>
      </c>
      <c r="M1375">
        <v>2400</v>
      </c>
      <c r="N1375">
        <v>0</v>
      </c>
    </row>
    <row r="1376" spans="1:14" x14ac:dyDescent="0.25">
      <c r="A1376">
        <v>947.93098099999997</v>
      </c>
      <c r="B1376" s="1">
        <f>DATE(2012,12,3) + TIME(22,20,36)</f>
        <v>41246.930972222224</v>
      </c>
      <c r="C1376">
        <v>80</v>
      </c>
      <c r="D1376">
        <v>76.346267699999999</v>
      </c>
      <c r="E1376">
        <v>50</v>
      </c>
      <c r="F1376">
        <v>49.969818115000002</v>
      </c>
      <c r="G1376">
        <v>1301.4724120999999</v>
      </c>
      <c r="H1376">
        <v>1288.9111327999999</v>
      </c>
      <c r="I1376">
        <v>1395.8569336</v>
      </c>
      <c r="J1376">
        <v>1376.0594481999999</v>
      </c>
      <c r="K1376">
        <v>0</v>
      </c>
      <c r="L1376">
        <v>2400</v>
      </c>
      <c r="M1376">
        <v>2400</v>
      </c>
      <c r="N1376">
        <v>0</v>
      </c>
    </row>
    <row r="1377" spans="1:14" x14ac:dyDescent="0.25">
      <c r="A1377">
        <v>949.46340599999996</v>
      </c>
      <c r="B1377" s="1">
        <f>DATE(2012,12,5) + TIME(11,7,18)</f>
        <v>41248.463402777779</v>
      </c>
      <c r="C1377">
        <v>80</v>
      </c>
      <c r="D1377">
        <v>76.215751647999994</v>
      </c>
      <c r="E1377">
        <v>50</v>
      </c>
      <c r="F1377">
        <v>49.969844817999999</v>
      </c>
      <c r="G1377">
        <v>1301.3968506000001</v>
      </c>
      <c r="H1377">
        <v>1288.8210449000001</v>
      </c>
      <c r="I1377">
        <v>1395.8013916</v>
      </c>
      <c r="J1377">
        <v>1376.0128173999999</v>
      </c>
      <c r="K1377">
        <v>0</v>
      </c>
      <c r="L1377">
        <v>2400</v>
      </c>
      <c r="M1377">
        <v>2400</v>
      </c>
      <c r="N1377">
        <v>0</v>
      </c>
    </row>
    <row r="1378" spans="1:14" x14ac:dyDescent="0.25">
      <c r="A1378">
        <v>951.04692399999999</v>
      </c>
      <c r="B1378" s="1">
        <f>DATE(2012,12,7) + TIME(1,7,34)</f>
        <v>41250.0469212963</v>
      </c>
      <c r="C1378">
        <v>80</v>
      </c>
      <c r="D1378">
        <v>76.081314086999996</v>
      </c>
      <c r="E1378">
        <v>50</v>
      </c>
      <c r="F1378">
        <v>49.969879149999997</v>
      </c>
      <c r="G1378">
        <v>1301.3176269999999</v>
      </c>
      <c r="H1378">
        <v>1288.7257079999999</v>
      </c>
      <c r="I1378">
        <v>1395.7464600000001</v>
      </c>
      <c r="J1378">
        <v>1375.9667969</v>
      </c>
      <c r="K1378">
        <v>0</v>
      </c>
      <c r="L1378">
        <v>2400</v>
      </c>
      <c r="M1378">
        <v>2400</v>
      </c>
      <c r="N1378">
        <v>0</v>
      </c>
    </row>
    <row r="1379" spans="1:14" x14ac:dyDescent="0.25">
      <c r="A1379">
        <v>952.70238900000004</v>
      </c>
      <c r="B1379" s="1">
        <f>DATE(2012,12,8) + TIME(16,51,26)</f>
        <v>41251.702384259261</v>
      </c>
      <c r="C1379">
        <v>80</v>
      </c>
      <c r="D1379">
        <v>75.943328856999997</v>
      </c>
      <c r="E1379">
        <v>50</v>
      </c>
      <c r="F1379">
        <v>49.969909668</v>
      </c>
      <c r="G1379">
        <v>1301.2341309000001</v>
      </c>
      <c r="H1379">
        <v>1288.6246338000001</v>
      </c>
      <c r="I1379">
        <v>1395.6920166</v>
      </c>
      <c r="J1379">
        <v>1375.9210204999999</v>
      </c>
      <c r="K1379">
        <v>0</v>
      </c>
      <c r="L1379">
        <v>2400</v>
      </c>
      <c r="M1379">
        <v>2400</v>
      </c>
      <c r="N1379">
        <v>0</v>
      </c>
    </row>
    <row r="1380" spans="1:14" x14ac:dyDescent="0.25">
      <c r="A1380">
        <v>954.44427800000005</v>
      </c>
      <c r="B1380" s="1">
        <f>DATE(2012,12,10) + TIME(10,39,45)</f>
        <v>41253.44427083333</v>
      </c>
      <c r="C1380">
        <v>80</v>
      </c>
      <c r="D1380">
        <v>75.801094054999993</v>
      </c>
      <c r="E1380">
        <v>50</v>
      </c>
      <c r="F1380">
        <v>49.969943999999998</v>
      </c>
      <c r="G1380">
        <v>1301.1451416</v>
      </c>
      <c r="H1380">
        <v>1288.5164795000001</v>
      </c>
      <c r="I1380">
        <v>1395.6373291</v>
      </c>
      <c r="J1380">
        <v>1375.8751221</v>
      </c>
      <c r="K1380">
        <v>0</v>
      </c>
      <c r="L1380">
        <v>2400</v>
      </c>
      <c r="M1380">
        <v>2400</v>
      </c>
      <c r="N1380">
        <v>0</v>
      </c>
    </row>
    <row r="1381" spans="1:14" x14ac:dyDescent="0.25">
      <c r="A1381">
        <v>956.23562000000004</v>
      </c>
      <c r="B1381" s="1">
        <f>DATE(2012,12,12) + TIME(5,39,17)</f>
        <v>41255.235613425924</v>
      </c>
      <c r="C1381">
        <v>80</v>
      </c>
      <c r="D1381">
        <v>75.655052185000002</v>
      </c>
      <c r="E1381">
        <v>50</v>
      </c>
      <c r="F1381">
        <v>49.969982147000003</v>
      </c>
      <c r="G1381">
        <v>1301.0495605000001</v>
      </c>
      <c r="H1381">
        <v>1288.3997803</v>
      </c>
      <c r="I1381">
        <v>1395.5820312000001</v>
      </c>
      <c r="J1381">
        <v>1375.8287353999999</v>
      </c>
      <c r="K1381">
        <v>0</v>
      </c>
      <c r="L1381">
        <v>2400</v>
      </c>
      <c r="M1381">
        <v>2400</v>
      </c>
      <c r="N1381">
        <v>0</v>
      </c>
    </row>
    <row r="1382" spans="1:14" x14ac:dyDescent="0.25">
      <c r="A1382">
        <v>958.05477900000005</v>
      </c>
      <c r="B1382" s="1">
        <f>DATE(2012,12,14) + TIME(1,18,52)</f>
        <v>41257.054768518516</v>
      </c>
      <c r="C1382">
        <v>80</v>
      </c>
      <c r="D1382">
        <v>75.507080078000001</v>
      </c>
      <c r="E1382">
        <v>50</v>
      </c>
      <c r="F1382">
        <v>49.970020294000001</v>
      </c>
      <c r="G1382">
        <v>1300.9489745999999</v>
      </c>
      <c r="H1382">
        <v>1288.2764893000001</v>
      </c>
      <c r="I1382">
        <v>1395.5274658000001</v>
      </c>
      <c r="J1382">
        <v>1375.7828368999999</v>
      </c>
      <c r="K1382">
        <v>0</v>
      </c>
      <c r="L1382">
        <v>2400</v>
      </c>
      <c r="M1382">
        <v>2400</v>
      </c>
      <c r="N1382">
        <v>0</v>
      </c>
    </row>
    <row r="1383" spans="1:14" x14ac:dyDescent="0.25">
      <c r="A1383">
        <v>959.92150200000003</v>
      </c>
      <c r="B1383" s="1">
        <f>DATE(2012,12,15) + TIME(22,6,57)</f>
        <v>41258.921493055554</v>
      </c>
      <c r="C1383">
        <v>80</v>
      </c>
      <c r="D1383">
        <v>75.357933044000006</v>
      </c>
      <c r="E1383">
        <v>50</v>
      </c>
      <c r="F1383">
        <v>49.970058440999999</v>
      </c>
      <c r="G1383">
        <v>1300.8444824000001</v>
      </c>
      <c r="H1383">
        <v>1288.1474608999999</v>
      </c>
      <c r="I1383">
        <v>1395.4741211</v>
      </c>
      <c r="J1383">
        <v>1375.7381591999999</v>
      </c>
      <c r="K1383">
        <v>0</v>
      </c>
      <c r="L1383">
        <v>2400</v>
      </c>
      <c r="M1383">
        <v>2400</v>
      </c>
      <c r="N1383">
        <v>0</v>
      </c>
    </row>
    <row r="1384" spans="1:14" x14ac:dyDescent="0.25">
      <c r="A1384">
        <v>961.84239600000001</v>
      </c>
      <c r="B1384" s="1">
        <f>DATE(2012,12,17) + TIME(20,13,3)</f>
        <v>41260.842395833337</v>
      </c>
      <c r="C1384">
        <v>80</v>
      </c>
      <c r="D1384">
        <v>75.207160950000002</v>
      </c>
      <c r="E1384">
        <v>50</v>
      </c>
      <c r="F1384">
        <v>49.970096587999997</v>
      </c>
      <c r="G1384">
        <v>1300.7348632999999</v>
      </c>
      <c r="H1384">
        <v>1288.0113524999999</v>
      </c>
      <c r="I1384">
        <v>1395.4215088000001</v>
      </c>
      <c r="J1384">
        <v>1375.6938477000001</v>
      </c>
      <c r="K1384">
        <v>0</v>
      </c>
      <c r="L1384">
        <v>2400</v>
      </c>
      <c r="M1384">
        <v>2400</v>
      </c>
      <c r="N1384">
        <v>0</v>
      </c>
    </row>
    <row r="1385" spans="1:14" x14ac:dyDescent="0.25">
      <c r="A1385">
        <v>963.79619700000001</v>
      </c>
      <c r="B1385" s="1">
        <f>DATE(2012,12,19) + TIME(19,6,31)</f>
        <v>41262.79619212963</v>
      </c>
      <c r="C1385">
        <v>80</v>
      </c>
      <c r="D1385">
        <v>75.054985045999999</v>
      </c>
      <c r="E1385">
        <v>50</v>
      </c>
      <c r="F1385">
        <v>49.970138550000001</v>
      </c>
      <c r="G1385">
        <v>1300.6192627</v>
      </c>
      <c r="H1385">
        <v>1287.8673096</v>
      </c>
      <c r="I1385">
        <v>1395.3692627</v>
      </c>
      <c r="J1385">
        <v>1375.6500243999999</v>
      </c>
      <c r="K1385">
        <v>0</v>
      </c>
      <c r="L1385">
        <v>2400</v>
      </c>
      <c r="M1385">
        <v>2400</v>
      </c>
      <c r="N1385">
        <v>0</v>
      </c>
    </row>
    <row r="1386" spans="1:14" x14ac:dyDescent="0.25">
      <c r="A1386">
        <v>965.78658499999995</v>
      </c>
      <c r="B1386" s="1">
        <f>DATE(2012,12,21) + TIME(18,52,40)</f>
        <v>41264.786574074074</v>
      </c>
      <c r="C1386">
        <v>80</v>
      </c>
      <c r="D1386">
        <v>74.901977539000001</v>
      </c>
      <c r="E1386">
        <v>50</v>
      </c>
      <c r="F1386">
        <v>49.970180511000002</v>
      </c>
      <c r="G1386">
        <v>1300.4989014</v>
      </c>
      <c r="H1386">
        <v>1287.7164307</v>
      </c>
      <c r="I1386">
        <v>1395.3182373</v>
      </c>
      <c r="J1386">
        <v>1375.6069336</v>
      </c>
      <c r="K1386">
        <v>0</v>
      </c>
      <c r="L1386">
        <v>2400</v>
      </c>
      <c r="M1386">
        <v>2400</v>
      </c>
      <c r="N1386">
        <v>0</v>
      </c>
    </row>
    <row r="1387" spans="1:14" x14ac:dyDescent="0.25">
      <c r="A1387">
        <v>967.80940899999996</v>
      </c>
      <c r="B1387" s="1">
        <f>DATE(2012,12,23) + TIME(19,25,32)</f>
        <v>41266.809398148151</v>
      </c>
      <c r="C1387">
        <v>80</v>
      </c>
      <c r="D1387">
        <v>74.748275757000002</v>
      </c>
      <c r="E1387">
        <v>50</v>
      </c>
      <c r="F1387">
        <v>49.970222473</v>
      </c>
      <c r="G1387">
        <v>1300.3732910000001</v>
      </c>
      <c r="H1387">
        <v>1287.5579834</v>
      </c>
      <c r="I1387">
        <v>1395.2679443</v>
      </c>
      <c r="J1387">
        <v>1375.5645752</v>
      </c>
      <c r="K1387">
        <v>0</v>
      </c>
      <c r="L1387">
        <v>2400</v>
      </c>
      <c r="M1387">
        <v>2400</v>
      </c>
      <c r="N1387">
        <v>0</v>
      </c>
    </row>
    <row r="1388" spans="1:14" x14ac:dyDescent="0.25">
      <c r="A1388">
        <v>969.853208</v>
      </c>
      <c r="B1388" s="1">
        <f>DATE(2012,12,25) + TIME(20,28,37)</f>
        <v>41268.853206018517</v>
      </c>
      <c r="C1388">
        <v>80</v>
      </c>
      <c r="D1388">
        <v>74.594306946000003</v>
      </c>
      <c r="E1388">
        <v>50</v>
      </c>
      <c r="F1388">
        <v>49.970264434999997</v>
      </c>
      <c r="G1388">
        <v>1300.2424315999999</v>
      </c>
      <c r="H1388">
        <v>1287.3923339999999</v>
      </c>
      <c r="I1388">
        <v>1395.2186279</v>
      </c>
      <c r="J1388">
        <v>1375.5230713000001</v>
      </c>
      <c r="K1388">
        <v>0</v>
      </c>
      <c r="L1388">
        <v>2400</v>
      </c>
      <c r="M1388">
        <v>2400</v>
      </c>
      <c r="N1388">
        <v>0</v>
      </c>
    </row>
    <row r="1389" spans="1:14" x14ac:dyDescent="0.25">
      <c r="A1389">
        <v>971.92222800000002</v>
      </c>
      <c r="B1389" s="1">
        <f>DATE(2012,12,27) + TIME(22,8,0)</f>
        <v>41270.922222222223</v>
      </c>
      <c r="C1389">
        <v>80</v>
      </c>
      <c r="D1389">
        <v>74.440376282000003</v>
      </c>
      <c r="E1389">
        <v>50</v>
      </c>
      <c r="F1389">
        <v>49.970306395999998</v>
      </c>
      <c r="G1389">
        <v>1300.1068115</v>
      </c>
      <c r="H1389">
        <v>1287.2197266000001</v>
      </c>
      <c r="I1389">
        <v>1395.1705322</v>
      </c>
      <c r="J1389">
        <v>1375.4824219</v>
      </c>
      <c r="K1389">
        <v>0</v>
      </c>
      <c r="L1389">
        <v>2400</v>
      </c>
      <c r="M1389">
        <v>2400</v>
      </c>
      <c r="N1389">
        <v>0</v>
      </c>
    </row>
    <row r="1390" spans="1:14" x14ac:dyDescent="0.25">
      <c r="A1390">
        <v>974.02079000000003</v>
      </c>
      <c r="B1390" s="1">
        <f>DATE(2012,12,30) + TIME(0,29,56)</f>
        <v>41273.020787037036</v>
      </c>
      <c r="C1390">
        <v>80</v>
      </c>
      <c r="D1390">
        <v>74.286300659000005</v>
      </c>
      <c r="E1390">
        <v>50</v>
      </c>
      <c r="F1390">
        <v>49.970352173000002</v>
      </c>
      <c r="G1390">
        <v>1299.9663086</v>
      </c>
      <c r="H1390">
        <v>1287.0399170000001</v>
      </c>
      <c r="I1390">
        <v>1395.1232910000001</v>
      </c>
      <c r="J1390">
        <v>1375.4426269999999</v>
      </c>
      <c r="K1390">
        <v>0</v>
      </c>
      <c r="L1390">
        <v>2400</v>
      </c>
      <c r="M1390">
        <v>2400</v>
      </c>
      <c r="N1390">
        <v>0</v>
      </c>
    </row>
    <row r="1391" spans="1:14" x14ac:dyDescent="0.25">
      <c r="A1391">
        <v>976</v>
      </c>
      <c r="B1391" s="1">
        <f>DATE(2013,1,1) + TIME(0,0,0)</f>
        <v>41275</v>
      </c>
      <c r="C1391">
        <v>80</v>
      </c>
      <c r="D1391">
        <v>74.135101317999997</v>
      </c>
      <c r="E1391">
        <v>50</v>
      </c>
      <c r="F1391">
        <v>49.970394134999999</v>
      </c>
      <c r="G1391">
        <v>1299.8203125</v>
      </c>
      <c r="H1391">
        <v>1286.8529053</v>
      </c>
      <c r="I1391">
        <v>1395.0769043</v>
      </c>
      <c r="J1391">
        <v>1375.4034423999999</v>
      </c>
      <c r="K1391">
        <v>0</v>
      </c>
      <c r="L1391">
        <v>2400</v>
      </c>
      <c r="M1391">
        <v>2400</v>
      </c>
      <c r="N1391">
        <v>0</v>
      </c>
    </row>
    <row r="1392" spans="1:14" x14ac:dyDescent="0.25">
      <c r="A1392">
        <v>978.13042700000005</v>
      </c>
      <c r="B1392" s="1">
        <f>DATE(2013,1,3) + TIME(3,7,48)</f>
        <v>41277.130416666667</v>
      </c>
      <c r="C1392">
        <v>80</v>
      </c>
      <c r="D1392">
        <v>73.985954285000005</v>
      </c>
      <c r="E1392">
        <v>50</v>
      </c>
      <c r="F1392">
        <v>49.970439911</v>
      </c>
      <c r="G1392">
        <v>1299.6784668</v>
      </c>
      <c r="H1392">
        <v>1286.6687012</v>
      </c>
      <c r="I1392">
        <v>1395.034668</v>
      </c>
      <c r="J1392">
        <v>1375.3676757999999</v>
      </c>
      <c r="K1392">
        <v>0</v>
      </c>
      <c r="L1392">
        <v>2400</v>
      </c>
      <c r="M1392">
        <v>2400</v>
      </c>
      <c r="N1392">
        <v>0</v>
      </c>
    </row>
    <row r="1393" spans="1:14" x14ac:dyDescent="0.25">
      <c r="A1393">
        <v>980.30349000000001</v>
      </c>
      <c r="B1393" s="1">
        <f>DATE(2013,1,5) + TIME(7,17,1)</f>
        <v>41279.303483796299</v>
      </c>
      <c r="C1393">
        <v>80</v>
      </c>
      <c r="D1393">
        <v>73.832992554</v>
      </c>
      <c r="E1393">
        <v>50</v>
      </c>
      <c r="F1393">
        <v>49.970485687</v>
      </c>
      <c r="G1393">
        <v>1299.5234375</v>
      </c>
      <c r="H1393">
        <v>1286.4680175999999</v>
      </c>
      <c r="I1393">
        <v>1394.9904785000001</v>
      </c>
      <c r="J1393">
        <v>1375.3302002</v>
      </c>
      <c r="K1393">
        <v>0</v>
      </c>
      <c r="L1393">
        <v>2400</v>
      </c>
      <c r="M1393">
        <v>2400</v>
      </c>
      <c r="N1393">
        <v>0</v>
      </c>
    </row>
    <row r="1394" spans="1:14" x14ac:dyDescent="0.25">
      <c r="A1394">
        <v>982.50566900000001</v>
      </c>
      <c r="B1394" s="1">
        <f>DATE(2013,1,7) + TIME(12,8,9)</f>
        <v>41281.505659722221</v>
      </c>
      <c r="C1394">
        <v>80</v>
      </c>
      <c r="D1394">
        <v>73.677909850999995</v>
      </c>
      <c r="E1394">
        <v>50</v>
      </c>
      <c r="F1394">
        <v>49.970535278</v>
      </c>
      <c r="G1394">
        <v>1299.3614502</v>
      </c>
      <c r="H1394">
        <v>1286.2570800999999</v>
      </c>
      <c r="I1394">
        <v>1394.9465332</v>
      </c>
      <c r="J1394">
        <v>1375.2929687999999</v>
      </c>
      <c r="K1394">
        <v>0</v>
      </c>
      <c r="L1394">
        <v>2400</v>
      </c>
      <c r="M1394">
        <v>2400</v>
      </c>
      <c r="N1394">
        <v>0</v>
      </c>
    </row>
    <row r="1395" spans="1:14" x14ac:dyDescent="0.25">
      <c r="A1395">
        <v>984.74171200000001</v>
      </c>
      <c r="B1395" s="1">
        <f>DATE(2013,1,9) + TIME(17,48,3)</f>
        <v>41283.741701388892</v>
      </c>
      <c r="C1395">
        <v>80</v>
      </c>
      <c r="D1395">
        <v>73.521438599000007</v>
      </c>
      <c r="E1395">
        <v>50</v>
      </c>
      <c r="F1395">
        <v>49.970581054999997</v>
      </c>
      <c r="G1395">
        <v>1299.1932373</v>
      </c>
      <c r="H1395">
        <v>1286.0371094</v>
      </c>
      <c r="I1395">
        <v>1394.9034423999999</v>
      </c>
      <c r="J1395">
        <v>1375.2563477000001</v>
      </c>
      <c r="K1395">
        <v>0</v>
      </c>
      <c r="L1395">
        <v>2400</v>
      </c>
      <c r="M1395">
        <v>2400</v>
      </c>
      <c r="N1395">
        <v>0</v>
      </c>
    </row>
    <row r="1396" spans="1:14" x14ac:dyDescent="0.25">
      <c r="A1396">
        <v>987.01603899999998</v>
      </c>
      <c r="B1396" s="1">
        <f>DATE(2013,1,12) + TIME(0,23,5)</f>
        <v>41286.016030092593</v>
      </c>
      <c r="C1396">
        <v>80</v>
      </c>
      <c r="D1396">
        <v>73.363418578999998</v>
      </c>
      <c r="E1396">
        <v>50</v>
      </c>
      <c r="F1396">
        <v>49.970630645999996</v>
      </c>
      <c r="G1396">
        <v>1299.0184326000001</v>
      </c>
      <c r="H1396">
        <v>1285.8076172000001</v>
      </c>
      <c r="I1396">
        <v>1394.8608397999999</v>
      </c>
      <c r="J1396">
        <v>1375.2202147999999</v>
      </c>
      <c r="K1396">
        <v>0</v>
      </c>
      <c r="L1396">
        <v>2400</v>
      </c>
      <c r="M1396">
        <v>2400</v>
      </c>
      <c r="N1396">
        <v>0</v>
      </c>
    </row>
    <row r="1397" spans="1:14" x14ac:dyDescent="0.25">
      <c r="A1397">
        <v>989.33280600000001</v>
      </c>
      <c r="B1397" s="1">
        <f>DATE(2013,1,14) + TIME(7,59,14)</f>
        <v>41288.332800925928</v>
      </c>
      <c r="C1397">
        <v>80</v>
      </c>
      <c r="D1397">
        <v>73.203483582000004</v>
      </c>
      <c r="E1397">
        <v>50</v>
      </c>
      <c r="F1397">
        <v>49.970680237000003</v>
      </c>
      <c r="G1397">
        <v>1298.8365478999999</v>
      </c>
      <c r="H1397">
        <v>1285.567749</v>
      </c>
      <c r="I1397">
        <v>1394.8187256000001</v>
      </c>
      <c r="J1397">
        <v>1375.1843262</v>
      </c>
      <c r="K1397">
        <v>0</v>
      </c>
      <c r="L1397">
        <v>2400</v>
      </c>
      <c r="M1397">
        <v>2400</v>
      </c>
      <c r="N1397">
        <v>0</v>
      </c>
    </row>
    <row r="1398" spans="1:14" x14ac:dyDescent="0.25">
      <c r="A1398">
        <v>991.68088699999998</v>
      </c>
      <c r="B1398" s="1">
        <f>DATE(2013,1,16) + TIME(16,20,28)</f>
        <v>41290.680879629632</v>
      </c>
      <c r="C1398">
        <v>80</v>
      </c>
      <c r="D1398">
        <v>73.041442871000001</v>
      </c>
      <c r="E1398">
        <v>50</v>
      </c>
      <c r="F1398">
        <v>49.970729828000003</v>
      </c>
      <c r="G1398">
        <v>1298.6470947</v>
      </c>
      <c r="H1398">
        <v>1285.3168945</v>
      </c>
      <c r="I1398">
        <v>1394.7769774999999</v>
      </c>
      <c r="J1398">
        <v>1375.1488036999999</v>
      </c>
      <c r="K1398">
        <v>0</v>
      </c>
      <c r="L1398">
        <v>2400</v>
      </c>
      <c r="M1398">
        <v>2400</v>
      </c>
      <c r="N1398">
        <v>0</v>
      </c>
    </row>
    <row r="1399" spans="1:14" x14ac:dyDescent="0.25">
      <c r="A1399">
        <v>994.05570299999999</v>
      </c>
      <c r="B1399" s="1">
        <f>DATE(2013,1,19) + TIME(1,20,12)</f>
        <v>41293.055694444447</v>
      </c>
      <c r="C1399">
        <v>80</v>
      </c>
      <c r="D1399">
        <v>72.877532959000007</v>
      </c>
      <c r="E1399">
        <v>50</v>
      </c>
      <c r="F1399">
        <v>49.970779419000003</v>
      </c>
      <c r="G1399">
        <v>1298.4506836</v>
      </c>
      <c r="H1399">
        <v>1285.0559082</v>
      </c>
      <c r="I1399">
        <v>1394.7358397999999</v>
      </c>
      <c r="J1399">
        <v>1375.1136475000001</v>
      </c>
      <c r="K1399">
        <v>0</v>
      </c>
      <c r="L1399">
        <v>2400</v>
      </c>
      <c r="M1399">
        <v>2400</v>
      </c>
      <c r="N1399">
        <v>0</v>
      </c>
    </row>
    <row r="1400" spans="1:14" x14ac:dyDescent="0.25">
      <c r="A1400">
        <v>996.45830999999998</v>
      </c>
      <c r="B1400" s="1">
        <f>DATE(2013,1,21) + TIME(10,59,57)</f>
        <v>41295.458298611113</v>
      </c>
      <c r="C1400">
        <v>80</v>
      </c>
      <c r="D1400">
        <v>72.711746215999995</v>
      </c>
      <c r="E1400">
        <v>50</v>
      </c>
      <c r="F1400">
        <v>49.970832825000002</v>
      </c>
      <c r="G1400">
        <v>1298.2475586</v>
      </c>
      <c r="H1400">
        <v>1284.7849120999999</v>
      </c>
      <c r="I1400">
        <v>1394.6951904</v>
      </c>
      <c r="J1400">
        <v>1375.0789795000001</v>
      </c>
      <c r="K1400">
        <v>0</v>
      </c>
      <c r="L1400">
        <v>2400</v>
      </c>
      <c r="M1400">
        <v>2400</v>
      </c>
      <c r="N1400">
        <v>0</v>
      </c>
    </row>
    <row r="1401" spans="1:14" x14ac:dyDescent="0.25">
      <c r="A1401">
        <v>998.89351699999997</v>
      </c>
      <c r="B1401" s="1">
        <f>DATE(2013,1,23) + TIME(21,26,39)</f>
        <v>41297.893506944441</v>
      </c>
      <c r="C1401">
        <v>80</v>
      </c>
      <c r="D1401">
        <v>72.543762207</v>
      </c>
      <c r="E1401">
        <v>50</v>
      </c>
      <c r="F1401">
        <v>49.970882416000002</v>
      </c>
      <c r="G1401">
        <v>1298.0375977000001</v>
      </c>
      <c r="H1401">
        <v>1284.5036620999999</v>
      </c>
      <c r="I1401">
        <v>1394.6551514</v>
      </c>
      <c r="J1401">
        <v>1375.0447998</v>
      </c>
      <c r="K1401">
        <v>0</v>
      </c>
      <c r="L1401">
        <v>2400</v>
      </c>
      <c r="M1401">
        <v>2400</v>
      </c>
      <c r="N1401">
        <v>0</v>
      </c>
    </row>
    <row r="1402" spans="1:14" x14ac:dyDescent="0.25">
      <c r="A1402">
        <v>1001.358842</v>
      </c>
      <c r="B1402" s="1">
        <f>DATE(2013,1,26) + TIME(8,36,43)</f>
        <v>41300.358831018515</v>
      </c>
      <c r="C1402">
        <v>80</v>
      </c>
      <c r="D1402">
        <v>72.373153686999999</v>
      </c>
      <c r="E1402">
        <v>50</v>
      </c>
      <c r="F1402">
        <v>49.970935822000001</v>
      </c>
      <c r="G1402">
        <v>1297.8203125</v>
      </c>
      <c r="H1402">
        <v>1284.2115478999999</v>
      </c>
      <c r="I1402">
        <v>1394.6154785000001</v>
      </c>
      <c r="J1402">
        <v>1375.0108643000001</v>
      </c>
      <c r="K1402">
        <v>0</v>
      </c>
      <c r="L1402">
        <v>2400</v>
      </c>
      <c r="M1402">
        <v>2400</v>
      </c>
      <c r="N1402">
        <v>0</v>
      </c>
    </row>
    <row r="1403" spans="1:14" x14ac:dyDescent="0.25">
      <c r="A1403">
        <v>1003.857585</v>
      </c>
      <c r="B1403" s="1">
        <f>DATE(2013,1,28) + TIME(20,34,55)</f>
        <v>41302.857581018521</v>
      </c>
      <c r="C1403">
        <v>80</v>
      </c>
      <c r="D1403">
        <v>72.199592589999995</v>
      </c>
      <c r="E1403">
        <v>50</v>
      </c>
      <c r="F1403">
        <v>49.970989226999997</v>
      </c>
      <c r="G1403">
        <v>1297.5957031</v>
      </c>
      <c r="H1403">
        <v>1283.9086914</v>
      </c>
      <c r="I1403">
        <v>1394.5764160000001</v>
      </c>
      <c r="J1403">
        <v>1374.9772949000001</v>
      </c>
      <c r="K1403">
        <v>0</v>
      </c>
      <c r="L1403">
        <v>2400</v>
      </c>
      <c r="M1403">
        <v>2400</v>
      </c>
      <c r="N1403">
        <v>0</v>
      </c>
    </row>
    <row r="1404" spans="1:14" x14ac:dyDescent="0.25">
      <c r="A1404">
        <v>1006.394691</v>
      </c>
      <c r="B1404" s="1">
        <f>DATE(2013,1,31) + TIME(9,28,21)</f>
        <v>41305.394687499997</v>
      </c>
      <c r="C1404">
        <v>80</v>
      </c>
      <c r="D1404">
        <v>72.022514342999997</v>
      </c>
      <c r="E1404">
        <v>50</v>
      </c>
      <c r="F1404">
        <v>49.971042633000003</v>
      </c>
      <c r="G1404">
        <v>1297.3635254000001</v>
      </c>
      <c r="H1404">
        <v>1283.5943603999999</v>
      </c>
      <c r="I1404">
        <v>1394.5375977000001</v>
      </c>
      <c r="J1404">
        <v>1374.9439697</v>
      </c>
      <c r="K1404">
        <v>0</v>
      </c>
      <c r="L1404">
        <v>2400</v>
      </c>
      <c r="M1404">
        <v>2400</v>
      </c>
      <c r="N1404">
        <v>0</v>
      </c>
    </row>
    <row r="1405" spans="1:14" x14ac:dyDescent="0.25">
      <c r="A1405">
        <v>1007</v>
      </c>
      <c r="B1405" s="1">
        <f>DATE(2013,2,1) + TIME(0,0,0)</f>
        <v>41306</v>
      </c>
      <c r="C1405">
        <v>80</v>
      </c>
      <c r="D1405">
        <v>71.921432495000005</v>
      </c>
      <c r="E1405">
        <v>50</v>
      </c>
      <c r="F1405">
        <v>49.971050261999999</v>
      </c>
      <c r="G1405">
        <v>1297.1367187999999</v>
      </c>
      <c r="H1405">
        <v>1283.3041992000001</v>
      </c>
      <c r="I1405">
        <v>1394.4981689000001</v>
      </c>
      <c r="J1405">
        <v>1374.9100341999999</v>
      </c>
      <c r="K1405">
        <v>0</v>
      </c>
      <c r="L1405">
        <v>2400</v>
      </c>
      <c r="M1405">
        <v>2400</v>
      </c>
      <c r="N1405">
        <v>0</v>
      </c>
    </row>
    <row r="1406" spans="1:14" x14ac:dyDescent="0.25">
      <c r="A1406">
        <v>1009.580441</v>
      </c>
      <c r="B1406" s="1">
        <f>DATE(2013,2,3) + TIME(13,55,50)</f>
        <v>41308.580439814818</v>
      </c>
      <c r="C1406">
        <v>80</v>
      </c>
      <c r="D1406">
        <v>71.783409118999998</v>
      </c>
      <c r="E1406">
        <v>50</v>
      </c>
      <c r="F1406">
        <v>49.971107482999997</v>
      </c>
      <c r="G1406">
        <v>1297.0543213000001</v>
      </c>
      <c r="H1406">
        <v>1283.1685791</v>
      </c>
      <c r="I1406">
        <v>1394.4901123</v>
      </c>
      <c r="J1406">
        <v>1374.9030762</v>
      </c>
      <c r="K1406">
        <v>0</v>
      </c>
      <c r="L1406">
        <v>2400</v>
      </c>
      <c r="M1406">
        <v>2400</v>
      </c>
      <c r="N1406">
        <v>0</v>
      </c>
    </row>
    <row r="1407" spans="1:14" x14ac:dyDescent="0.25">
      <c r="A1407">
        <v>1012.207014</v>
      </c>
      <c r="B1407" s="1">
        <f>DATE(2013,2,6) + TIME(4,58,6)</f>
        <v>41311.207013888888</v>
      </c>
      <c r="C1407">
        <v>80</v>
      </c>
      <c r="D1407">
        <v>71.607284546000002</v>
      </c>
      <c r="E1407">
        <v>50</v>
      </c>
      <c r="F1407">
        <v>49.971164702999999</v>
      </c>
      <c r="G1407">
        <v>1296.8121338000001</v>
      </c>
      <c r="H1407">
        <v>1282.8422852000001</v>
      </c>
      <c r="I1407">
        <v>1394.4520264</v>
      </c>
      <c r="J1407">
        <v>1374.8703613</v>
      </c>
      <c r="K1407">
        <v>0</v>
      </c>
      <c r="L1407">
        <v>2400</v>
      </c>
      <c r="M1407">
        <v>2400</v>
      </c>
      <c r="N1407">
        <v>0</v>
      </c>
    </row>
    <row r="1408" spans="1:14" x14ac:dyDescent="0.25">
      <c r="A1408">
        <v>1014.860761</v>
      </c>
      <c r="B1408" s="1">
        <f>DATE(2013,2,8) + TIME(20,39,29)</f>
        <v>41313.860752314817</v>
      </c>
      <c r="C1408">
        <v>80</v>
      </c>
      <c r="D1408">
        <v>71.417686462000006</v>
      </c>
      <c r="E1408">
        <v>50</v>
      </c>
      <c r="F1408">
        <v>49.971218108999999</v>
      </c>
      <c r="G1408">
        <v>1296.5546875</v>
      </c>
      <c r="H1408">
        <v>1282.4910889</v>
      </c>
      <c r="I1408">
        <v>1394.4139404</v>
      </c>
      <c r="J1408">
        <v>1374.8376464999999</v>
      </c>
      <c r="K1408">
        <v>0</v>
      </c>
      <c r="L1408">
        <v>2400</v>
      </c>
      <c r="M1408">
        <v>2400</v>
      </c>
      <c r="N1408">
        <v>0</v>
      </c>
    </row>
    <row r="1409" spans="1:14" x14ac:dyDescent="0.25">
      <c r="A1409">
        <v>1017.542428</v>
      </c>
      <c r="B1409" s="1">
        <f>DATE(2013,2,11) + TIME(13,1,5)</f>
        <v>41316.54241898148</v>
      </c>
      <c r="C1409">
        <v>80</v>
      </c>
      <c r="D1409">
        <v>71.221000670999999</v>
      </c>
      <c r="E1409">
        <v>50</v>
      </c>
      <c r="F1409">
        <v>49.971275329999997</v>
      </c>
      <c r="G1409">
        <v>1296.2882079999999</v>
      </c>
      <c r="H1409">
        <v>1282.1254882999999</v>
      </c>
      <c r="I1409">
        <v>1394.3763428</v>
      </c>
      <c r="J1409">
        <v>1374.8051757999999</v>
      </c>
      <c r="K1409">
        <v>0</v>
      </c>
      <c r="L1409">
        <v>2400</v>
      </c>
      <c r="M1409">
        <v>2400</v>
      </c>
      <c r="N1409">
        <v>0</v>
      </c>
    </row>
    <row r="1410" spans="1:14" x14ac:dyDescent="0.25">
      <c r="A1410">
        <v>1020.256895</v>
      </c>
      <c r="B1410" s="1">
        <f>DATE(2013,2,14) + TIME(6,9,55)</f>
        <v>41319.256886574076</v>
      </c>
      <c r="C1410">
        <v>80</v>
      </c>
      <c r="D1410">
        <v>71.018280028999996</v>
      </c>
      <c r="E1410">
        <v>50</v>
      </c>
      <c r="F1410">
        <v>49.97133255</v>
      </c>
      <c r="G1410">
        <v>1296.0137939000001</v>
      </c>
      <c r="H1410">
        <v>1281.7475586</v>
      </c>
      <c r="I1410">
        <v>1394.3389893000001</v>
      </c>
      <c r="J1410">
        <v>1374.7729492000001</v>
      </c>
      <c r="K1410">
        <v>0</v>
      </c>
      <c r="L1410">
        <v>2400</v>
      </c>
      <c r="M1410">
        <v>2400</v>
      </c>
      <c r="N1410">
        <v>0</v>
      </c>
    </row>
    <row r="1411" spans="1:14" x14ac:dyDescent="0.25">
      <c r="A1411">
        <v>1023.009546</v>
      </c>
      <c r="B1411" s="1">
        <f>DATE(2013,2,17) + TIME(0,13,44)</f>
        <v>41322.00953703704</v>
      </c>
      <c r="C1411">
        <v>80</v>
      </c>
      <c r="D1411">
        <v>70.809074401999993</v>
      </c>
      <c r="E1411">
        <v>50</v>
      </c>
      <c r="F1411">
        <v>49.971389770999998</v>
      </c>
      <c r="G1411">
        <v>1295.7314452999999</v>
      </c>
      <c r="H1411">
        <v>1281.3571777</v>
      </c>
      <c r="I1411">
        <v>1394.3020019999999</v>
      </c>
      <c r="J1411">
        <v>1374.7408447</v>
      </c>
      <c r="K1411">
        <v>0</v>
      </c>
      <c r="L1411">
        <v>2400</v>
      </c>
      <c r="M1411">
        <v>2400</v>
      </c>
      <c r="N1411">
        <v>0</v>
      </c>
    </row>
    <row r="1412" spans="1:14" x14ac:dyDescent="0.25">
      <c r="A1412">
        <v>1025.805754</v>
      </c>
      <c r="B1412" s="1">
        <f>DATE(2013,2,19) + TIME(19,20,17)</f>
        <v>41324.805752314816</v>
      </c>
      <c r="C1412">
        <v>80</v>
      </c>
      <c r="D1412">
        <v>70.592514038000004</v>
      </c>
      <c r="E1412">
        <v>50</v>
      </c>
      <c r="F1412">
        <v>49.971446991000001</v>
      </c>
      <c r="G1412">
        <v>1295.4404297000001</v>
      </c>
      <c r="H1412">
        <v>1280.9538574000001</v>
      </c>
      <c r="I1412">
        <v>1394.2651367000001</v>
      </c>
      <c r="J1412">
        <v>1374.7088623</v>
      </c>
      <c r="K1412">
        <v>0</v>
      </c>
      <c r="L1412">
        <v>2400</v>
      </c>
      <c r="M1412">
        <v>2400</v>
      </c>
      <c r="N1412">
        <v>0</v>
      </c>
    </row>
    <row r="1413" spans="1:14" x14ac:dyDescent="0.25">
      <c r="A1413">
        <v>1028.6257519999999</v>
      </c>
      <c r="B1413" s="1">
        <f>DATE(2013,2,22) + TIME(15,1,4)</f>
        <v>41327.625740740739</v>
      </c>
      <c r="C1413">
        <v>80</v>
      </c>
      <c r="D1413">
        <v>70.368011475000003</v>
      </c>
      <c r="E1413">
        <v>50</v>
      </c>
      <c r="F1413">
        <v>49.971504211000003</v>
      </c>
      <c r="G1413">
        <v>1295.1405029</v>
      </c>
      <c r="H1413">
        <v>1280.5367432</v>
      </c>
      <c r="I1413">
        <v>1394.2282714999999</v>
      </c>
      <c r="J1413">
        <v>1374.6768798999999</v>
      </c>
      <c r="K1413">
        <v>0</v>
      </c>
      <c r="L1413">
        <v>2400</v>
      </c>
      <c r="M1413">
        <v>2400</v>
      </c>
      <c r="N1413">
        <v>0</v>
      </c>
    </row>
    <row r="1414" spans="1:14" x14ac:dyDescent="0.25">
      <c r="A1414">
        <v>1031.4743840000001</v>
      </c>
      <c r="B1414" s="1">
        <f>DATE(2013,2,25) + TIME(11,23,6)</f>
        <v>41330.474374999998</v>
      </c>
      <c r="C1414">
        <v>80</v>
      </c>
      <c r="D1414">
        <v>70.135795592999997</v>
      </c>
      <c r="E1414">
        <v>50</v>
      </c>
      <c r="F1414">
        <v>49.971561432000001</v>
      </c>
      <c r="G1414">
        <v>1294.833374</v>
      </c>
      <c r="H1414">
        <v>1280.1081543</v>
      </c>
      <c r="I1414">
        <v>1394.1916504000001</v>
      </c>
      <c r="J1414">
        <v>1374.6451416</v>
      </c>
      <c r="K1414">
        <v>0</v>
      </c>
      <c r="L1414">
        <v>2400</v>
      </c>
      <c r="M1414">
        <v>2400</v>
      </c>
      <c r="N1414">
        <v>0</v>
      </c>
    </row>
    <row r="1415" spans="1:14" x14ac:dyDescent="0.25">
      <c r="A1415">
        <v>1034.3575499999999</v>
      </c>
      <c r="B1415" s="1">
        <f>DATE(2013,2,28) + TIME(8,34,52)</f>
        <v>41333.357546296298</v>
      </c>
      <c r="C1415">
        <v>80</v>
      </c>
      <c r="D1415">
        <v>69.895195006999998</v>
      </c>
      <c r="E1415">
        <v>50</v>
      </c>
      <c r="F1415">
        <v>49.971618651999997</v>
      </c>
      <c r="G1415">
        <v>1294.5186768000001</v>
      </c>
      <c r="H1415">
        <v>1279.6676024999999</v>
      </c>
      <c r="I1415">
        <v>1394.1552733999999</v>
      </c>
      <c r="J1415">
        <v>1374.6134033000001</v>
      </c>
      <c r="K1415">
        <v>0</v>
      </c>
      <c r="L1415">
        <v>2400</v>
      </c>
      <c r="M1415">
        <v>2400</v>
      </c>
      <c r="N1415">
        <v>0</v>
      </c>
    </row>
    <row r="1416" spans="1:14" x14ac:dyDescent="0.25">
      <c r="A1416">
        <v>1035</v>
      </c>
      <c r="B1416" s="1">
        <f>DATE(2013,3,1) + TIME(0,0,0)</f>
        <v>41334</v>
      </c>
      <c r="C1416">
        <v>80</v>
      </c>
      <c r="D1416">
        <v>69.752593993999994</v>
      </c>
      <c r="E1416">
        <v>50</v>
      </c>
      <c r="F1416">
        <v>49.971630095999998</v>
      </c>
      <c r="G1416">
        <v>1294.2161865</v>
      </c>
      <c r="H1416">
        <v>1279.2702637</v>
      </c>
      <c r="I1416">
        <v>1394.1179199000001</v>
      </c>
      <c r="J1416">
        <v>1374.5808105000001</v>
      </c>
      <c r="K1416">
        <v>0</v>
      </c>
      <c r="L1416">
        <v>2400</v>
      </c>
      <c r="M1416">
        <v>2400</v>
      </c>
      <c r="N1416">
        <v>0</v>
      </c>
    </row>
    <row r="1417" spans="1:14" x14ac:dyDescent="0.25">
      <c r="A1417">
        <v>1037.9235080000001</v>
      </c>
      <c r="B1417" s="1">
        <f>DATE(2013,3,3) + TIME(22,9,51)</f>
        <v>41336.923506944448</v>
      </c>
      <c r="C1417">
        <v>80</v>
      </c>
      <c r="D1417">
        <v>69.568908691000004</v>
      </c>
      <c r="E1417">
        <v>50</v>
      </c>
      <c r="F1417">
        <v>49.971691131999997</v>
      </c>
      <c r="G1417">
        <v>1294.1075439000001</v>
      </c>
      <c r="H1417">
        <v>1279.0817870999999</v>
      </c>
      <c r="I1417">
        <v>1394.1109618999999</v>
      </c>
      <c r="J1417">
        <v>1374.574707</v>
      </c>
      <c r="K1417">
        <v>0</v>
      </c>
      <c r="L1417">
        <v>2400</v>
      </c>
      <c r="M1417">
        <v>2400</v>
      </c>
      <c r="N1417">
        <v>0</v>
      </c>
    </row>
    <row r="1418" spans="1:14" x14ac:dyDescent="0.25">
      <c r="A1418">
        <v>1040.905109</v>
      </c>
      <c r="B1418" s="1">
        <f>DATE(2013,3,6) + TIME(21,43,21)</f>
        <v>41339.905104166668</v>
      </c>
      <c r="C1418">
        <v>80</v>
      </c>
      <c r="D1418">
        <v>69.320411682</v>
      </c>
      <c r="E1418">
        <v>50</v>
      </c>
      <c r="F1418">
        <v>49.971752166999998</v>
      </c>
      <c r="G1418">
        <v>1293.7880858999999</v>
      </c>
      <c r="H1418">
        <v>1278.6376952999999</v>
      </c>
      <c r="I1418">
        <v>1394.0748291</v>
      </c>
      <c r="J1418">
        <v>1374.5430908000001</v>
      </c>
      <c r="K1418">
        <v>0</v>
      </c>
      <c r="L1418">
        <v>2400</v>
      </c>
      <c r="M1418">
        <v>2400</v>
      </c>
      <c r="N1418">
        <v>0</v>
      </c>
    </row>
    <row r="1419" spans="1:14" x14ac:dyDescent="0.25">
      <c r="A1419">
        <v>1043.9344100000001</v>
      </c>
      <c r="B1419" s="1">
        <f>DATE(2013,3,9) + TIME(22,25,33)</f>
        <v>41342.93440972222</v>
      </c>
      <c r="C1419">
        <v>80</v>
      </c>
      <c r="D1419">
        <v>69.047439574999999</v>
      </c>
      <c r="E1419">
        <v>50</v>
      </c>
      <c r="F1419">
        <v>49.971813202</v>
      </c>
      <c r="G1419">
        <v>1293.4484863</v>
      </c>
      <c r="H1419">
        <v>1278.1589355000001</v>
      </c>
      <c r="I1419">
        <v>1394.0383300999999</v>
      </c>
      <c r="J1419">
        <v>1374.5112305</v>
      </c>
      <c r="K1419">
        <v>0</v>
      </c>
      <c r="L1419">
        <v>2400</v>
      </c>
      <c r="M1419">
        <v>2400</v>
      </c>
      <c r="N1419">
        <v>0</v>
      </c>
    </row>
    <row r="1420" spans="1:14" x14ac:dyDescent="0.25">
      <c r="A1420">
        <v>1047.0056709999999</v>
      </c>
      <c r="B1420" s="1">
        <f>DATE(2013,3,13) + TIME(0,8,9)</f>
        <v>41346.005659722221</v>
      </c>
      <c r="C1420">
        <v>80</v>
      </c>
      <c r="D1420">
        <v>68.758834839000002</v>
      </c>
      <c r="E1420">
        <v>50</v>
      </c>
      <c r="F1420">
        <v>49.971874237000002</v>
      </c>
      <c r="G1420">
        <v>1293.0976562000001</v>
      </c>
      <c r="H1420">
        <v>1277.661499</v>
      </c>
      <c r="I1420">
        <v>1394.0017089999999</v>
      </c>
      <c r="J1420">
        <v>1374.479126</v>
      </c>
      <c r="K1420">
        <v>0</v>
      </c>
      <c r="L1420">
        <v>2400</v>
      </c>
      <c r="M1420">
        <v>2400</v>
      </c>
      <c r="N1420">
        <v>0</v>
      </c>
    </row>
    <row r="1421" spans="1:14" x14ac:dyDescent="0.25">
      <c r="A1421">
        <v>1050.125309</v>
      </c>
      <c r="B1421" s="1">
        <f>DATE(2013,3,16) + TIME(3,0,26)</f>
        <v>41349.125300925924</v>
      </c>
      <c r="C1421">
        <v>80</v>
      </c>
      <c r="D1421">
        <v>68.456054687999995</v>
      </c>
      <c r="E1421">
        <v>50</v>
      </c>
      <c r="F1421">
        <v>49.971935272000003</v>
      </c>
      <c r="G1421">
        <v>1292.737793</v>
      </c>
      <c r="H1421">
        <v>1277.1491699000001</v>
      </c>
      <c r="I1421">
        <v>1393.9649658000001</v>
      </c>
      <c r="J1421">
        <v>1374.4468993999999</v>
      </c>
      <c r="K1421">
        <v>0</v>
      </c>
      <c r="L1421">
        <v>2400</v>
      </c>
      <c r="M1421">
        <v>2400</v>
      </c>
      <c r="N1421">
        <v>0</v>
      </c>
    </row>
    <row r="1422" spans="1:14" x14ac:dyDescent="0.25">
      <c r="A1422">
        <v>1053.294435</v>
      </c>
      <c r="B1422" s="1">
        <f>DATE(2013,3,19) + TIME(7,3,59)</f>
        <v>41352.294432870367</v>
      </c>
      <c r="C1422">
        <v>80</v>
      </c>
      <c r="D1422">
        <v>68.138381957999997</v>
      </c>
      <c r="E1422">
        <v>50</v>
      </c>
      <c r="F1422">
        <v>49.971996306999998</v>
      </c>
      <c r="G1422">
        <v>1292.3690185999999</v>
      </c>
      <c r="H1422">
        <v>1276.6224365</v>
      </c>
      <c r="I1422">
        <v>1393.9279785000001</v>
      </c>
      <c r="J1422">
        <v>1374.4143065999999</v>
      </c>
      <c r="K1422">
        <v>0</v>
      </c>
      <c r="L1422">
        <v>2400</v>
      </c>
      <c r="M1422">
        <v>2400</v>
      </c>
      <c r="N1422">
        <v>0</v>
      </c>
    </row>
    <row r="1423" spans="1:14" x14ac:dyDescent="0.25">
      <c r="A1423">
        <v>1056.511992</v>
      </c>
      <c r="B1423" s="1">
        <f>DATE(2013,3,22) + TIME(12,17,16)</f>
        <v>41355.511990740742</v>
      </c>
      <c r="C1423">
        <v>80</v>
      </c>
      <c r="D1423">
        <v>67.804992675999998</v>
      </c>
      <c r="E1423">
        <v>50</v>
      </c>
      <c r="F1423">
        <v>49.972061156999999</v>
      </c>
      <c r="G1423">
        <v>1291.9912108999999</v>
      </c>
      <c r="H1423">
        <v>1276.0810547000001</v>
      </c>
      <c r="I1423">
        <v>1393.8907471</v>
      </c>
      <c r="J1423">
        <v>1374.3815918</v>
      </c>
      <c r="K1423">
        <v>0</v>
      </c>
      <c r="L1423">
        <v>2400</v>
      </c>
      <c r="M1423">
        <v>2400</v>
      </c>
      <c r="N1423">
        <v>0</v>
      </c>
    </row>
    <row r="1424" spans="1:14" x14ac:dyDescent="0.25">
      <c r="A1424">
        <v>1059.7715720000001</v>
      </c>
      <c r="B1424" s="1">
        <f>DATE(2013,3,25) + TIME(18,31,3)</f>
        <v>41358.771562499998</v>
      </c>
      <c r="C1424">
        <v>80</v>
      </c>
      <c r="D1424">
        <v>67.455345154</v>
      </c>
      <c r="E1424">
        <v>50</v>
      </c>
      <c r="F1424">
        <v>49.972122192</v>
      </c>
      <c r="G1424">
        <v>1291.6049805</v>
      </c>
      <c r="H1424">
        <v>1275.5255127</v>
      </c>
      <c r="I1424">
        <v>1393.8532714999999</v>
      </c>
      <c r="J1424">
        <v>1374.3485106999999</v>
      </c>
      <c r="K1424">
        <v>0</v>
      </c>
      <c r="L1424">
        <v>2400</v>
      </c>
      <c r="M1424">
        <v>2400</v>
      </c>
      <c r="N1424">
        <v>0</v>
      </c>
    </row>
    <row r="1425" spans="1:14" x14ac:dyDescent="0.25">
      <c r="A1425">
        <v>1063.080618</v>
      </c>
      <c r="B1425" s="1">
        <f>DATE(2013,3,29) + TIME(1,56,5)</f>
        <v>41362.080613425926</v>
      </c>
      <c r="C1425">
        <v>80</v>
      </c>
      <c r="D1425">
        <v>67.089080811000002</v>
      </c>
      <c r="E1425">
        <v>50</v>
      </c>
      <c r="F1425">
        <v>49.972187042000002</v>
      </c>
      <c r="G1425">
        <v>1291.2110596</v>
      </c>
      <c r="H1425">
        <v>1274.9571533000001</v>
      </c>
      <c r="I1425">
        <v>1393.8155518000001</v>
      </c>
      <c r="J1425">
        <v>1374.3150635</v>
      </c>
      <c r="K1425">
        <v>0</v>
      </c>
      <c r="L1425">
        <v>2400</v>
      </c>
      <c r="M1425">
        <v>2400</v>
      </c>
      <c r="N1425">
        <v>0</v>
      </c>
    </row>
    <row r="1426" spans="1:14" x14ac:dyDescent="0.25">
      <c r="A1426">
        <v>1066</v>
      </c>
      <c r="B1426" s="1">
        <f>DATE(2013,4,1) + TIME(0,0,0)</f>
        <v>41365</v>
      </c>
      <c r="C1426">
        <v>80</v>
      </c>
      <c r="D1426">
        <v>66.71546936</v>
      </c>
      <c r="E1426">
        <v>50</v>
      </c>
      <c r="F1426">
        <v>49.972240448000001</v>
      </c>
      <c r="G1426">
        <v>1290.8107910000001</v>
      </c>
      <c r="H1426">
        <v>1274.380249</v>
      </c>
      <c r="I1426">
        <v>1393.7774658000001</v>
      </c>
      <c r="J1426">
        <v>1374.28125</v>
      </c>
      <c r="K1426">
        <v>0</v>
      </c>
      <c r="L1426">
        <v>2400</v>
      </c>
      <c r="M1426">
        <v>2400</v>
      </c>
      <c r="N1426">
        <v>0</v>
      </c>
    </row>
    <row r="1427" spans="1:14" x14ac:dyDescent="0.25">
      <c r="A1427">
        <v>1069.366162</v>
      </c>
      <c r="B1427" s="1">
        <f>DATE(2013,4,4) + TIME(8,47,16)</f>
        <v>41368.366157407407</v>
      </c>
      <c r="C1427">
        <v>80</v>
      </c>
      <c r="D1427">
        <v>66.348831176999994</v>
      </c>
      <c r="E1427">
        <v>50</v>
      </c>
      <c r="F1427">
        <v>49.972305298000002</v>
      </c>
      <c r="G1427">
        <v>1290.4481201000001</v>
      </c>
      <c r="H1427">
        <v>1273.8472899999999</v>
      </c>
      <c r="I1427">
        <v>1393.7441406</v>
      </c>
      <c r="J1427">
        <v>1374.2517089999999</v>
      </c>
      <c r="K1427">
        <v>0</v>
      </c>
      <c r="L1427">
        <v>2400</v>
      </c>
      <c r="M1427">
        <v>2400</v>
      </c>
      <c r="N1427">
        <v>0</v>
      </c>
    </row>
    <row r="1428" spans="1:14" x14ac:dyDescent="0.25">
      <c r="A1428">
        <v>1072.8613419999999</v>
      </c>
      <c r="B1428" s="1">
        <f>DATE(2013,4,7) + TIME(20,40,19)</f>
        <v>41371.861331018517</v>
      </c>
      <c r="C1428">
        <v>80</v>
      </c>
      <c r="D1428">
        <v>65.938354492000002</v>
      </c>
      <c r="E1428">
        <v>50</v>
      </c>
      <c r="F1428">
        <v>49.972373961999999</v>
      </c>
      <c r="G1428">
        <v>1290.0406493999999</v>
      </c>
      <c r="H1428">
        <v>1273.2548827999999</v>
      </c>
      <c r="I1428">
        <v>1393.7058105000001</v>
      </c>
      <c r="J1428">
        <v>1374.2175293</v>
      </c>
      <c r="K1428">
        <v>0</v>
      </c>
      <c r="L1428">
        <v>2400</v>
      </c>
      <c r="M1428">
        <v>2400</v>
      </c>
      <c r="N1428">
        <v>0</v>
      </c>
    </row>
    <row r="1429" spans="1:14" x14ac:dyDescent="0.25">
      <c r="A1429">
        <v>1076.4107730000001</v>
      </c>
      <c r="B1429" s="1">
        <f>DATE(2013,4,11) + TIME(9,51,30)</f>
        <v>41375.410763888889</v>
      </c>
      <c r="C1429">
        <v>80</v>
      </c>
      <c r="D1429">
        <v>65.497375488000003</v>
      </c>
      <c r="E1429">
        <v>50</v>
      </c>
      <c r="F1429">
        <v>49.972438812</v>
      </c>
      <c r="G1429">
        <v>1289.6145019999999</v>
      </c>
      <c r="H1429">
        <v>1272.6322021000001</v>
      </c>
      <c r="I1429">
        <v>1393.6661377</v>
      </c>
      <c r="J1429">
        <v>1374.1821289</v>
      </c>
      <c r="K1429">
        <v>0</v>
      </c>
      <c r="L1429">
        <v>2400</v>
      </c>
      <c r="M1429">
        <v>2400</v>
      </c>
      <c r="N1429">
        <v>0</v>
      </c>
    </row>
    <row r="1430" spans="1:14" x14ac:dyDescent="0.25">
      <c r="A1430">
        <v>1080.0248240000001</v>
      </c>
      <c r="B1430" s="1">
        <f>DATE(2013,4,15) + TIME(0,35,44)</f>
        <v>41379.024814814817</v>
      </c>
      <c r="C1430">
        <v>80</v>
      </c>
      <c r="D1430">
        <v>65.033927917</v>
      </c>
      <c r="E1430">
        <v>50</v>
      </c>
      <c r="F1430">
        <v>49.972507477000001</v>
      </c>
      <c r="G1430">
        <v>1289.1801757999999</v>
      </c>
      <c r="H1430">
        <v>1271.9940185999999</v>
      </c>
      <c r="I1430">
        <v>1393.6259766000001</v>
      </c>
      <c r="J1430">
        <v>1374.1462402</v>
      </c>
      <c r="K1430">
        <v>0</v>
      </c>
      <c r="L1430">
        <v>2400</v>
      </c>
      <c r="M1430">
        <v>2400</v>
      </c>
      <c r="N1430">
        <v>0</v>
      </c>
    </row>
    <row r="1431" spans="1:14" x14ac:dyDescent="0.25">
      <c r="A1431">
        <v>1083.713591</v>
      </c>
      <c r="B1431" s="1">
        <f>DATE(2013,4,18) + TIME(17,7,34)</f>
        <v>41382.713587962964</v>
      </c>
      <c r="C1431">
        <v>80</v>
      </c>
      <c r="D1431">
        <v>64.548553467000005</v>
      </c>
      <c r="E1431">
        <v>50</v>
      </c>
      <c r="F1431">
        <v>49.972576140999998</v>
      </c>
      <c r="G1431">
        <v>1288.7379149999999</v>
      </c>
      <c r="H1431">
        <v>1271.3416748</v>
      </c>
      <c r="I1431">
        <v>1393.5850829999999</v>
      </c>
      <c r="J1431">
        <v>1374.1096190999999</v>
      </c>
      <c r="K1431">
        <v>0</v>
      </c>
      <c r="L1431">
        <v>2400</v>
      </c>
      <c r="M1431">
        <v>2400</v>
      </c>
      <c r="N1431">
        <v>0</v>
      </c>
    </row>
    <row r="1432" spans="1:14" x14ac:dyDescent="0.25">
      <c r="A1432">
        <v>1087.488032</v>
      </c>
      <c r="B1432" s="1">
        <f>DATE(2013,4,22) + TIME(11,42,45)</f>
        <v>41386.488020833334</v>
      </c>
      <c r="C1432">
        <v>80</v>
      </c>
      <c r="D1432">
        <v>64.039878845000004</v>
      </c>
      <c r="E1432">
        <v>50</v>
      </c>
      <c r="F1432">
        <v>49.972644805999998</v>
      </c>
      <c r="G1432">
        <v>1288.2875977000001</v>
      </c>
      <c r="H1432">
        <v>1270.6748047000001</v>
      </c>
      <c r="I1432">
        <v>1393.543457</v>
      </c>
      <c r="J1432">
        <v>1374.0722656</v>
      </c>
      <c r="K1432">
        <v>0</v>
      </c>
      <c r="L1432">
        <v>2400</v>
      </c>
      <c r="M1432">
        <v>2400</v>
      </c>
      <c r="N1432">
        <v>0</v>
      </c>
    </row>
    <row r="1433" spans="1:14" x14ac:dyDescent="0.25">
      <c r="A1433">
        <v>1091.3449000000001</v>
      </c>
      <c r="B1433" s="1">
        <f>DATE(2013,4,26) + TIME(8,16,39)</f>
        <v>41390.344895833332</v>
      </c>
      <c r="C1433">
        <v>80</v>
      </c>
      <c r="D1433">
        <v>63.506763458000002</v>
      </c>
      <c r="E1433">
        <v>50</v>
      </c>
      <c r="F1433">
        <v>49.972713470000002</v>
      </c>
      <c r="G1433">
        <v>1287.8287353999999</v>
      </c>
      <c r="H1433">
        <v>1269.9925536999999</v>
      </c>
      <c r="I1433">
        <v>1393.5008545000001</v>
      </c>
      <c r="J1433">
        <v>1374.0339355000001</v>
      </c>
      <c r="K1433">
        <v>0</v>
      </c>
      <c r="L1433">
        <v>2400</v>
      </c>
      <c r="M1433">
        <v>2400</v>
      </c>
      <c r="N1433">
        <v>0</v>
      </c>
    </row>
    <row r="1434" spans="1:14" x14ac:dyDescent="0.25">
      <c r="A1434">
        <v>1095.2818709999999</v>
      </c>
      <c r="B1434" s="1">
        <f>DATE(2013,4,30) + TIME(6,45,53)</f>
        <v>41394.281863425924</v>
      </c>
      <c r="C1434">
        <v>80</v>
      </c>
      <c r="D1434">
        <v>62.949615479000002</v>
      </c>
      <c r="E1434">
        <v>50</v>
      </c>
      <c r="F1434">
        <v>49.972785950000002</v>
      </c>
      <c r="G1434">
        <v>1287.3623047000001</v>
      </c>
      <c r="H1434">
        <v>1269.2962646000001</v>
      </c>
      <c r="I1434">
        <v>1393.4572754000001</v>
      </c>
      <c r="J1434">
        <v>1373.9946289</v>
      </c>
      <c r="K1434">
        <v>0</v>
      </c>
      <c r="L1434">
        <v>2400</v>
      </c>
      <c r="M1434">
        <v>2400</v>
      </c>
      <c r="N1434">
        <v>0</v>
      </c>
    </row>
    <row r="1435" spans="1:14" x14ac:dyDescent="0.25">
      <c r="A1435">
        <v>1096</v>
      </c>
      <c r="B1435" s="1">
        <f>DATE(2013,5,1) + TIME(0,0,0)</f>
        <v>41395</v>
      </c>
      <c r="C1435">
        <v>80</v>
      </c>
      <c r="D1435">
        <v>62.607429504000002</v>
      </c>
      <c r="E1435">
        <v>50</v>
      </c>
      <c r="F1435">
        <v>49.972793578999998</v>
      </c>
      <c r="G1435">
        <v>1286.9104004000001</v>
      </c>
      <c r="H1435">
        <v>1268.6887207</v>
      </c>
      <c r="I1435">
        <v>1393.4121094</v>
      </c>
      <c r="J1435">
        <v>1373.9536132999999</v>
      </c>
      <c r="K1435">
        <v>0</v>
      </c>
      <c r="L1435">
        <v>2400</v>
      </c>
      <c r="M1435">
        <v>2400</v>
      </c>
      <c r="N1435">
        <v>0</v>
      </c>
    </row>
    <row r="1436" spans="1:14" x14ac:dyDescent="0.25">
      <c r="A1436">
        <v>1096.0000010000001</v>
      </c>
      <c r="B1436" s="1">
        <f>DATE(2013,5,1) + TIME(0,0,0)</f>
        <v>41395</v>
      </c>
      <c r="C1436">
        <v>80</v>
      </c>
      <c r="D1436">
        <v>62.607589722</v>
      </c>
      <c r="E1436">
        <v>50</v>
      </c>
      <c r="F1436">
        <v>49.972682953000003</v>
      </c>
      <c r="G1436">
        <v>1306.6671143000001</v>
      </c>
      <c r="H1436">
        <v>1287.9316406</v>
      </c>
      <c r="I1436">
        <v>1373.0792236</v>
      </c>
      <c r="J1436">
        <v>1354.1965332</v>
      </c>
      <c r="K1436">
        <v>2400</v>
      </c>
      <c r="L1436">
        <v>0</v>
      </c>
      <c r="M1436">
        <v>0</v>
      </c>
      <c r="N1436">
        <v>2400</v>
      </c>
    </row>
    <row r="1437" spans="1:14" x14ac:dyDescent="0.25">
      <c r="A1437">
        <v>1096.000004</v>
      </c>
      <c r="B1437" s="1">
        <f>DATE(2013,5,1) + TIME(0,0,0)</f>
        <v>41395</v>
      </c>
      <c r="C1437">
        <v>80</v>
      </c>
      <c r="D1437">
        <v>62.608016968000001</v>
      </c>
      <c r="E1437">
        <v>50</v>
      </c>
      <c r="F1437">
        <v>49.972389221</v>
      </c>
      <c r="G1437">
        <v>1309.0479736</v>
      </c>
      <c r="H1437">
        <v>1290.5776367000001</v>
      </c>
      <c r="I1437">
        <v>1370.7468262</v>
      </c>
      <c r="J1437">
        <v>1351.8634033000001</v>
      </c>
      <c r="K1437">
        <v>2400</v>
      </c>
      <c r="L1437">
        <v>0</v>
      </c>
      <c r="M1437">
        <v>0</v>
      </c>
      <c r="N1437">
        <v>2400</v>
      </c>
    </row>
    <row r="1438" spans="1:14" x14ac:dyDescent="0.25">
      <c r="A1438">
        <v>1096.0000130000001</v>
      </c>
      <c r="B1438" s="1">
        <f>DATE(2013,5,1) + TIME(0,0,1)</f>
        <v>41395.000011574077</v>
      </c>
      <c r="C1438">
        <v>80</v>
      </c>
      <c r="D1438">
        <v>62.608978270999998</v>
      </c>
      <c r="E1438">
        <v>50</v>
      </c>
      <c r="F1438">
        <v>49.971729279000002</v>
      </c>
      <c r="G1438">
        <v>1314.3031006000001</v>
      </c>
      <c r="H1438">
        <v>1296.1937256000001</v>
      </c>
      <c r="I1438">
        <v>1365.5145264</v>
      </c>
      <c r="J1438">
        <v>1346.6301269999999</v>
      </c>
      <c r="K1438">
        <v>2400</v>
      </c>
      <c r="L1438">
        <v>0</v>
      </c>
      <c r="M1438">
        <v>0</v>
      </c>
      <c r="N1438">
        <v>2400</v>
      </c>
    </row>
    <row r="1439" spans="1:14" x14ac:dyDescent="0.25">
      <c r="A1439">
        <v>1096.0000399999999</v>
      </c>
      <c r="B1439" s="1">
        <f>DATE(2013,5,1) + TIME(0,0,3)</f>
        <v>41395.000034722223</v>
      </c>
      <c r="C1439">
        <v>80</v>
      </c>
      <c r="D1439">
        <v>62.610790252999998</v>
      </c>
      <c r="E1439">
        <v>50</v>
      </c>
      <c r="F1439">
        <v>49.970626830999997</v>
      </c>
      <c r="G1439">
        <v>1322.9309082</v>
      </c>
      <c r="H1439">
        <v>1304.9787598</v>
      </c>
      <c r="I1439">
        <v>1356.7706298999999</v>
      </c>
      <c r="J1439">
        <v>1337.8870850000001</v>
      </c>
      <c r="K1439">
        <v>2400</v>
      </c>
      <c r="L1439">
        <v>0</v>
      </c>
      <c r="M1439">
        <v>0</v>
      </c>
      <c r="N1439">
        <v>2400</v>
      </c>
    </row>
    <row r="1440" spans="1:14" x14ac:dyDescent="0.25">
      <c r="A1440">
        <v>1096.000121</v>
      </c>
      <c r="B1440" s="1">
        <f>DATE(2013,5,1) + TIME(0,0,10)</f>
        <v>41395.000115740739</v>
      </c>
      <c r="C1440">
        <v>80</v>
      </c>
      <c r="D1440">
        <v>62.614116668999998</v>
      </c>
      <c r="E1440">
        <v>50</v>
      </c>
      <c r="F1440">
        <v>49.969272613999998</v>
      </c>
      <c r="G1440">
        <v>1333.3969727000001</v>
      </c>
      <c r="H1440">
        <v>1315.3354492000001</v>
      </c>
      <c r="I1440">
        <v>1346.0963135</v>
      </c>
      <c r="J1440">
        <v>1327.2178954999999</v>
      </c>
      <c r="K1440">
        <v>2400</v>
      </c>
      <c r="L1440">
        <v>0</v>
      </c>
      <c r="M1440">
        <v>0</v>
      </c>
      <c r="N1440">
        <v>2400</v>
      </c>
    </row>
    <row r="1441" spans="1:14" x14ac:dyDescent="0.25">
      <c r="A1441">
        <v>1096.000364</v>
      </c>
      <c r="B1441" s="1">
        <f>DATE(2013,5,1) + TIME(0,0,31)</f>
        <v>41395.000358796293</v>
      </c>
      <c r="C1441">
        <v>80</v>
      </c>
      <c r="D1441">
        <v>62.621433258000003</v>
      </c>
      <c r="E1441">
        <v>50</v>
      </c>
      <c r="F1441">
        <v>49.967861176</v>
      </c>
      <c r="G1441">
        <v>1344.2823486</v>
      </c>
      <c r="H1441">
        <v>1326.0614014</v>
      </c>
      <c r="I1441">
        <v>1335.1070557</v>
      </c>
      <c r="J1441">
        <v>1316.2385254000001</v>
      </c>
      <c r="K1441">
        <v>2400</v>
      </c>
      <c r="L1441">
        <v>0</v>
      </c>
      <c r="M1441">
        <v>0</v>
      </c>
      <c r="N1441">
        <v>2400</v>
      </c>
    </row>
    <row r="1442" spans="1:14" x14ac:dyDescent="0.25">
      <c r="A1442">
        <v>1096.0010930000001</v>
      </c>
      <c r="B1442" s="1">
        <f>DATE(2013,5,1) + TIME(0,1,34)</f>
        <v>41395.001087962963</v>
      </c>
      <c r="C1442">
        <v>80</v>
      </c>
      <c r="D1442">
        <v>62.640724182</v>
      </c>
      <c r="E1442">
        <v>50</v>
      </c>
      <c r="F1442">
        <v>49.966388702000003</v>
      </c>
      <c r="G1442">
        <v>1355.4827881000001</v>
      </c>
      <c r="H1442">
        <v>1337.0872803</v>
      </c>
      <c r="I1442">
        <v>1324.121582</v>
      </c>
      <c r="J1442">
        <v>1305.2644043</v>
      </c>
      <c r="K1442">
        <v>2400</v>
      </c>
      <c r="L1442">
        <v>0</v>
      </c>
      <c r="M1442">
        <v>0</v>
      </c>
      <c r="N1442">
        <v>2400</v>
      </c>
    </row>
    <row r="1443" spans="1:14" x14ac:dyDescent="0.25">
      <c r="A1443">
        <v>1096.0032799999999</v>
      </c>
      <c r="B1443" s="1">
        <f>DATE(2013,5,1) + TIME(0,4,43)</f>
        <v>41395.003275462965</v>
      </c>
      <c r="C1443">
        <v>80</v>
      </c>
      <c r="D1443">
        <v>62.696205139</v>
      </c>
      <c r="E1443">
        <v>50</v>
      </c>
      <c r="F1443">
        <v>49.964721679999997</v>
      </c>
      <c r="G1443">
        <v>1367.3308105000001</v>
      </c>
      <c r="H1443">
        <v>1348.7329102000001</v>
      </c>
      <c r="I1443">
        <v>1313.0220947</v>
      </c>
      <c r="J1443">
        <v>1294.1475829999999</v>
      </c>
      <c r="K1443">
        <v>2400</v>
      </c>
      <c r="L1443">
        <v>0</v>
      </c>
      <c r="M1443">
        <v>0</v>
      </c>
      <c r="N1443">
        <v>2400</v>
      </c>
    </row>
    <row r="1444" spans="1:14" x14ac:dyDescent="0.25">
      <c r="A1444">
        <v>1096.0098410000001</v>
      </c>
      <c r="B1444" s="1">
        <f>DATE(2013,5,1) + TIME(0,14,10)</f>
        <v>41395.009837962964</v>
      </c>
      <c r="C1444">
        <v>80</v>
      </c>
      <c r="D1444">
        <v>62.859817505000002</v>
      </c>
      <c r="E1444">
        <v>50</v>
      </c>
      <c r="F1444">
        <v>49.962535858000003</v>
      </c>
      <c r="G1444">
        <v>1379.2628173999999</v>
      </c>
      <c r="H1444">
        <v>1360.5021973</v>
      </c>
      <c r="I1444">
        <v>1302.0610352000001</v>
      </c>
      <c r="J1444">
        <v>1283.1224365</v>
      </c>
      <c r="K1444">
        <v>2400</v>
      </c>
      <c r="L1444">
        <v>0</v>
      </c>
      <c r="M1444">
        <v>0</v>
      </c>
      <c r="N1444">
        <v>2400</v>
      </c>
    </row>
    <row r="1445" spans="1:14" x14ac:dyDescent="0.25">
      <c r="A1445">
        <v>1096.029524</v>
      </c>
      <c r="B1445" s="1">
        <f>DATE(2013,5,1) + TIME(0,42,30)</f>
        <v>41395.029513888891</v>
      </c>
      <c r="C1445">
        <v>80</v>
      </c>
      <c r="D1445">
        <v>63.336692810000002</v>
      </c>
      <c r="E1445">
        <v>50</v>
      </c>
      <c r="F1445">
        <v>49.959045410000002</v>
      </c>
      <c r="G1445">
        <v>1388.7951660000001</v>
      </c>
      <c r="H1445">
        <v>1370.0445557</v>
      </c>
      <c r="I1445">
        <v>1293.2971190999999</v>
      </c>
      <c r="J1445">
        <v>1274.3010254000001</v>
      </c>
      <c r="K1445">
        <v>2400</v>
      </c>
      <c r="L1445">
        <v>0</v>
      </c>
      <c r="M1445">
        <v>0</v>
      </c>
      <c r="N1445">
        <v>2400</v>
      </c>
    </row>
    <row r="1446" spans="1:14" x14ac:dyDescent="0.25">
      <c r="A1446">
        <v>1096.05601</v>
      </c>
      <c r="B1446" s="1">
        <f>DATE(2013,5,1) + TIME(1,20,39)</f>
        <v>41395.056006944447</v>
      </c>
      <c r="C1446">
        <v>80</v>
      </c>
      <c r="D1446">
        <v>63.954700469999999</v>
      </c>
      <c r="E1446">
        <v>50</v>
      </c>
      <c r="F1446">
        <v>49.955436706999997</v>
      </c>
      <c r="G1446">
        <v>1392.6083983999999</v>
      </c>
      <c r="H1446">
        <v>1373.9874268000001</v>
      </c>
      <c r="I1446">
        <v>1289.9826660000001</v>
      </c>
      <c r="J1446">
        <v>1270.9667969</v>
      </c>
      <c r="K1446">
        <v>2400</v>
      </c>
      <c r="L1446">
        <v>0</v>
      </c>
      <c r="M1446">
        <v>0</v>
      </c>
      <c r="N1446">
        <v>2400</v>
      </c>
    </row>
    <row r="1447" spans="1:14" x14ac:dyDescent="0.25">
      <c r="A1447">
        <v>1096.0831209999999</v>
      </c>
      <c r="B1447" s="1">
        <f>DATE(2013,5,1) + TIME(1,59,41)</f>
        <v>41395.083113425928</v>
      </c>
      <c r="C1447">
        <v>80</v>
      </c>
      <c r="D1447">
        <v>64.563552856000001</v>
      </c>
      <c r="E1447">
        <v>50</v>
      </c>
      <c r="F1447">
        <v>49.952068328999999</v>
      </c>
      <c r="G1447">
        <v>1393.9067382999999</v>
      </c>
      <c r="H1447">
        <v>1375.4315185999999</v>
      </c>
      <c r="I1447">
        <v>1288.9875488</v>
      </c>
      <c r="J1447">
        <v>1269.9656981999999</v>
      </c>
      <c r="K1447">
        <v>2400</v>
      </c>
      <c r="L1447">
        <v>0</v>
      </c>
      <c r="M1447">
        <v>0</v>
      </c>
      <c r="N1447">
        <v>2400</v>
      </c>
    </row>
    <row r="1448" spans="1:14" x14ac:dyDescent="0.25">
      <c r="A1448">
        <v>1096.110801</v>
      </c>
      <c r="B1448" s="1">
        <f>DATE(2013,5,1) + TIME(2,39,33)</f>
        <v>41395.110798611109</v>
      </c>
      <c r="C1448">
        <v>80</v>
      </c>
      <c r="D1448">
        <v>65.161376953000001</v>
      </c>
      <c r="E1448">
        <v>50</v>
      </c>
      <c r="F1448">
        <v>49.948749542000002</v>
      </c>
      <c r="G1448">
        <v>1394.3098144999999</v>
      </c>
      <c r="H1448">
        <v>1375.9821777</v>
      </c>
      <c r="I1448">
        <v>1288.7209473</v>
      </c>
      <c r="J1448">
        <v>1269.6968993999999</v>
      </c>
      <c r="K1448">
        <v>2400</v>
      </c>
      <c r="L1448">
        <v>0</v>
      </c>
      <c r="M1448">
        <v>0</v>
      </c>
      <c r="N1448">
        <v>2400</v>
      </c>
    </row>
    <row r="1449" spans="1:14" x14ac:dyDescent="0.25">
      <c r="A1449">
        <v>1096.139052</v>
      </c>
      <c r="B1449" s="1">
        <f>DATE(2013,5,1) + TIME(3,20,14)</f>
        <v>41395.139050925929</v>
      </c>
      <c r="C1449">
        <v>80</v>
      </c>
      <c r="D1449">
        <v>65.747756957999997</v>
      </c>
      <c r="E1449">
        <v>50</v>
      </c>
      <c r="F1449">
        <v>49.945426941000001</v>
      </c>
      <c r="G1449">
        <v>1394.3616943</v>
      </c>
      <c r="H1449">
        <v>1376.1785889</v>
      </c>
      <c r="I1449">
        <v>1288.6774902</v>
      </c>
      <c r="J1449">
        <v>1269.6525879000001</v>
      </c>
      <c r="K1449">
        <v>2400</v>
      </c>
      <c r="L1449">
        <v>0</v>
      </c>
      <c r="M1449">
        <v>0</v>
      </c>
      <c r="N1449">
        <v>2400</v>
      </c>
    </row>
    <row r="1450" spans="1:14" x14ac:dyDescent="0.25">
      <c r="A1450">
        <v>1096.167895</v>
      </c>
      <c r="B1450" s="1">
        <f>DATE(2013,5,1) + TIME(4,1,46)</f>
        <v>41395.167893518519</v>
      </c>
      <c r="C1450">
        <v>80</v>
      </c>
      <c r="D1450">
        <v>66.322525024000001</v>
      </c>
      <c r="E1450">
        <v>50</v>
      </c>
      <c r="F1450">
        <v>49.942073821999998</v>
      </c>
      <c r="G1450">
        <v>1394.2675781</v>
      </c>
      <c r="H1450">
        <v>1376.2246094</v>
      </c>
      <c r="I1450">
        <v>1288.6926269999999</v>
      </c>
      <c r="J1450">
        <v>1269.6673584</v>
      </c>
      <c r="K1450">
        <v>2400</v>
      </c>
      <c r="L1450">
        <v>0</v>
      </c>
      <c r="M1450">
        <v>0</v>
      </c>
      <c r="N1450">
        <v>2400</v>
      </c>
    </row>
    <row r="1451" spans="1:14" x14ac:dyDescent="0.25">
      <c r="A1451">
        <v>1096.197359</v>
      </c>
      <c r="B1451" s="1">
        <f>DATE(2013,5,1) + TIME(4,44,11)</f>
        <v>41395.19734953704</v>
      </c>
      <c r="C1451">
        <v>80</v>
      </c>
      <c r="D1451">
        <v>66.885719299000002</v>
      </c>
      <c r="E1451">
        <v>50</v>
      </c>
      <c r="F1451">
        <v>49.938682556000003</v>
      </c>
      <c r="G1451">
        <v>1394.1112060999999</v>
      </c>
      <c r="H1451">
        <v>1376.2037353999999</v>
      </c>
      <c r="I1451">
        <v>1288.7159423999999</v>
      </c>
      <c r="J1451">
        <v>1269.6903076000001</v>
      </c>
      <c r="K1451">
        <v>2400</v>
      </c>
      <c r="L1451">
        <v>0</v>
      </c>
      <c r="M1451">
        <v>0</v>
      </c>
      <c r="N1451">
        <v>2400</v>
      </c>
    </row>
    <row r="1452" spans="1:14" x14ac:dyDescent="0.25">
      <c r="A1452">
        <v>1096.22747</v>
      </c>
      <c r="B1452" s="1">
        <f>DATE(2013,5,1) + TIME(5,27,33)</f>
        <v>41395.227465277778</v>
      </c>
      <c r="C1452">
        <v>80</v>
      </c>
      <c r="D1452">
        <v>67.437271117999998</v>
      </c>
      <c r="E1452">
        <v>50</v>
      </c>
      <c r="F1452">
        <v>49.935249329000001</v>
      </c>
      <c r="G1452">
        <v>1393.9287108999999</v>
      </c>
      <c r="H1452">
        <v>1376.1519774999999</v>
      </c>
      <c r="I1452">
        <v>1288.7344971</v>
      </c>
      <c r="J1452">
        <v>1269.7084961</v>
      </c>
      <c r="K1452">
        <v>2400</v>
      </c>
      <c r="L1452">
        <v>0</v>
      </c>
      <c r="M1452">
        <v>0</v>
      </c>
      <c r="N1452">
        <v>2400</v>
      </c>
    </row>
    <row r="1453" spans="1:14" x14ac:dyDescent="0.25">
      <c r="A1453">
        <v>1096.25827</v>
      </c>
      <c r="B1453" s="1">
        <f>DATE(2013,5,1) + TIME(6,11,54)</f>
        <v>41395.258263888885</v>
      </c>
      <c r="C1453">
        <v>80</v>
      </c>
      <c r="D1453">
        <v>67.977401732999994</v>
      </c>
      <c r="E1453">
        <v>50</v>
      </c>
      <c r="F1453">
        <v>49.931774138999998</v>
      </c>
      <c r="G1453">
        <v>1393.7366943</v>
      </c>
      <c r="H1453">
        <v>1376.0859375</v>
      </c>
      <c r="I1453">
        <v>1288.7468262</v>
      </c>
      <c r="J1453">
        <v>1269.7204589999999</v>
      </c>
      <c r="K1453">
        <v>2400</v>
      </c>
      <c r="L1453">
        <v>0</v>
      </c>
      <c r="M1453">
        <v>0</v>
      </c>
      <c r="N1453">
        <v>2400</v>
      </c>
    </row>
    <row r="1454" spans="1:14" x14ac:dyDescent="0.25">
      <c r="A1454">
        <v>1096.2897969999999</v>
      </c>
      <c r="B1454" s="1">
        <f>DATE(2013,5,1) + TIME(6,57,18)</f>
        <v>41395.28979166667</v>
      </c>
      <c r="C1454">
        <v>80</v>
      </c>
      <c r="D1454">
        <v>68.506172179999993</v>
      </c>
      <c r="E1454">
        <v>50</v>
      </c>
      <c r="F1454">
        <v>49.928249358999999</v>
      </c>
      <c r="G1454">
        <v>1393.5426024999999</v>
      </c>
      <c r="H1454">
        <v>1376.0136719</v>
      </c>
      <c r="I1454">
        <v>1288.7542725000001</v>
      </c>
      <c r="J1454">
        <v>1269.7276611</v>
      </c>
      <c r="K1454">
        <v>2400</v>
      </c>
      <c r="L1454">
        <v>0</v>
      </c>
      <c r="M1454">
        <v>0</v>
      </c>
      <c r="N1454">
        <v>2400</v>
      </c>
    </row>
    <row r="1455" spans="1:14" x14ac:dyDescent="0.25">
      <c r="A1455">
        <v>1096.3220940000001</v>
      </c>
      <c r="B1455" s="1">
        <f>DATE(2013,5,1) + TIME(7,43,48)</f>
        <v>41395.322083333333</v>
      </c>
      <c r="C1455">
        <v>80</v>
      </c>
      <c r="D1455">
        <v>69.023651122999993</v>
      </c>
      <c r="E1455">
        <v>50</v>
      </c>
      <c r="F1455">
        <v>49.924671173</v>
      </c>
      <c r="G1455">
        <v>1393.3505858999999</v>
      </c>
      <c r="H1455">
        <v>1375.9388428</v>
      </c>
      <c r="I1455">
        <v>1288.7586670000001</v>
      </c>
      <c r="J1455">
        <v>1269.7316894999999</v>
      </c>
      <c r="K1455">
        <v>2400</v>
      </c>
      <c r="L1455">
        <v>0</v>
      </c>
      <c r="M1455">
        <v>0</v>
      </c>
      <c r="N1455">
        <v>2400</v>
      </c>
    </row>
    <row r="1456" spans="1:14" x14ac:dyDescent="0.25">
      <c r="A1456">
        <v>1096.355206</v>
      </c>
      <c r="B1456" s="1">
        <f>DATE(2013,5,1) + TIME(8,31,29)</f>
        <v>41395.355196759258</v>
      </c>
      <c r="C1456">
        <v>80</v>
      </c>
      <c r="D1456">
        <v>69.529899596999996</v>
      </c>
      <c r="E1456">
        <v>50</v>
      </c>
      <c r="F1456">
        <v>49.921039581000002</v>
      </c>
      <c r="G1456">
        <v>1393.1622314000001</v>
      </c>
      <c r="H1456">
        <v>1375.8637695</v>
      </c>
      <c r="I1456">
        <v>1288.7609863</v>
      </c>
      <c r="J1456">
        <v>1269.7338867000001</v>
      </c>
      <c r="K1456">
        <v>2400</v>
      </c>
      <c r="L1456">
        <v>0</v>
      </c>
      <c r="M1456">
        <v>0</v>
      </c>
      <c r="N1456">
        <v>2400</v>
      </c>
    </row>
    <row r="1457" spans="1:14" x14ac:dyDescent="0.25">
      <c r="A1457">
        <v>1096.3891819999999</v>
      </c>
      <c r="B1457" s="1">
        <f>DATE(2013,5,1) + TIME(9,20,25)</f>
        <v>41395.389178240737</v>
      </c>
      <c r="C1457">
        <v>80</v>
      </c>
      <c r="D1457">
        <v>70.024948120000005</v>
      </c>
      <c r="E1457">
        <v>50</v>
      </c>
      <c r="F1457">
        <v>49.917354584000002</v>
      </c>
      <c r="G1457">
        <v>1392.9783935999999</v>
      </c>
      <c r="H1457">
        <v>1375.7891846</v>
      </c>
      <c r="I1457">
        <v>1288.7623291</v>
      </c>
      <c r="J1457">
        <v>1269.7347411999999</v>
      </c>
      <c r="K1457">
        <v>2400</v>
      </c>
      <c r="L1457">
        <v>0</v>
      </c>
      <c r="M1457">
        <v>0</v>
      </c>
      <c r="N1457">
        <v>2400</v>
      </c>
    </row>
    <row r="1458" spans="1:14" x14ac:dyDescent="0.25">
      <c r="A1458">
        <v>1096.424076</v>
      </c>
      <c r="B1458" s="1">
        <f>DATE(2013,5,1) + TIME(10,10,40)</f>
        <v>41395.424074074072</v>
      </c>
      <c r="C1458">
        <v>80</v>
      </c>
      <c r="D1458">
        <v>70.508506775000001</v>
      </c>
      <c r="E1458">
        <v>50</v>
      </c>
      <c r="F1458">
        <v>49.913600922000001</v>
      </c>
      <c r="G1458">
        <v>1392.7994385</v>
      </c>
      <c r="H1458">
        <v>1375.7156981999999</v>
      </c>
      <c r="I1458">
        <v>1288.7628173999999</v>
      </c>
      <c r="J1458">
        <v>1269.7349853999999</v>
      </c>
      <c r="K1458">
        <v>2400</v>
      </c>
      <c r="L1458">
        <v>0</v>
      </c>
      <c r="M1458">
        <v>0</v>
      </c>
      <c r="N1458">
        <v>2400</v>
      </c>
    </row>
    <row r="1459" spans="1:14" x14ac:dyDescent="0.25">
      <c r="A1459">
        <v>1096.459944</v>
      </c>
      <c r="B1459" s="1">
        <f>DATE(2013,5,1) + TIME(11,2,19)</f>
        <v>41395.45994212963</v>
      </c>
      <c r="C1459">
        <v>80</v>
      </c>
      <c r="D1459">
        <v>70.980941771999994</v>
      </c>
      <c r="E1459">
        <v>50</v>
      </c>
      <c r="F1459">
        <v>49.909786224000001</v>
      </c>
      <c r="G1459">
        <v>1392.6256103999999</v>
      </c>
      <c r="H1459">
        <v>1375.6435547000001</v>
      </c>
      <c r="I1459">
        <v>1288.7630615</v>
      </c>
      <c r="J1459">
        <v>1269.7348632999999</v>
      </c>
      <c r="K1459">
        <v>2400</v>
      </c>
      <c r="L1459">
        <v>0</v>
      </c>
      <c r="M1459">
        <v>0</v>
      </c>
      <c r="N1459">
        <v>2400</v>
      </c>
    </row>
    <row r="1460" spans="1:14" x14ac:dyDescent="0.25">
      <c r="A1460">
        <v>1096.4968510000001</v>
      </c>
      <c r="B1460" s="1">
        <f>DATE(2013,5,1) + TIME(11,55,27)</f>
        <v>41395.496840277781</v>
      </c>
      <c r="C1460">
        <v>80</v>
      </c>
      <c r="D1460">
        <v>71.442260742000002</v>
      </c>
      <c r="E1460">
        <v>50</v>
      </c>
      <c r="F1460">
        <v>49.905895233000003</v>
      </c>
      <c r="G1460">
        <v>1392.456543</v>
      </c>
      <c r="H1460">
        <v>1375.5726318</v>
      </c>
      <c r="I1460">
        <v>1288.7629394999999</v>
      </c>
      <c r="J1460">
        <v>1269.7344971</v>
      </c>
      <c r="K1460">
        <v>2400</v>
      </c>
      <c r="L1460">
        <v>0</v>
      </c>
      <c r="M1460">
        <v>0</v>
      </c>
      <c r="N1460">
        <v>2400</v>
      </c>
    </row>
    <row r="1461" spans="1:14" x14ac:dyDescent="0.25">
      <c r="A1461">
        <v>1096.5348630000001</v>
      </c>
      <c r="B1461" s="1">
        <f>DATE(2013,5,1) + TIME(12,50,12)</f>
        <v>41395.534861111111</v>
      </c>
      <c r="C1461">
        <v>80</v>
      </c>
      <c r="D1461">
        <v>71.892471313000001</v>
      </c>
      <c r="E1461">
        <v>50</v>
      </c>
      <c r="F1461">
        <v>49.901931763</v>
      </c>
      <c r="G1461">
        <v>1392.2922363</v>
      </c>
      <c r="H1461">
        <v>1375.5031738</v>
      </c>
      <c r="I1461">
        <v>1288.7628173999999</v>
      </c>
      <c r="J1461">
        <v>1269.7338867000001</v>
      </c>
      <c r="K1461">
        <v>2400</v>
      </c>
      <c r="L1461">
        <v>0</v>
      </c>
      <c r="M1461">
        <v>0</v>
      </c>
      <c r="N1461">
        <v>2400</v>
      </c>
    </row>
    <row r="1462" spans="1:14" x14ac:dyDescent="0.25">
      <c r="A1462">
        <v>1096.5740719999999</v>
      </c>
      <c r="B1462" s="1">
        <f>DATE(2013,5,1) + TIME(13,46,39)</f>
        <v>41395.574062500003</v>
      </c>
      <c r="C1462">
        <v>80</v>
      </c>
      <c r="D1462">
        <v>72.331726074000002</v>
      </c>
      <c r="E1462">
        <v>50</v>
      </c>
      <c r="F1462">
        <v>49.897884369000003</v>
      </c>
      <c r="G1462">
        <v>1392.1324463000001</v>
      </c>
      <c r="H1462">
        <v>1375.4348144999999</v>
      </c>
      <c r="I1462">
        <v>1288.7624512</v>
      </c>
      <c r="J1462">
        <v>1269.7332764</v>
      </c>
      <c r="K1462">
        <v>2400</v>
      </c>
      <c r="L1462">
        <v>0</v>
      </c>
      <c r="M1462">
        <v>0</v>
      </c>
      <c r="N1462">
        <v>2400</v>
      </c>
    </row>
    <row r="1463" spans="1:14" x14ac:dyDescent="0.25">
      <c r="A1463">
        <v>1096.6145509999999</v>
      </c>
      <c r="B1463" s="1">
        <f>DATE(2013,5,1) + TIME(14,44,57)</f>
        <v>41395.614548611113</v>
      </c>
      <c r="C1463">
        <v>80</v>
      </c>
      <c r="D1463">
        <v>72.759918213000006</v>
      </c>
      <c r="E1463">
        <v>50</v>
      </c>
      <c r="F1463">
        <v>49.893745422000002</v>
      </c>
      <c r="G1463">
        <v>1391.9769286999999</v>
      </c>
      <c r="H1463">
        <v>1375.3677978999999</v>
      </c>
      <c r="I1463">
        <v>1288.7620850000001</v>
      </c>
      <c r="J1463">
        <v>1269.7325439000001</v>
      </c>
      <c r="K1463">
        <v>2400</v>
      </c>
      <c r="L1463">
        <v>0</v>
      </c>
      <c r="M1463">
        <v>0</v>
      </c>
      <c r="N1463">
        <v>2400</v>
      </c>
    </row>
    <row r="1464" spans="1:14" x14ac:dyDescent="0.25">
      <c r="A1464">
        <v>1096.656387</v>
      </c>
      <c r="B1464" s="1">
        <f>DATE(2013,5,1) + TIME(15,45,11)</f>
        <v>41395.656377314815</v>
      </c>
      <c r="C1464">
        <v>80</v>
      </c>
      <c r="D1464">
        <v>73.176963806000003</v>
      </c>
      <c r="E1464">
        <v>50</v>
      </c>
      <c r="F1464">
        <v>49.889511108000001</v>
      </c>
      <c r="G1464">
        <v>1391.8255615</v>
      </c>
      <c r="H1464">
        <v>1375.3016356999999</v>
      </c>
      <c r="I1464">
        <v>1288.7617187999999</v>
      </c>
      <c r="J1464">
        <v>1269.7316894999999</v>
      </c>
      <c r="K1464">
        <v>2400</v>
      </c>
      <c r="L1464">
        <v>0</v>
      </c>
      <c r="M1464">
        <v>0</v>
      </c>
      <c r="N1464">
        <v>2400</v>
      </c>
    </row>
    <row r="1465" spans="1:14" x14ac:dyDescent="0.25">
      <c r="A1465">
        <v>1096.6996810000001</v>
      </c>
      <c r="B1465" s="1">
        <f>DATE(2013,5,1) + TIME(16,47,32)</f>
        <v>41395.699675925927</v>
      </c>
      <c r="C1465">
        <v>80</v>
      </c>
      <c r="D1465">
        <v>73.582847595000004</v>
      </c>
      <c r="E1465">
        <v>50</v>
      </c>
      <c r="F1465">
        <v>49.885177612</v>
      </c>
      <c r="G1465">
        <v>1391.6782227000001</v>
      </c>
      <c r="H1465">
        <v>1375.2365723</v>
      </c>
      <c r="I1465">
        <v>1288.7612305</v>
      </c>
      <c r="J1465">
        <v>1269.7308350000001</v>
      </c>
      <c r="K1465">
        <v>2400</v>
      </c>
      <c r="L1465">
        <v>0</v>
      </c>
      <c r="M1465">
        <v>0</v>
      </c>
      <c r="N1465">
        <v>2400</v>
      </c>
    </row>
    <row r="1466" spans="1:14" x14ac:dyDescent="0.25">
      <c r="A1466">
        <v>1096.7445439999999</v>
      </c>
      <c r="B1466" s="1">
        <f>DATE(2013,5,1) + TIME(17,52,8)</f>
        <v>41395.744537037041</v>
      </c>
      <c r="C1466">
        <v>80</v>
      </c>
      <c r="D1466">
        <v>73.977523804</v>
      </c>
      <c r="E1466">
        <v>50</v>
      </c>
      <c r="F1466">
        <v>49.880729674999998</v>
      </c>
      <c r="G1466">
        <v>1391.5344238</v>
      </c>
      <c r="H1466">
        <v>1375.1722411999999</v>
      </c>
      <c r="I1466">
        <v>1288.7606201000001</v>
      </c>
      <c r="J1466">
        <v>1269.7298584</v>
      </c>
      <c r="K1466">
        <v>2400</v>
      </c>
      <c r="L1466">
        <v>0</v>
      </c>
      <c r="M1466">
        <v>0</v>
      </c>
      <c r="N1466">
        <v>2400</v>
      </c>
    </row>
    <row r="1467" spans="1:14" x14ac:dyDescent="0.25">
      <c r="A1467">
        <v>1096.791101</v>
      </c>
      <c r="B1467" s="1">
        <f>DATE(2013,5,1) + TIME(18,59,11)</f>
        <v>41395.79109953704</v>
      </c>
      <c r="C1467">
        <v>80</v>
      </c>
      <c r="D1467">
        <v>74.360939025999997</v>
      </c>
      <c r="E1467">
        <v>50</v>
      </c>
      <c r="F1467">
        <v>49.876163482999999</v>
      </c>
      <c r="G1467">
        <v>1391.3941649999999</v>
      </c>
      <c r="H1467">
        <v>1375.1087646000001</v>
      </c>
      <c r="I1467">
        <v>1288.7600098</v>
      </c>
      <c r="J1467">
        <v>1269.7288818</v>
      </c>
      <c r="K1467">
        <v>2400</v>
      </c>
      <c r="L1467">
        <v>0</v>
      </c>
      <c r="M1467">
        <v>0</v>
      </c>
      <c r="N1467">
        <v>2400</v>
      </c>
    </row>
    <row r="1468" spans="1:14" x14ac:dyDescent="0.25">
      <c r="A1468">
        <v>1096.839491</v>
      </c>
      <c r="B1468" s="1">
        <f>DATE(2013,5,1) + TIME(20,8,52)</f>
        <v>41395.839490740742</v>
      </c>
      <c r="C1468">
        <v>80</v>
      </c>
      <c r="D1468">
        <v>74.733032226999995</v>
      </c>
      <c r="E1468">
        <v>50</v>
      </c>
      <c r="F1468">
        <v>49.871467590000002</v>
      </c>
      <c r="G1468">
        <v>1391.2572021000001</v>
      </c>
      <c r="H1468">
        <v>1375.0457764</v>
      </c>
      <c r="I1468">
        <v>1288.7593993999999</v>
      </c>
      <c r="J1468">
        <v>1269.7279053</v>
      </c>
      <c r="K1468">
        <v>2400</v>
      </c>
      <c r="L1468">
        <v>0</v>
      </c>
      <c r="M1468">
        <v>0</v>
      </c>
      <c r="N1468">
        <v>2400</v>
      </c>
    </row>
    <row r="1469" spans="1:14" x14ac:dyDescent="0.25">
      <c r="A1469">
        <v>1096.8898690000001</v>
      </c>
      <c r="B1469" s="1">
        <f>DATE(2013,5,1) + TIME(21,21,24)</f>
        <v>41395.889861111114</v>
      </c>
      <c r="C1469">
        <v>80</v>
      </c>
      <c r="D1469">
        <v>75.093673706000004</v>
      </c>
      <c r="E1469">
        <v>50</v>
      </c>
      <c r="F1469">
        <v>49.866626740000001</v>
      </c>
      <c r="G1469">
        <v>1391.1232910000001</v>
      </c>
      <c r="H1469">
        <v>1374.9833983999999</v>
      </c>
      <c r="I1469">
        <v>1288.7587891000001</v>
      </c>
      <c r="J1469">
        <v>1269.7268065999999</v>
      </c>
      <c r="K1469">
        <v>2400</v>
      </c>
      <c r="L1469">
        <v>0</v>
      </c>
      <c r="M1469">
        <v>0</v>
      </c>
      <c r="N1469">
        <v>2400</v>
      </c>
    </row>
    <row r="1470" spans="1:14" x14ac:dyDescent="0.25">
      <c r="A1470">
        <v>1096.942411</v>
      </c>
      <c r="B1470" s="1">
        <f>DATE(2013,5,1) + TIME(22,37,4)</f>
        <v>41395.942407407405</v>
      </c>
      <c r="C1470">
        <v>80</v>
      </c>
      <c r="D1470">
        <v>75.442649841000005</v>
      </c>
      <c r="E1470">
        <v>50</v>
      </c>
      <c r="F1470">
        <v>49.861633300999998</v>
      </c>
      <c r="G1470">
        <v>1390.9923096</v>
      </c>
      <c r="H1470">
        <v>1374.9212646000001</v>
      </c>
      <c r="I1470">
        <v>1288.7580565999999</v>
      </c>
      <c r="J1470">
        <v>1269.7255858999999</v>
      </c>
      <c r="K1470">
        <v>2400</v>
      </c>
      <c r="L1470">
        <v>0</v>
      </c>
      <c r="M1470">
        <v>0</v>
      </c>
      <c r="N1470">
        <v>2400</v>
      </c>
    </row>
    <row r="1471" spans="1:14" x14ac:dyDescent="0.25">
      <c r="A1471">
        <v>1096.997316</v>
      </c>
      <c r="B1471" s="1">
        <f>DATE(2013,5,1) + TIME(23,56,8)</f>
        <v>41395.997314814813</v>
      </c>
      <c r="C1471">
        <v>80</v>
      </c>
      <c r="D1471">
        <v>75.780059813999998</v>
      </c>
      <c r="E1471">
        <v>50</v>
      </c>
      <c r="F1471">
        <v>49.856472015000001</v>
      </c>
      <c r="G1471">
        <v>1390.8640137</v>
      </c>
      <c r="H1471">
        <v>1374.859375</v>
      </c>
      <c r="I1471">
        <v>1288.7572021000001</v>
      </c>
      <c r="J1471">
        <v>1269.7243652</v>
      </c>
      <c r="K1471">
        <v>2400</v>
      </c>
      <c r="L1471">
        <v>0</v>
      </c>
      <c r="M1471">
        <v>0</v>
      </c>
      <c r="N1471">
        <v>2400</v>
      </c>
    </row>
    <row r="1472" spans="1:14" x14ac:dyDescent="0.25">
      <c r="A1472">
        <v>1097.054826</v>
      </c>
      <c r="B1472" s="1">
        <f>DATE(2013,5,2) + TIME(1,18,56)</f>
        <v>41396.054814814815</v>
      </c>
      <c r="C1472">
        <v>80</v>
      </c>
      <c r="D1472">
        <v>76.105888367000006</v>
      </c>
      <c r="E1472">
        <v>50</v>
      </c>
      <c r="F1472">
        <v>49.851123809999997</v>
      </c>
      <c r="G1472">
        <v>1390.7380370999999</v>
      </c>
      <c r="H1472">
        <v>1374.7976074000001</v>
      </c>
      <c r="I1472">
        <v>1288.7563477000001</v>
      </c>
      <c r="J1472">
        <v>1269.7230225000001</v>
      </c>
      <c r="K1472">
        <v>2400</v>
      </c>
      <c r="L1472">
        <v>0</v>
      </c>
      <c r="M1472">
        <v>0</v>
      </c>
      <c r="N1472">
        <v>2400</v>
      </c>
    </row>
    <row r="1473" spans="1:14" x14ac:dyDescent="0.25">
      <c r="A1473">
        <v>1097.115217</v>
      </c>
      <c r="B1473" s="1">
        <f>DATE(2013,5,2) + TIME(2,45,54)</f>
        <v>41396.115208333336</v>
      </c>
      <c r="C1473">
        <v>80</v>
      </c>
      <c r="D1473">
        <v>76.420074463000006</v>
      </c>
      <c r="E1473">
        <v>50</v>
      </c>
      <c r="F1473">
        <v>49.845569611000002</v>
      </c>
      <c r="G1473">
        <v>1390.6143798999999</v>
      </c>
      <c r="H1473">
        <v>1374.7358397999999</v>
      </c>
      <c r="I1473">
        <v>1288.7554932</v>
      </c>
      <c r="J1473">
        <v>1269.7216797000001</v>
      </c>
      <c r="K1473">
        <v>2400</v>
      </c>
      <c r="L1473">
        <v>0</v>
      </c>
      <c r="M1473">
        <v>0</v>
      </c>
      <c r="N1473">
        <v>2400</v>
      </c>
    </row>
    <row r="1474" spans="1:14" x14ac:dyDescent="0.25">
      <c r="A1474">
        <v>1097.178766</v>
      </c>
      <c r="B1474" s="1">
        <f>DATE(2013,5,2) + TIME(4,17,25)</f>
        <v>41396.178761574076</v>
      </c>
      <c r="C1474">
        <v>80</v>
      </c>
      <c r="D1474">
        <v>76.722366332999997</v>
      </c>
      <c r="E1474">
        <v>50</v>
      </c>
      <c r="F1474">
        <v>49.839790344000001</v>
      </c>
      <c r="G1474">
        <v>1390.4926757999999</v>
      </c>
      <c r="H1474">
        <v>1374.6739502</v>
      </c>
      <c r="I1474">
        <v>1288.7545166</v>
      </c>
      <c r="J1474">
        <v>1269.7202147999999</v>
      </c>
      <c r="K1474">
        <v>2400</v>
      </c>
      <c r="L1474">
        <v>0</v>
      </c>
      <c r="M1474">
        <v>0</v>
      </c>
      <c r="N1474">
        <v>2400</v>
      </c>
    </row>
    <row r="1475" spans="1:14" x14ac:dyDescent="0.25">
      <c r="A1475">
        <v>1097.2458220000001</v>
      </c>
      <c r="B1475" s="1">
        <f>DATE(2013,5,2) + TIME(5,53,59)</f>
        <v>41396.245821759258</v>
      </c>
      <c r="C1475">
        <v>80</v>
      </c>
      <c r="D1475">
        <v>77.012626647999994</v>
      </c>
      <c r="E1475">
        <v>50</v>
      </c>
      <c r="F1475">
        <v>49.833759307999998</v>
      </c>
      <c r="G1475">
        <v>1390.3729248</v>
      </c>
      <c r="H1475">
        <v>1374.6115723</v>
      </c>
      <c r="I1475">
        <v>1288.7535399999999</v>
      </c>
      <c r="J1475">
        <v>1269.7186279</v>
      </c>
      <c r="K1475">
        <v>2400</v>
      </c>
      <c r="L1475">
        <v>0</v>
      </c>
      <c r="M1475">
        <v>0</v>
      </c>
      <c r="N1475">
        <v>2400</v>
      </c>
    </row>
    <row r="1476" spans="1:14" x14ac:dyDescent="0.25">
      <c r="A1476">
        <v>1097.3167960000001</v>
      </c>
      <c r="B1476" s="1">
        <f>DATE(2013,5,2) + TIME(7,36,11)</f>
        <v>41396.316793981481</v>
      </c>
      <c r="C1476">
        <v>80</v>
      </c>
      <c r="D1476">
        <v>77.290710449000002</v>
      </c>
      <c r="E1476">
        <v>50</v>
      </c>
      <c r="F1476">
        <v>49.827453613000003</v>
      </c>
      <c r="G1476">
        <v>1390.2546387</v>
      </c>
      <c r="H1476">
        <v>1374.5488281</v>
      </c>
      <c r="I1476">
        <v>1288.7524414</v>
      </c>
      <c r="J1476">
        <v>1269.7170410000001</v>
      </c>
      <c r="K1476">
        <v>2400</v>
      </c>
      <c r="L1476">
        <v>0</v>
      </c>
      <c r="M1476">
        <v>0</v>
      </c>
      <c r="N1476">
        <v>2400</v>
      </c>
    </row>
    <row r="1477" spans="1:14" x14ac:dyDescent="0.25">
      <c r="A1477">
        <v>1097.3921680000001</v>
      </c>
      <c r="B1477" s="1">
        <f>DATE(2013,5,2) + TIME(9,24,43)</f>
        <v>41396.392164351855</v>
      </c>
      <c r="C1477">
        <v>80</v>
      </c>
      <c r="D1477">
        <v>77.556457519999995</v>
      </c>
      <c r="E1477">
        <v>50</v>
      </c>
      <c r="F1477">
        <v>49.820831298999998</v>
      </c>
      <c r="G1477">
        <v>1390.1376952999999</v>
      </c>
      <c r="H1477">
        <v>1374.4853516000001</v>
      </c>
      <c r="I1477">
        <v>1288.7513428</v>
      </c>
      <c r="J1477">
        <v>1269.715332</v>
      </c>
      <c r="K1477">
        <v>2400</v>
      </c>
      <c r="L1477">
        <v>0</v>
      </c>
      <c r="M1477">
        <v>0</v>
      </c>
      <c r="N1477">
        <v>2400</v>
      </c>
    </row>
    <row r="1478" spans="1:14" x14ac:dyDescent="0.25">
      <c r="A1478">
        <v>1097.472497</v>
      </c>
      <c r="B1478" s="1">
        <f>DATE(2013,5,2) + TIME(11,20,23)</f>
        <v>41396.472488425927</v>
      </c>
      <c r="C1478">
        <v>80</v>
      </c>
      <c r="D1478">
        <v>77.809646606000001</v>
      </c>
      <c r="E1478">
        <v>50</v>
      </c>
      <c r="F1478">
        <v>49.813861846999998</v>
      </c>
      <c r="G1478">
        <v>1390.0218506000001</v>
      </c>
      <c r="H1478">
        <v>1374.4210204999999</v>
      </c>
      <c r="I1478">
        <v>1288.7501221</v>
      </c>
      <c r="J1478">
        <v>1269.713501</v>
      </c>
      <c r="K1478">
        <v>2400</v>
      </c>
      <c r="L1478">
        <v>0</v>
      </c>
      <c r="M1478">
        <v>0</v>
      </c>
      <c r="N1478">
        <v>2400</v>
      </c>
    </row>
    <row r="1479" spans="1:14" x14ac:dyDescent="0.25">
      <c r="A1479">
        <v>1097.558493</v>
      </c>
      <c r="B1479" s="1">
        <f>DATE(2013,5,2) + TIME(13,24,13)</f>
        <v>41396.558483796296</v>
      </c>
      <c r="C1479">
        <v>80</v>
      </c>
      <c r="D1479">
        <v>78.050140381000006</v>
      </c>
      <c r="E1479">
        <v>50</v>
      </c>
      <c r="F1479">
        <v>49.806491852000001</v>
      </c>
      <c r="G1479">
        <v>1389.9067382999999</v>
      </c>
      <c r="H1479">
        <v>1374.3557129000001</v>
      </c>
      <c r="I1479">
        <v>1288.7487793</v>
      </c>
      <c r="J1479">
        <v>1269.7115478999999</v>
      </c>
      <c r="K1479">
        <v>2400</v>
      </c>
      <c r="L1479">
        <v>0</v>
      </c>
      <c r="M1479">
        <v>0</v>
      </c>
      <c r="N1479">
        <v>2400</v>
      </c>
    </row>
    <row r="1480" spans="1:14" x14ac:dyDescent="0.25">
      <c r="A1480">
        <v>1097.6509980000001</v>
      </c>
      <c r="B1480" s="1">
        <f>DATE(2013,5,2) + TIME(15,37,26)</f>
        <v>41396.650995370372</v>
      </c>
      <c r="C1480">
        <v>80</v>
      </c>
      <c r="D1480">
        <v>78.277748107999997</v>
      </c>
      <c r="E1480">
        <v>50</v>
      </c>
      <c r="F1480">
        <v>49.798667907999999</v>
      </c>
      <c r="G1480">
        <v>1389.7922363</v>
      </c>
      <c r="H1480">
        <v>1374.2889404</v>
      </c>
      <c r="I1480">
        <v>1288.7473144999999</v>
      </c>
      <c r="J1480">
        <v>1269.7094727000001</v>
      </c>
      <c r="K1480">
        <v>2400</v>
      </c>
      <c r="L1480">
        <v>0</v>
      </c>
      <c r="M1480">
        <v>0</v>
      </c>
      <c r="N1480">
        <v>2400</v>
      </c>
    </row>
    <row r="1481" spans="1:14" x14ac:dyDescent="0.25">
      <c r="A1481">
        <v>1097.751053</v>
      </c>
      <c r="B1481" s="1">
        <f>DATE(2013,5,2) + TIME(18,1,31)</f>
        <v>41396.75105324074</v>
      </c>
      <c r="C1481">
        <v>80</v>
      </c>
      <c r="D1481">
        <v>78.492233275999993</v>
      </c>
      <c r="E1481">
        <v>50</v>
      </c>
      <c r="F1481">
        <v>49.790317535</v>
      </c>
      <c r="G1481">
        <v>1389.6777344</v>
      </c>
      <c r="H1481">
        <v>1374.2205810999999</v>
      </c>
      <c r="I1481">
        <v>1288.7458495999999</v>
      </c>
      <c r="J1481">
        <v>1269.7072754000001</v>
      </c>
      <c r="K1481">
        <v>2400</v>
      </c>
      <c r="L1481">
        <v>0</v>
      </c>
      <c r="M1481">
        <v>0</v>
      </c>
      <c r="N1481">
        <v>2400</v>
      </c>
    </row>
    <row r="1482" spans="1:14" x14ac:dyDescent="0.25">
      <c r="A1482">
        <v>1097.8599650000001</v>
      </c>
      <c r="B1482" s="1">
        <f>DATE(2013,5,2) + TIME(20,38,20)</f>
        <v>41396.859953703701</v>
      </c>
      <c r="C1482">
        <v>80</v>
      </c>
      <c r="D1482">
        <v>78.693367003999995</v>
      </c>
      <c r="E1482">
        <v>50</v>
      </c>
      <c r="F1482">
        <v>49.781356811999999</v>
      </c>
      <c r="G1482">
        <v>1389.5628661999999</v>
      </c>
      <c r="H1482">
        <v>1374.1502685999999</v>
      </c>
      <c r="I1482">
        <v>1288.7441406</v>
      </c>
      <c r="J1482">
        <v>1269.7049560999999</v>
      </c>
      <c r="K1482">
        <v>2400</v>
      </c>
      <c r="L1482">
        <v>0</v>
      </c>
      <c r="M1482">
        <v>0</v>
      </c>
      <c r="N1482">
        <v>2400</v>
      </c>
    </row>
    <row r="1483" spans="1:14" x14ac:dyDescent="0.25">
      <c r="A1483">
        <v>1097.973172</v>
      </c>
      <c r="B1483" s="1">
        <f>DATE(2013,5,2) + TIME(23,21,22)</f>
        <v>41396.973171296297</v>
      </c>
      <c r="C1483">
        <v>80</v>
      </c>
      <c r="D1483">
        <v>78.872512817</v>
      </c>
      <c r="E1483">
        <v>50</v>
      </c>
      <c r="F1483">
        <v>49.772117614999999</v>
      </c>
      <c r="G1483">
        <v>1389.4519043</v>
      </c>
      <c r="H1483">
        <v>1374.0798339999999</v>
      </c>
      <c r="I1483">
        <v>1288.7423096</v>
      </c>
      <c r="J1483">
        <v>1269.7022704999999</v>
      </c>
      <c r="K1483">
        <v>2400</v>
      </c>
      <c r="L1483">
        <v>0</v>
      </c>
      <c r="M1483">
        <v>0</v>
      </c>
      <c r="N1483">
        <v>2400</v>
      </c>
    </row>
    <row r="1484" spans="1:14" x14ac:dyDescent="0.25">
      <c r="A1484">
        <v>1098.0867909999999</v>
      </c>
      <c r="B1484" s="1">
        <f>DATE(2013,5,3) + TIME(2,4,58)</f>
        <v>41397.086782407408</v>
      </c>
      <c r="C1484">
        <v>80</v>
      </c>
      <c r="D1484">
        <v>79.026519774999997</v>
      </c>
      <c r="E1484">
        <v>50</v>
      </c>
      <c r="F1484">
        <v>49.762886047000002</v>
      </c>
      <c r="G1484">
        <v>1389.3474120999999</v>
      </c>
      <c r="H1484">
        <v>1374.0115966999999</v>
      </c>
      <c r="I1484">
        <v>1288.7403564000001</v>
      </c>
      <c r="J1484">
        <v>1269.6995850000001</v>
      </c>
      <c r="K1484">
        <v>2400</v>
      </c>
      <c r="L1484">
        <v>0</v>
      </c>
      <c r="M1484">
        <v>0</v>
      </c>
      <c r="N1484">
        <v>2400</v>
      </c>
    </row>
    <row r="1485" spans="1:14" x14ac:dyDescent="0.25">
      <c r="A1485">
        <v>1098.2010949999999</v>
      </c>
      <c r="B1485" s="1">
        <f>DATE(2013,5,3) + TIME(4,49,34)</f>
        <v>41397.20108796296</v>
      </c>
      <c r="C1485">
        <v>80</v>
      </c>
      <c r="D1485">
        <v>79.159118652000004</v>
      </c>
      <c r="E1485">
        <v>50</v>
      </c>
      <c r="F1485">
        <v>49.753639221</v>
      </c>
      <c r="G1485">
        <v>1389.2491454999999</v>
      </c>
      <c r="H1485">
        <v>1373.9459228999999</v>
      </c>
      <c r="I1485">
        <v>1288.7384033000001</v>
      </c>
      <c r="J1485">
        <v>1269.6968993999999</v>
      </c>
      <c r="K1485">
        <v>2400</v>
      </c>
      <c r="L1485">
        <v>0</v>
      </c>
      <c r="M1485">
        <v>0</v>
      </c>
      <c r="N1485">
        <v>2400</v>
      </c>
    </row>
    <row r="1486" spans="1:14" x14ac:dyDescent="0.25">
      <c r="A1486">
        <v>1098.316386</v>
      </c>
      <c r="B1486" s="1">
        <f>DATE(2013,5,3) + TIME(7,35,35)</f>
        <v>41397.316377314812</v>
      </c>
      <c r="C1486">
        <v>80</v>
      </c>
      <c r="D1486">
        <v>79.273460388000004</v>
      </c>
      <c r="E1486">
        <v>50</v>
      </c>
      <c r="F1486">
        <v>49.744350433000001</v>
      </c>
      <c r="G1486">
        <v>1389.15625</v>
      </c>
      <c r="H1486">
        <v>1373.8825684000001</v>
      </c>
      <c r="I1486">
        <v>1288.7363281</v>
      </c>
      <c r="J1486">
        <v>1269.6942139</v>
      </c>
      <c r="K1486">
        <v>2400</v>
      </c>
      <c r="L1486">
        <v>0</v>
      </c>
      <c r="M1486">
        <v>0</v>
      </c>
      <c r="N1486">
        <v>2400</v>
      </c>
    </row>
    <row r="1487" spans="1:14" x14ac:dyDescent="0.25">
      <c r="A1487">
        <v>1098.432951</v>
      </c>
      <c r="B1487" s="1">
        <f>DATE(2013,5,3) + TIME(10,23,26)</f>
        <v>41397.432939814818</v>
      </c>
      <c r="C1487">
        <v>80</v>
      </c>
      <c r="D1487">
        <v>79.372154236</v>
      </c>
      <c r="E1487">
        <v>50</v>
      </c>
      <c r="F1487">
        <v>49.735004425</v>
      </c>
      <c r="G1487">
        <v>1389.0678711</v>
      </c>
      <c r="H1487">
        <v>1373.8212891000001</v>
      </c>
      <c r="I1487">
        <v>1288.734375</v>
      </c>
      <c r="J1487">
        <v>1269.6915283000001</v>
      </c>
      <c r="K1487">
        <v>2400</v>
      </c>
      <c r="L1487">
        <v>0</v>
      </c>
      <c r="M1487">
        <v>0</v>
      </c>
      <c r="N1487">
        <v>2400</v>
      </c>
    </row>
    <row r="1488" spans="1:14" x14ac:dyDescent="0.25">
      <c r="A1488">
        <v>1098.5510710000001</v>
      </c>
      <c r="B1488" s="1">
        <f>DATE(2013,5,3) + TIME(13,13,32)</f>
        <v>41397.551064814812</v>
      </c>
      <c r="C1488">
        <v>80</v>
      </c>
      <c r="D1488">
        <v>79.457374572999996</v>
      </c>
      <c r="E1488">
        <v>50</v>
      </c>
      <c r="F1488">
        <v>49.725582123000002</v>
      </c>
      <c r="G1488">
        <v>1388.9835204999999</v>
      </c>
      <c r="H1488">
        <v>1373.7617187999999</v>
      </c>
      <c r="I1488">
        <v>1288.7322998</v>
      </c>
      <c r="J1488">
        <v>1269.6887207</v>
      </c>
      <c r="K1488">
        <v>2400</v>
      </c>
      <c r="L1488">
        <v>0</v>
      </c>
      <c r="M1488">
        <v>0</v>
      </c>
      <c r="N1488">
        <v>2400</v>
      </c>
    </row>
    <row r="1489" spans="1:14" x14ac:dyDescent="0.25">
      <c r="A1489">
        <v>1098.6710459999999</v>
      </c>
      <c r="B1489" s="1">
        <f>DATE(2013,5,3) + TIME(16,6,18)</f>
        <v>41397.671041666668</v>
      </c>
      <c r="C1489">
        <v>80</v>
      </c>
      <c r="D1489">
        <v>79.530990600999999</v>
      </c>
      <c r="E1489">
        <v>50</v>
      </c>
      <c r="F1489">
        <v>49.716060638000002</v>
      </c>
      <c r="G1489">
        <v>1388.9025879000001</v>
      </c>
      <c r="H1489">
        <v>1373.7036132999999</v>
      </c>
      <c r="I1489">
        <v>1288.7302245999999</v>
      </c>
      <c r="J1489">
        <v>1269.6859131000001</v>
      </c>
      <c r="K1489">
        <v>2400</v>
      </c>
      <c r="L1489">
        <v>0</v>
      </c>
      <c r="M1489">
        <v>0</v>
      </c>
      <c r="N1489">
        <v>2400</v>
      </c>
    </row>
    <row r="1490" spans="1:14" x14ac:dyDescent="0.25">
      <c r="A1490">
        <v>1098.793173</v>
      </c>
      <c r="B1490" s="1">
        <f>DATE(2013,5,3) + TIME(19,2,10)</f>
        <v>41397.793171296296</v>
      </c>
      <c r="C1490">
        <v>80</v>
      </c>
      <c r="D1490">
        <v>79.594558715999995</v>
      </c>
      <c r="E1490">
        <v>50</v>
      </c>
      <c r="F1490">
        <v>49.706417084000002</v>
      </c>
      <c r="G1490">
        <v>1388.824707</v>
      </c>
      <c r="H1490">
        <v>1373.6468506000001</v>
      </c>
      <c r="I1490">
        <v>1288.7281493999999</v>
      </c>
      <c r="J1490">
        <v>1269.6829834</v>
      </c>
      <c r="K1490">
        <v>2400</v>
      </c>
      <c r="L1490">
        <v>0</v>
      </c>
      <c r="M1490">
        <v>0</v>
      </c>
      <c r="N1490">
        <v>2400</v>
      </c>
    </row>
    <row r="1491" spans="1:14" x14ac:dyDescent="0.25">
      <c r="A1491">
        <v>1098.917713</v>
      </c>
      <c r="B1491" s="1">
        <f>DATE(2013,5,3) + TIME(22,1,30)</f>
        <v>41397.917708333334</v>
      </c>
      <c r="C1491">
        <v>80</v>
      </c>
      <c r="D1491">
        <v>79.649398804</v>
      </c>
      <c r="E1491">
        <v>50</v>
      </c>
      <c r="F1491">
        <v>49.6966362</v>
      </c>
      <c r="G1491">
        <v>1388.7492675999999</v>
      </c>
      <c r="H1491">
        <v>1373.5911865</v>
      </c>
      <c r="I1491">
        <v>1288.7259521000001</v>
      </c>
      <c r="J1491">
        <v>1269.6801757999999</v>
      </c>
      <c r="K1491">
        <v>2400</v>
      </c>
      <c r="L1491">
        <v>0</v>
      </c>
      <c r="M1491">
        <v>0</v>
      </c>
      <c r="N1491">
        <v>2400</v>
      </c>
    </row>
    <row r="1492" spans="1:14" x14ac:dyDescent="0.25">
      <c r="A1492">
        <v>1099.044973</v>
      </c>
      <c r="B1492" s="1">
        <f>DATE(2013,5,4) + TIME(1,4,45)</f>
        <v>41398.044965277775</v>
      </c>
      <c r="C1492">
        <v>80</v>
      </c>
      <c r="D1492">
        <v>79.696662903000004</v>
      </c>
      <c r="E1492">
        <v>50</v>
      </c>
      <c r="F1492">
        <v>49.686695098999998</v>
      </c>
      <c r="G1492">
        <v>1388.6760254000001</v>
      </c>
      <c r="H1492">
        <v>1373.536499</v>
      </c>
      <c r="I1492">
        <v>1288.7237548999999</v>
      </c>
      <c r="J1492">
        <v>1269.677124</v>
      </c>
      <c r="K1492">
        <v>2400</v>
      </c>
      <c r="L1492">
        <v>0</v>
      </c>
      <c r="M1492">
        <v>0</v>
      </c>
      <c r="N1492">
        <v>2400</v>
      </c>
    </row>
    <row r="1493" spans="1:14" x14ac:dyDescent="0.25">
      <c r="A1493">
        <v>1099.1752770000001</v>
      </c>
      <c r="B1493" s="1">
        <f>DATE(2013,5,4) + TIME(4,12,23)</f>
        <v>41398.175266203703</v>
      </c>
      <c r="C1493">
        <v>80</v>
      </c>
      <c r="D1493">
        <v>79.737335204999994</v>
      </c>
      <c r="E1493">
        <v>50</v>
      </c>
      <c r="F1493">
        <v>49.676570892000001</v>
      </c>
      <c r="G1493">
        <v>1388.6047363</v>
      </c>
      <c r="H1493">
        <v>1373.4826660000001</v>
      </c>
      <c r="I1493">
        <v>1288.7215576000001</v>
      </c>
      <c r="J1493">
        <v>1269.6740723</v>
      </c>
      <c r="K1493">
        <v>2400</v>
      </c>
      <c r="L1493">
        <v>0</v>
      </c>
      <c r="M1493">
        <v>0</v>
      </c>
      <c r="N1493">
        <v>2400</v>
      </c>
    </row>
    <row r="1494" spans="1:14" x14ac:dyDescent="0.25">
      <c r="A1494">
        <v>1099.3089729999999</v>
      </c>
      <c r="B1494" s="1">
        <f>DATE(2013,5,4) + TIME(7,24,55)</f>
        <v>41398.308969907404</v>
      </c>
      <c r="C1494">
        <v>80</v>
      </c>
      <c r="D1494">
        <v>79.772293090999995</v>
      </c>
      <c r="E1494">
        <v>50</v>
      </c>
      <c r="F1494">
        <v>49.666244507000002</v>
      </c>
      <c r="G1494">
        <v>1388.5350341999999</v>
      </c>
      <c r="H1494">
        <v>1373.4295654</v>
      </c>
      <c r="I1494">
        <v>1288.7192382999999</v>
      </c>
      <c r="J1494">
        <v>1269.6710204999999</v>
      </c>
      <c r="K1494">
        <v>2400</v>
      </c>
      <c r="L1494">
        <v>0</v>
      </c>
      <c r="M1494">
        <v>0</v>
      </c>
      <c r="N1494">
        <v>2400</v>
      </c>
    </row>
    <row r="1495" spans="1:14" x14ac:dyDescent="0.25">
      <c r="A1495">
        <v>1099.4464350000001</v>
      </c>
      <c r="B1495" s="1">
        <f>DATE(2013,5,4) + TIME(10,42,51)</f>
        <v>41398.446423611109</v>
      </c>
      <c r="C1495">
        <v>80</v>
      </c>
      <c r="D1495">
        <v>79.802261353000006</v>
      </c>
      <c r="E1495">
        <v>50</v>
      </c>
      <c r="F1495">
        <v>49.655689240000001</v>
      </c>
      <c r="G1495">
        <v>1388.4667969</v>
      </c>
      <c r="H1495">
        <v>1373.3769531</v>
      </c>
      <c r="I1495">
        <v>1288.7167969</v>
      </c>
      <c r="J1495">
        <v>1269.6677245999999</v>
      </c>
      <c r="K1495">
        <v>2400</v>
      </c>
      <c r="L1495">
        <v>0</v>
      </c>
      <c r="M1495">
        <v>0</v>
      </c>
      <c r="N1495">
        <v>2400</v>
      </c>
    </row>
    <row r="1496" spans="1:14" x14ac:dyDescent="0.25">
      <c r="A1496">
        <v>1099.588074</v>
      </c>
      <c r="B1496" s="1">
        <f>DATE(2013,5,4) + TIME(14,6,49)</f>
        <v>41398.588067129633</v>
      </c>
      <c r="C1496">
        <v>80</v>
      </c>
      <c r="D1496">
        <v>79.827896117999998</v>
      </c>
      <c r="E1496">
        <v>50</v>
      </c>
      <c r="F1496">
        <v>49.644874573000003</v>
      </c>
      <c r="G1496">
        <v>1388.3995361</v>
      </c>
      <c r="H1496">
        <v>1373.3248291</v>
      </c>
      <c r="I1496">
        <v>1288.7143555</v>
      </c>
      <c r="J1496">
        <v>1269.6644286999999</v>
      </c>
      <c r="K1496">
        <v>2400</v>
      </c>
      <c r="L1496">
        <v>0</v>
      </c>
      <c r="M1496">
        <v>0</v>
      </c>
      <c r="N1496">
        <v>2400</v>
      </c>
    </row>
    <row r="1497" spans="1:14" x14ac:dyDescent="0.25">
      <c r="A1497">
        <v>1099.7343430000001</v>
      </c>
      <c r="B1497" s="1">
        <f>DATE(2013,5,4) + TIME(17,37,27)</f>
        <v>41398.734340277777</v>
      </c>
      <c r="C1497">
        <v>80</v>
      </c>
      <c r="D1497">
        <v>79.849769592000001</v>
      </c>
      <c r="E1497">
        <v>50</v>
      </c>
      <c r="F1497">
        <v>49.633773804</v>
      </c>
      <c r="G1497">
        <v>1388.3331298999999</v>
      </c>
      <c r="H1497">
        <v>1373.2729492000001</v>
      </c>
      <c r="I1497">
        <v>1288.7117920000001</v>
      </c>
      <c r="J1497">
        <v>1269.6610106999999</v>
      </c>
      <c r="K1497">
        <v>2400</v>
      </c>
      <c r="L1497">
        <v>0</v>
      </c>
      <c r="M1497">
        <v>0</v>
      </c>
      <c r="N1497">
        <v>2400</v>
      </c>
    </row>
    <row r="1498" spans="1:14" x14ac:dyDescent="0.25">
      <c r="A1498">
        <v>1099.8857439999999</v>
      </c>
      <c r="B1498" s="1">
        <f>DATE(2013,5,4) + TIME(21,15,28)</f>
        <v>41398.885740740741</v>
      </c>
      <c r="C1498">
        <v>80</v>
      </c>
      <c r="D1498">
        <v>79.868370056000003</v>
      </c>
      <c r="E1498">
        <v>50</v>
      </c>
      <c r="F1498">
        <v>49.622356414999999</v>
      </c>
      <c r="G1498">
        <v>1388.2673339999999</v>
      </c>
      <c r="H1498">
        <v>1373.2213135</v>
      </c>
      <c r="I1498">
        <v>1288.7092285000001</v>
      </c>
      <c r="J1498">
        <v>1269.6574707</v>
      </c>
      <c r="K1498">
        <v>2400</v>
      </c>
      <c r="L1498">
        <v>0</v>
      </c>
      <c r="M1498">
        <v>0</v>
      </c>
      <c r="N1498">
        <v>2400</v>
      </c>
    </row>
    <row r="1499" spans="1:14" x14ac:dyDescent="0.25">
      <c r="A1499">
        <v>1100.042852</v>
      </c>
      <c r="B1499" s="1">
        <f>DATE(2013,5,5) + TIME(1,1,42)</f>
        <v>41399.042847222219</v>
      </c>
      <c r="C1499">
        <v>80</v>
      </c>
      <c r="D1499">
        <v>79.884140015</v>
      </c>
      <c r="E1499">
        <v>50</v>
      </c>
      <c r="F1499">
        <v>49.610584258999999</v>
      </c>
      <c r="G1499">
        <v>1388.2020264</v>
      </c>
      <c r="H1499">
        <v>1373.1696777</v>
      </c>
      <c r="I1499">
        <v>1288.706543</v>
      </c>
      <c r="J1499">
        <v>1269.6538086</v>
      </c>
      <c r="K1499">
        <v>2400</v>
      </c>
      <c r="L1499">
        <v>0</v>
      </c>
      <c r="M1499">
        <v>0</v>
      </c>
      <c r="N1499">
        <v>2400</v>
      </c>
    </row>
    <row r="1500" spans="1:14" x14ac:dyDescent="0.25">
      <c r="A1500">
        <v>1100.2063929999999</v>
      </c>
      <c r="B1500" s="1">
        <f>DATE(2013,5,5) + TIME(4,57,12)</f>
        <v>41399.206388888888</v>
      </c>
      <c r="C1500">
        <v>80</v>
      </c>
      <c r="D1500">
        <v>79.897460937999995</v>
      </c>
      <c r="E1500">
        <v>50</v>
      </c>
      <c r="F1500">
        <v>49.598411560000002</v>
      </c>
      <c r="G1500">
        <v>1388.1368408000001</v>
      </c>
      <c r="H1500">
        <v>1373.1179199000001</v>
      </c>
      <c r="I1500">
        <v>1288.7037353999999</v>
      </c>
      <c r="J1500">
        <v>1269.6500243999999</v>
      </c>
      <c r="K1500">
        <v>2400</v>
      </c>
      <c r="L1500">
        <v>0</v>
      </c>
      <c r="M1500">
        <v>0</v>
      </c>
      <c r="N1500">
        <v>2400</v>
      </c>
    </row>
    <row r="1501" spans="1:14" x14ac:dyDescent="0.25">
      <c r="A1501">
        <v>1100.3770010000001</v>
      </c>
      <c r="B1501" s="1">
        <f>DATE(2013,5,5) + TIME(9,2,52)</f>
        <v>41399.37699074074</v>
      </c>
      <c r="C1501">
        <v>80</v>
      </c>
      <c r="D1501">
        <v>79.908653259000005</v>
      </c>
      <c r="E1501">
        <v>50</v>
      </c>
      <c r="F1501">
        <v>49.585796356000003</v>
      </c>
      <c r="G1501">
        <v>1388.0716553</v>
      </c>
      <c r="H1501">
        <v>1373.065918</v>
      </c>
      <c r="I1501">
        <v>1288.7006836</v>
      </c>
      <c r="J1501">
        <v>1269.6461182</v>
      </c>
      <c r="K1501">
        <v>2400</v>
      </c>
      <c r="L1501">
        <v>0</v>
      </c>
      <c r="M1501">
        <v>0</v>
      </c>
      <c r="N1501">
        <v>2400</v>
      </c>
    </row>
    <row r="1502" spans="1:14" x14ac:dyDescent="0.25">
      <c r="A1502">
        <v>1100.554451</v>
      </c>
      <c r="B1502" s="1">
        <f>DATE(2013,5,5) + TIME(13,18,24)</f>
        <v>41399.554444444446</v>
      </c>
      <c r="C1502">
        <v>80</v>
      </c>
      <c r="D1502">
        <v>79.917984008999994</v>
      </c>
      <c r="E1502">
        <v>50</v>
      </c>
      <c r="F1502">
        <v>49.572753906000003</v>
      </c>
      <c r="G1502">
        <v>1388.0062256000001</v>
      </c>
      <c r="H1502">
        <v>1373.0135498</v>
      </c>
      <c r="I1502">
        <v>1288.6976318</v>
      </c>
      <c r="J1502">
        <v>1269.6419678</v>
      </c>
      <c r="K1502">
        <v>2400</v>
      </c>
      <c r="L1502">
        <v>0</v>
      </c>
      <c r="M1502">
        <v>0</v>
      </c>
      <c r="N1502">
        <v>2400</v>
      </c>
    </row>
    <row r="1503" spans="1:14" x14ac:dyDescent="0.25">
      <c r="A1503">
        <v>1100.7381029999999</v>
      </c>
      <c r="B1503" s="1">
        <f>DATE(2013,5,5) + TIME(17,42,52)</f>
        <v>41399.73810185185</v>
      </c>
      <c r="C1503">
        <v>80</v>
      </c>
      <c r="D1503">
        <v>79.925666809000006</v>
      </c>
      <c r="E1503">
        <v>50</v>
      </c>
      <c r="F1503">
        <v>49.559322356999999</v>
      </c>
      <c r="G1503">
        <v>1387.9407959</v>
      </c>
      <c r="H1503">
        <v>1372.9609375</v>
      </c>
      <c r="I1503">
        <v>1288.6944579999999</v>
      </c>
      <c r="J1503">
        <v>1269.6376952999999</v>
      </c>
      <c r="K1503">
        <v>2400</v>
      </c>
      <c r="L1503">
        <v>0</v>
      </c>
      <c r="M1503">
        <v>0</v>
      </c>
      <c r="N1503">
        <v>2400</v>
      </c>
    </row>
    <row r="1504" spans="1:14" x14ac:dyDescent="0.25">
      <c r="A1504">
        <v>1100.9286420000001</v>
      </c>
      <c r="B1504" s="1">
        <f>DATE(2013,5,5) + TIME(22,17,14)</f>
        <v>41399.92863425926</v>
      </c>
      <c r="C1504">
        <v>80</v>
      </c>
      <c r="D1504">
        <v>79.931983947999996</v>
      </c>
      <c r="E1504">
        <v>50</v>
      </c>
      <c r="F1504">
        <v>49.545459747000002</v>
      </c>
      <c r="G1504">
        <v>1387.8754882999999</v>
      </c>
      <c r="H1504">
        <v>1372.9084473</v>
      </c>
      <c r="I1504">
        <v>1288.6910399999999</v>
      </c>
      <c r="J1504">
        <v>1269.6331786999999</v>
      </c>
      <c r="K1504">
        <v>2400</v>
      </c>
      <c r="L1504">
        <v>0</v>
      </c>
      <c r="M1504">
        <v>0</v>
      </c>
      <c r="N1504">
        <v>2400</v>
      </c>
    </row>
    <row r="1505" spans="1:14" x14ac:dyDescent="0.25">
      <c r="A1505">
        <v>1101.1268250000001</v>
      </c>
      <c r="B1505" s="1">
        <f>DATE(2013,5,6) + TIME(3,2,37)</f>
        <v>41400.126817129632</v>
      </c>
      <c r="C1505">
        <v>80</v>
      </c>
      <c r="D1505">
        <v>79.937149047999995</v>
      </c>
      <c r="E1505">
        <v>50</v>
      </c>
      <c r="F1505">
        <v>49.531120299999998</v>
      </c>
      <c r="G1505">
        <v>1387.8101807</v>
      </c>
      <c r="H1505">
        <v>1372.8558350000001</v>
      </c>
      <c r="I1505">
        <v>1288.6876221</v>
      </c>
      <c r="J1505">
        <v>1269.6285399999999</v>
      </c>
      <c r="K1505">
        <v>2400</v>
      </c>
      <c r="L1505">
        <v>0</v>
      </c>
      <c r="M1505">
        <v>0</v>
      </c>
      <c r="N1505">
        <v>2400</v>
      </c>
    </row>
    <row r="1506" spans="1:14" x14ac:dyDescent="0.25">
      <c r="A1506">
        <v>1101.333521</v>
      </c>
      <c r="B1506" s="1">
        <f>DATE(2013,5,6) + TIME(8,0,16)</f>
        <v>41400.333518518521</v>
      </c>
      <c r="C1506">
        <v>80</v>
      </c>
      <c r="D1506">
        <v>79.941360474000007</v>
      </c>
      <c r="E1506">
        <v>50</v>
      </c>
      <c r="F1506">
        <v>49.516258239999999</v>
      </c>
      <c r="G1506">
        <v>1387.7445068</v>
      </c>
      <c r="H1506">
        <v>1372.8028564000001</v>
      </c>
      <c r="I1506">
        <v>1288.6839600000001</v>
      </c>
      <c r="J1506">
        <v>1269.6237793</v>
      </c>
      <c r="K1506">
        <v>2400</v>
      </c>
      <c r="L1506">
        <v>0</v>
      </c>
      <c r="M1506">
        <v>0</v>
      </c>
      <c r="N1506">
        <v>2400</v>
      </c>
    </row>
    <row r="1507" spans="1:14" x14ac:dyDescent="0.25">
      <c r="A1507">
        <v>1101.549571</v>
      </c>
      <c r="B1507" s="1">
        <f>DATE(2013,5,6) + TIME(13,11,22)</f>
        <v>41400.549560185187</v>
      </c>
      <c r="C1507">
        <v>80</v>
      </c>
      <c r="D1507">
        <v>79.944778442</v>
      </c>
      <c r="E1507">
        <v>50</v>
      </c>
      <c r="F1507">
        <v>49.500820160000004</v>
      </c>
      <c r="G1507">
        <v>1387.6784668</v>
      </c>
      <c r="H1507">
        <v>1372.7496338000001</v>
      </c>
      <c r="I1507">
        <v>1288.6801757999999</v>
      </c>
      <c r="J1507">
        <v>1269.6187743999999</v>
      </c>
      <c r="K1507">
        <v>2400</v>
      </c>
      <c r="L1507">
        <v>0</v>
      </c>
      <c r="M1507">
        <v>0</v>
      </c>
      <c r="N1507">
        <v>2400</v>
      </c>
    </row>
    <row r="1508" spans="1:14" x14ac:dyDescent="0.25">
      <c r="A1508">
        <v>1101.776053</v>
      </c>
      <c r="B1508" s="1">
        <f>DATE(2013,5,6) + TIME(18,37,30)</f>
        <v>41400.776041666664</v>
      </c>
      <c r="C1508">
        <v>80</v>
      </c>
      <c r="D1508">
        <v>79.947540282999995</v>
      </c>
      <c r="E1508">
        <v>50</v>
      </c>
      <c r="F1508">
        <v>49.484741210999999</v>
      </c>
      <c r="G1508">
        <v>1387.6118164</v>
      </c>
      <c r="H1508">
        <v>1372.6956786999999</v>
      </c>
      <c r="I1508">
        <v>1288.6762695</v>
      </c>
      <c r="J1508">
        <v>1269.6135254000001</v>
      </c>
      <c r="K1508">
        <v>2400</v>
      </c>
      <c r="L1508">
        <v>0</v>
      </c>
      <c r="M1508">
        <v>0</v>
      </c>
      <c r="N1508">
        <v>2400</v>
      </c>
    </row>
    <row r="1509" spans="1:14" x14ac:dyDescent="0.25">
      <c r="A1509">
        <v>1102.0088760000001</v>
      </c>
      <c r="B1509" s="1">
        <f>DATE(2013,5,7) + TIME(0,12,46)</f>
        <v>41401.00886574074</v>
      </c>
      <c r="C1509">
        <v>80</v>
      </c>
      <c r="D1509">
        <v>79.949729919000006</v>
      </c>
      <c r="E1509">
        <v>50</v>
      </c>
      <c r="F1509">
        <v>49.468250275000003</v>
      </c>
      <c r="G1509">
        <v>1387.5444336</v>
      </c>
      <c r="H1509">
        <v>1372.6412353999999</v>
      </c>
      <c r="I1509">
        <v>1288.6719971</v>
      </c>
      <c r="J1509">
        <v>1269.6080322</v>
      </c>
      <c r="K1509">
        <v>2400</v>
      </c>
      <c r="L1509">
        <v>0</v>
      </c>
      <c r="M1509">
        <v>0</v>
      </c>
      <c r="N1509">
        <v>2400</v>
      </c>
    </row>
    <row r="1510" spans="1:14" x14ac:dyDescent="0.25">
      <c r="A1510">
        <v>1102.2430340000001</v>
      </c>
      <c r="B1510" s="1">
        <f>DATE(2013,5,7) + TIME(5,49,58)</f>
        <v>41401.243032407408</v>
      </c>
      <c r="C1510">
        <v>80</v>
      </c>
      <c r="D1510">
        <v>79.951423645000006</v>
      </c>
      <c r="E1510">
        <v>50</v>
      </c>
      <c r="F1510">
        <v>49.451629638999997</v>
      </c>
      <c r="G1510">
        <v>1387.4774170000001</v>
      </c>
      <c r="H1510">
        <v>1372.5871582</v>
      </c>
      <c r="I1510">
        <v>1288.6677245999999</v>
      </c>
      <c r="J1510">
        <v>1269.6022949000001</v>
      </c>
      <c r="K1510">
        <v>2400</v>
      </c>
      <c r="L1510">
        <v>0</v>
      </c>
      <c r="M1510">
        <v>0</v>
      </c>
      <c r="N1510">
        <v>2400</v>
      </c>
    </row>
    <row r="1511" spans="1:14" x14ac:dyDescent="0.25">
      <c r="A1511">
        <v>1102.479135</v>
      </c>
      <c r="B1511" s="1">
        <f>DATE(2013,5,7) + TIME(11,29,57)</f>
        <v>41401.479131944441</v>
      </c>
      <c r="C1511">
        <v>80</v>
      </c>
      <c r="D1511">
        <v>79.952743530000006</v>
      </c>
      <c r="E1511">
        <v>50</v>
      </c>
      <c r="F1511">
        <v>49.434867859000001</v>
      </c>
      <c r="G1511">
        <v>1387.4122314000001</v>
      </c>
      <c r="H1511">
        <v>1372.5344238</v>
      </c>
      <c r="I1511">
        <v>1288.6633300999999</v>
      </c>
      <c r="J1511">
        <v>1269.5966797000001</v>
      </c>
      <c r="K1511">
        <v>2400</v>
      </c>
      <c r="L1511">
        <v>0</v>
      </c>
      <c r="M1511">
        <v>0</v>
      </c>
      <c r="N1511">
        <v>2400</v>
      </c>
    </row>
    <row r="1512" spans="1:14" x14ac:dyDescent="0.25">
      <c r="A1512">
        <v>1102.7178269999999</v>
      </c>
      <c r="B1512" s="1">
        <f>DATE(2013,5,7) + TIME(17,13,40)</f>
        <v>41401.717824074076</v>
      </c>
      <c r="C1512">
        <v>80</v>
      </c>
      <c r="D1512">
        <v>79.953788756999998</v>
      </c>
      <c r="E1512">
        <v>50</v>
      </c>
      <c r="F1512">
        <v>49.417942046999997</v>
      </c>
      <c r="G1512">
        <v>1387.3485106999999</v>
      </c>
      <c r="H1512">
        <v>1372.4830322</v>
      </c>
      <c r="I1512">
        <v>1288.6589355000001</v>
      </c>
      <c r="J1512">
        <v>1269.5909423999999</v>
      </c>
      <c r="K1512">
        <v>2400</v>
      </c>
      <c r="L1512">
        <v>0</v>
      </c>
      <c r="M1512">
        <v>0</v>
      </c>
      <c r="N1512">
        <v>2400</v>
      </c>
    </row>
    <row r="1513" spans="1:14" x14ac:dyDescent="0.25">
      <c r="A1513">
        <v>1102.959762</v>
      </c>
      <c r="B1513" s="1">
        <f>DATE(2013,5,7) + TIME(23,2,3)</f>
        <v>41401.959756944445</v>
      </c>
      <c r="C1513">
        <v>80</v>
      </c>
      <c r="D1513">
        <v>79.954605103000006</v>
      </c>
      <c r="E1513">
        <v>50</v>
      </c>
      <c r="F1513">
        <v>49.400833130000002</v>
      </c>
      <c r="G1513">
        <v>1387.2860106999999</v>
      </c>
      <c r="H1513">
        <v>1372.4326172000001</v>
      </c>
      <c r="I1513">
        <v>1288.6544189000001</v>
      </c>
      <c r="J1513">
        <v>1269.5850829999999</v>
      </c>
      <c r="K1513">
        <v>2400</v>
      </c>
      <c r="L1513">
        <v>0</v>
      </c>
      <c r="M1513">
        <v>0</v>
      </c>
      <c r="N1513">
        <v>2400</v>
      </c>
    </row>
    <row r="1514" spans="1:14" x14ac:dyDescent="0.25">
      <c r="A1514">
        <v>1103.205598</v>
      </c>
      <c r="B1514" s="1">
        <f>DATE(2013,5,8) + TIME(4,56,3)</f>
        <v>41402.205590277779</v>
      </c>
      <c r="C1514">
        <v>80</v>
      </c>
      <c r="D1514">
        <v>79.955253600999995</v>
      </c>
      <c r="E1514">
        <v>50</v>
      </c>
      <c r="F1514">
        <v>49.383506775000001</v>
      </c>
      <c r="G1514">
        <v>1387.2244873</v>
      </c>
      <c r="H1514">
        <v>1372.3830565999999</v>
      </c>
      <c r="I1514">
        <v>1288.6499022999999</v>
      </c>
      <c r="J1514">
        <v>1269.5791016000001</v>
      </c>
      <c r="K1514">
        <v>2400</v>
      </c>
      <c r="L1514">
        <v>0</v>
      </c>
      <c r="M1514">
        <v>0</v>
      </c>
      <c r="N1514">
        <v>2400</v>
      </c>
    </row>
    <row r="1515" spans="1:14" x14ac:dyDescent="0.25">
      <c r="A1515">
        <v>1103.456015</v>
      </c>
      <c r="B1515" s="1">
        <f>DATE(2013,5,8) + TIME(10,56,39)</f>
        <v>41402.456006944441</v>
      </c>
      <c r="C1515">
        <v>80</v>
      </c>
      <c r="D1515">
        <v>79.955772400000001</v>
      </c>
      <c r="E1515">
        <v>50</v>
      </c>
      <c r="F1515">
        <v>49.365928650000001</v>
      </c>
      <c r="G1515">
        <v>1387.1636963000001</v>
      </c>
      <c r="H1515">
        <v>1372.3342285000001</v>
      </c>
      <c r="I1515">
        <v>1288.6453856999999</v>
      </c>
      <c r="J1515">
        <v>1269.5731201000001</v>
      </c>
      <c r="K1515">
        <v>2400</v>
      </c>
      <c r="L1515">
        <v>0</v>
      </c>
      <c r="M1515">
        <v>0</v>
      </c>
      <c r="N1515">
        <v>2400</v>
      </c>
    </row>
    <row r="1516" spans="1:14" x14ac:dyDescent="0.25">
      <c r="A1516">
        <v>1103.711724</v>
      </c>
      <c r="B1516" s="1">
        <f>DATE(2013,5,8) + TIME(17,4,52)</f>
        <v>41402.711712962962</v>
      </c>
      <c r="C1516">
        <v>80</v>
      </c>
      <c r="D1516">
        <v>79.956192017000006</v>
      </c>
      <c r="E1516">
        <v>50</v>
      </c>
      <c r="F1516">
        <v>49.348068237</v>
      </c>
      <c r="G1516">
        <v>1387.1036377</v>
      </c>
      <c r="H1516">
        <v>1372.2858887</v>
      </c>
      <c r="I1516">
        <v>1288.640625</v>
      </c>
      <c r="J1516">
        <v>1269.5670166</v>
      </c>
      <c r="K1516">
        <v>2400</v>
      </c>
      <c r="L1516">
        <v>0</v>
      </c>
      <c r="M1516">
        <v>0</v>
      </c>
      <c r="N1516">
        <v>2400</v>
      </c>
    </row>
    <row r="1517" spans="1:14" x14ac:dyDescent="0.25">
      <c r="A1517">
        <v>1103.973485</v>
      </c>
      <c r="B1517" s="1">
        <f>DATE(2013,5,8) + TIME(23,21,49)</f>
        <v>41402.973483796297</v>
      </c>
      <c r="C1517">
        <v>80</v>
      </c>
      <c r="D1517">
        <v>79.956527710000003</v>
      </c>
      <c r="E1517">
        <v>50</v>
      </c>
      <c r="F1517">
        <v>49.329875946000001</v>
      </c>
      <c r="G1517">
        <v>1387.0439452999999</v>
      </c>
      <c r="H1517">
        <v>1372.2379149999999</v>
      </c>
      <c r="I1517">
        <v>1288.6358643000001</v>
      </c>
      <c r="J1517">
        <v>1269.5607910000001</v>
      </c>
      <c r="K1517">
        <v>2400</v>
      </c>
      <c r="L1517">
        <v>0</v>
      </c>
      <c r="M1517">
        <v>0</v>
      </c>
      <c r="N1517">
        <v>2400</v>
      </c>
    </row>
    <row r="1518" spans="1:14" x14ac:dyDescent="0.25">
      <c r="A1518">
        <v>1104.2421179999999</v>
      </c>
      <c r="B1518" s="1">
        <f>DATE(2013,5,9) + TIME(5,48,38)</f>
        <v>41403.242106481484</v>
      </c>
      <c r="C1518">
        <v>80</v>
      </c>
      <c r="D1518">
        <v>79.956802367999998</v>
      </c>
      <c r="E1518">
        <v>50</v>
      </c>
      <c r="F1518">
        <v>49.311313628999997</v>
      </c>
      <c r="G1518">
        <v>1386.984375</v>
      </c>
      <c r="H1518">
        <v>1372.1901855000001</v>
      </c>
      <c r="I1518">
        <v>1288.6309814000001</v>
      </c>
      <c r="J1518">
        <v>1269.5543213000001</v>
      </c>
      <c r="K1518">
        <v>2400</v>
      </c>
      <c r="L1518">
        <v>0</v>
      </c>
      <c r="M1518">
        <v>0</v>
      </c>
      <c r="N1518">
        <v>2400</v>
      </c>
    </row>
    <row r="1519" spans="1:14" x14ac:dyDescent="0.25">
      <c r="A1519">
        <v>1104.518523</v>
      </c>
      <c r="B1519" s="1">
        <f>DATE(2013,5,9) + TIME(12,26,40)</f>
        <v>41403.518518518518</v>
      </c>
      <c r="C1519">
        <v>80</v>
      </c>
      <c r="D1519">
        <v>79.957015991000006</v>
      </c>
      <c r="E1519">
        <v>50</v>
      </c>
      <c r="F1519">
        <v>49.292327880999999</v>
      </c>
      <c r="G1519">
        <v>1386.9249268000001</v>
      </c>
      <c r="H1519">
        <v>1372.1424560999999</v>
      </c>
      <c r="I1519">
        <v>1288.6259766000001</v>
      </c>
      <c r="J1519">
        <v>1269.5477295000001</v>
      </c>
      <c r="K1519">
        <v>2400</v>
      </c>
      <c r="L1519">
        <v>0</v>
      </c>
      <c r="M1519">
        <v>0</v>
      </c>
      <c r="N1519">
        <v>2400</v>
      </c>
    </row>
    <row r="1520" spans="1:14" x14ac:dyDescent="0.25">
      <c r="A1520">
        <v>1104.803844</v>
      </c>
      <c r="B1520" s="1">
        <f>DATE(2013,5,9) + TIME(19,17,32)</f>
        <v>41403.803842592592</v>
      </c>
      <c r="C1520">
        <v>80</v>
      </c>
      <c r="D1520">
        <v>79.957199097</v>
      </c>
      <c r="E1520">
        <v>50</v>
      </c>
      <c r="F1520">
        <v>49.272853851000001</v>
      </c>
      <c r="G1520">
        <v>1386.8653564000001</v>
      </c>
      <c r="H1520">
        <v>1372.0948486</v>
      </c>
      <c r="I1520">
        <v>1288.6208495999999</v>
      </c>
      <c r="J1520">
        <v>1269.5408935999999</v>
      </c>
      <c r="K1520">
        <v>2400</v>
      </c>
      <c r="L1520">
        <v>0</v>
      </c>
      <c r="M1520">
        <v>0</v>
      </c>
      <c r="N1520">
        <v>2400</v>
      </c>
    </row>
    <row r="1521" spans="1:14" x14ac:dyDescent="0.25">
      <c r="A1521">
        <v>1105.097123</v>
      </c>
      <c r="B1521" s="1">
        <f>DATE(2013,5,10) + TIME(2,19,51)</f>
        <v>41404.097118055557</v>
      </c>
      <c r="C1521">
        <v>80</v>
      </c>
      <c r="D1521">
        <v>79.957344054999993</v>
      </c>
      <c r="E1521">
        <v>50</v>
      </c>
      <c r="F1521">
        <v>49.252933501999998</v>
      </c>
      <c r="G1521">
        <v>1386.8055420000001</v>
      </c>
      <c r="H1521">
        <v>1372.046875</v>
      </c>
      <c r="I1521">
        <v>1288.6154785000001</v>
      </c>
      <c r="J1521">
        <v>1269.5339355000001</v>
      </c>
      <c r="K1521">
        <v>2400</v>
      </c>
      <c r="L1521">
        <v>0</v>
      </c>
      <c r="M1521">
        <v>0</v>
      </c>
      <c r="N1521">
        <v>2400</v>
      </c>
    </row>
    <row r="1522" spans="1:14" x14ac:dyDescent="0.25">
      <c r="A1522">
        <v>1105.3965149999999</v>
      </c>
      <c r="B1522" s="1">
        <f>DATE(2013,5,10) + TIME(9,30,58)</f>
        <v>41404.396504629629</v>
      </c>
      <c r="C1522">
        <v>80</v>
      </c>
      <c r="D1522">
        <v>79.957466124999996</v>
      </c>
      <c r="E1522">
        <v>50</v>
      </c>
      <c r="F1522">
        <v>49.232662200999997</v>
      </c>
      <c r="G1522">
        <v>1386.7456055</v>
      </c>
      <c r="H1522">
        <v>1371.9990233999999</v>
      </c>
      <c r="I1522">
        <v>1288.6099853999999</v>
      </c>
      <c r="J1522">
        <v>1269.5267334</v>
      </c>
      <c r="K1522">
        <v>2400</v>
      </c>
      <c r="L1522">
        <v>0</v>
      </c>
      <c r="M1522">
        <v>0</v>
      </c>
      <c r="N1522">
        <v>2400</v>
      </c>
    </row>
    <row r="1523" spans="1:14" x14ac:dyDescent="0.25">
      <c r="A1523">
        <v>1105.702824</v>
      </c>
      <c r="B1523" s="1">
        <f>DATE(2013,5,10) + TIME(16,52,3)</f>
        <v>41404.7028125</v>
      </c>
      <c r="C1523">
        <v>80</v>
      </c>
      <c r="D1523">
        <v>79.957557678000001</v>
      </c>
      <c r="E1523">
        <v>50</v>
      </c>
      <c r="F1523">
        <v>49.211997986</v>
      </c>
      <c r="G1523">
        <v>1386.6859131000001</v>
      </c>
      <c r="H1523">
        <v>1371.9514160000001</v>
      </c>
      <c r="I1523">
        <v>1288.6042480000001</v>
      </c>
      <c r="J1523">
        <v>1269.5192870999999</v>
      </c>
      <c r="K1523">
        <v>2400</v>
      </c>
      <c r="L1523">
        <v>0</v>
      </c>
      <c r="M1523">
        <v>0</v>
      </c>
      <c r="N1523">
        <v>2400</v>
      </c>
    </row>
    <row r="1524" spans="1:14" x14ac:dyDescent="0.25">
      <c r="A1524">
        <v>1106.0168650000001</v>
      </c>
      <c r="B1524" s="1">
        <f>DATE(2013,5,11) + TIME(0,24,17)</f>
        <v>41405.016863425924</v>
      </c>
      <c r="C1524">
        <v>80</v>
      </c>
      <c r="D1524">
        <v>79.957633971999996</v>
      </c>
      <c r="E1524">
        <v>50</v>
      </c>
      <c r="F1524">
        <v>49.190914153999998</v>
      </c>
      <c r="G1524">
        <v>1386.6264647999999</v>
      </c>
      <c r="H1524">
        <v>1371.9039307</v>
      </c>
      <c r="I1524">
        <v>1288.5985106999999</v>
      </c>
      <c r="J1524">
        <v>1269.5117187999999</v>
      </c>
      <c r="K1524">
        <v>2400</v>
      </c>
      <c r="L1524">
        <v>0</v>
      </c>
      <c r="M1524">
        <v>0</v>
      </c>
      <c r="N1524">
        <v>2400</v>
      </c>
    </row>
    <row r="1525" spans="1:14" x14ac:dyDescent="0.25">
      <c r="A1525">
        <v>1106.3395350000001</v>
      </c>
      <c r="B1525" s="1">
        <f>DATE(2013,5,11) + TIME(8,8,55)</f>
        <v>41405.339525462965</v>
      </c>
      <c r="C1525">
        <v>80</v>
      </c>
      <c r="D1525">
        <v>79.957695006999998</v>
      </c>
      <c r="E1525">
        <v>50</v>
      </c>
      <c r="F1525">
        <v>49.169361115000001</v>
      </c>
      <c r="G1525">
        <v>1386.5671387</v>
      </c>
      <c r="H1525">
        <v>1371.8565673999999</v>
      </c>
      <c r="I1525">
        <v>1288.5925293</v>
      </c>
      <c r="J1525">
        <v>1269.5040283000001</v>
      </c>
      <c r="K1525">
        <v>2400</v>
      </c>
      <c r="L1525">
        <v>0</v>
      </c>
      <c r="M1525">
        <v>0</v>
      </c>
      <c r="N1525">
        <v>2400</v>
      </c>
    </row>
    <row r="1526" spans="1:14" x14ac:dyDescent="0.25">
      <c r="A1526">
        <v>1106.671826</v>
      </c>
      <c r="B1526" s="1">
        <f>DATE(2013,5,11) + TIME(16,7,25)</f>
        <v>41405.671817129631</v>
      </c>
      <c r="C1526">
        <v>80</v>
      </c>
      <c r="D1526">
        <v>79.957740783999995</v>
      </c>
      <c r="E1526">
        <v>50</v>
      </c>
      <c r="F1526">
        <v>49.147289276000002</v>
      </c>
      <c r="G1526">
        <v>1386.5075684000001</v>
      </c>
      <c r="H1526">
        <v>1371.8092041</v>
      </c>
      <c r="I1526">
        <v>1288.5864257999999</v>
      </c>
      <c r="J1526">
        <v>1269.4959716999999</v>
      </c>
      <c r="K1526">
        <v>2400</v>
      </c>
      <c r="L1526">
        <v>0</v>
      </c>
      <c r="M1526">
        <v>0</v>
      </c>
      <c r="N1526">
        <v>2400</v>
      </c>
    </row>
    <row r="1527" spans="1:14" x14ac:dyDescent="0.25">
      <c r="A1527">
        <v>1107.0148389999999</v>
      </c>
      <c r="B1527" s="1">
        <f>DATE(2013,5,12) + TIME(0,21,22)</f>
        <v>41406.014837962961</v>
      </c>
      <c r="C1527">
        <v>80</v>
      </c>
      <c r="D1527">
        <v>79.957778931000007</v>
      </c>
      <c r="E1527">
        <v>50</v>
      </c>
      <c r="F1527">
        <v>49.124641418000003</v>
      </c>
      <c r="G1527">
        <v>1386.4477539</v>
      </c>
      <c r="H1527">
        <v>1371.7615966999999</v>
      </c>
      <c r="I1527">
        <v>1288.5802002</v>
      </c>
      <c r="J1527">
        <v>1269.487793</v>
      </c>
      <c r="K1527">
        <v>2400</v>
      </c>
      <c r="L1527">
        <v>0</v>
      </c>
      <c r="M1527">
        <v>0</v>
      </c>
      <c r="N1527">
        <v>2400</v>
      </c>
    </row>
    <row r="1528" spans="1:14" x14ac:dyDescent="0.25">
      <c r="A1528">
        <v>1107.370038</v>
      </c>
      <c r="B1528" s="1">
        <f>DATE(2013,5,12) + TIME(8,52,51)</f>
        <v>41406.370034722226</v>
      </c>
      <c r="C1528">
        <v>80</v>
      </c>
      <c r="D1528">
        <v>79.957809448000006</v>
      </c>
      <c r="E1528">
        <v>50</v>
      </c>
      <c r="F1528">
        <v>49.101341247999997</v>
      </c>
      <c r="G1528">
        <v>1386.3875731999999</v>
      </c>
      <c r="H1528">
        <v>1371.7137451000001</v>
      </c>
      <c r="I1528">
        <v>1288.5736084</v>
      </c>
      <c r="J1528">
        <v>1269.4792480000001</v>
      </c>
      <c r="K1528">
        <v>2400</v>
      </c>
      <c r="L1528">
        <v>0</v>
      </c>
      <c r="M1528">
        <v>0</v>
      </c>
      <c r="N1528">
        <v>2400</v>
      </c>
    </row>
    <row r="1529" spans="1:14" x14ac:dyDescent="0.25">
      <c r="A1529">
        <v>1107.738672</v>
      </c>
      <c r="B1529" s="1">
        <f>DATE(2013,5,12) + TIME(17,43,41)</f>
        <v>41406.738668981481</v>
      </c>
      <c r="C1529">
        <v>80</v>
      </c>
      <c r="D1529">
        <v>79.957832335999996</v>
      </c>
      <c r="E1529">
        <v>50</v>
      </c>
      <c r="F1529">
        <v>49.077323913999997</v>
      </c>
      <c r="G1529">
        <v>1386.3267822</v>
      </c>
      <c r="H1529">
        <v>1371.6655272999999</v>
      </c>
      <c r="I1529">
        <v>1288.5668945</v>
      </c>
      <c r="J1529">
        <v>1269.4704589999999</v>
      </c>
      <c r="K1529">
        <v>2400</v>
      </c>
      <c r="L1529">
        <v>0</v>
      </c>
      <c r="M1529">
        <v>0</v>
      </c>
      <c r="N1529">
        <v>2400</v>
      </c>
    </row>
    <row r="1530" spans="1:14" x14ac:dyDescent="0.25">
      <c r="A1530">
        <v>1108.1116280000001</v>
      </c>
      <c r="B1530" s="1">
        <f>DATE(2013,5,13) + TIME(2,40,44)</f>
        <v>41407.111620370371</v>
      </c>
      <c r="C1530">
        <v>80</v>
      </c>
      <c r="D1530">
        <v>79.957839965999995</v>
      </c>
      <c r="E1530">
        <v>50</v>
      </c>
      <c r="F1530">
        <v>49.052986144999998</v>
      </c>
      <c r="G1530">
        <v>1386.2652588000001</v>
      </c>
      <c r="H1530">
        <v>1371.6166992000001</v>
      </c>
      <c r="I1530">
        <v>1288.5598144999999</v>
      </c>
      <c r="J1530">
        <v>1269.4613036999999</v>
      </c>
      <c r="K1530">
        <v>2400</v>
      </c>
      <c r="L1530">
        <v>0</v>
      </c>
      <c r="M1530">
        <v>0</v>
      </c>
      <c r="N1530">
        <v>2400</v>
      </c>
    </row>
    <row r="1531" spans="1:14" x14ac:dyDescent="0.25">
      <c r="A1531">
        <v>1108.487946</v>
      </c>
      <c r="B1531" s="1">
        <f>DATE(2013,5,13) + TIME(11,42,38)</f>
        <v>41407.487939814811</v>
      </c>
      <c r="C1531">
        <v>80</v>
      </c>
      <c r="D1531">
        <v>79.957847595000004</v>
      </c>
      <c r="E1531">
        <v>50</v>
      </c>
      <c r="F1531">
        <v>49.028411865000002</v>
      </c>
      <c r="G1531">
        <v>1386.2045897999999</v>
      </c>
      <c r="H1531">
        <v>1371.5684814000001</v>
      </c>
      <c r="I1531">
        <v>1288.5526123</v>
      </c>
      <c r="J1531">
        <v>1269.4520264</v>
      </c>
      <c r="K1531">
        <v>2400</v>
      </c>
      <c r="L1531">
        <v>0</v>
      </c>
      <c r="M1531">
        <v>0</v>
      </c>
      <c r="N1531">
        <v>2400</v>
      </c>
    </row>
    <row r="1532" spans="1:14" x14ac:dyDescent="0.25">
      <c r="A1532">
        <v>1108.8681999999999</v>
      </c>
      <c r="B1532" s="1">
        <f>DATE(2013,5,13) + TIME(20,50,12)</f>
        <v>41407.868194444447</v>
      </c>
      <c r="C1532">
        <v>80</v>
      </c>
      <c r="D1532">
        <v>79.957855225000003</v>
      </c>
      <c r="E1532">
        <v>50</v>
      </c>
      <c r="F1532">
        <v>49.003616332999997</v>
      </c>
      <c r="G1532">
        <v>1386.1447754000001</v>
      </c>
      <c r="H1532">
        <v>1371.5211182</v>
      </c>
      <c r="I1532">
        <v>1288.5454102000001</v>
      </c>
      <c r="J1532">
        <v>1269.4426269999999</v>
      </c>
      <c r="K1532">
        <v>2400</v>
      </c>
      <c r="L1532">
        <v>0</v>
      </c>
      <c r="M1532">
        <v>0</v>
      </c>
      <c r="N1532">
        <v>2400</v>
      </c>
    </row>
    <row r="1533" spans="1:14" x14ac:dyDescent="0.25">
      <c r="A1533">
        <v>1109.253406</v>
      </c>
      <c r="B1533" s="1">
        <f>DATE(2013,5,14) + TIME(6,4,54)</f>
        <v>41408.25340277778</v>
      </c>
      <c r="C1533">
        <v>80</v>
      </c>
      <c r="D1533">
        <v>79.957855225000003</v>
      </c>
      <c r="E1533">
        <v>50</v>
      </c>
      <c r="F1533">
        <v>48.978576660000002</v>
      </c>
      <c r="G1533">
        <v>1386.0858154</v>
      </c>
      <c r="H1533">
        <v>1371.4743652</v>
      </c>
      <c r="I1533">
        <v>1288.5380858999999</v>
      </c>
      <c r="J1533">
        <v>1269.4331055</v>
      </c>
      <c r="K1533">
        <v>2400</v>
      </c>
      <c r="L1533">
        <v>0</v>
      </c>
      <c r="M1533">
        <v>0</v>
      </c>
      <c r="N1533">
        <v>2400</v>
      </c>
    </row>
    <row r="1534" spans="1:14" x14ac:dyDescent="0.25">
      <c r="A1534">
        <v>1109.644601</v>
      </c>
      <c r="B1534" s="1">
        <f>DATE(2013,5,14) + TIME(15,28,13)</f>
        <v>41408.644594907404</v>
      </c>
      <c r="C1534">
        <v>80</v>
      </c>
      <c r="D1534">
        <v>79.957847595000004</v>
      </c>
      <c r="E1534">
        <v>50</v>
      </c>
      <c r="F1534">
        <v>48.953254700000002</v>
      </c>
      <c r="G1534">
        <v>1386.0274658000001</v>
      </c>
      <c r="H1534">
        <v>1371.4281006000001</v>
      </c>
      <c r="I1534">
        <v>1288.5306396000001</v>
      </c>
      <c r="J1534">
        <v>1269.4234618999999</v>
      </c>
      <c r="K1534">
        <v>2400</v>
      </c>
      <c r="L1534">
        <v>0</v>
      </c>
      <c r="M1534">
        <v>0</v>
      </c>
      <c r="N1534">
        <v>2400</v>
      </c>
    </row>
    <row r="1535" spans="1:14" x14ac:dyDescent="0.25">
      <c r="A1535">
        <v>1110.042862</v>
      </c>
      <c r="B1535" s="1">
        <f>DATE(2013,5,15) + TIME(1,1,43)</f>
        <v>41409.042858796296</v>
      </c>
      <c r="C1535">
        <v>80</v>
      </c>
      <c r="D1535">
        <v>79.957839965999995</v>
      </c>
      <c r="E1535">
        <v>50</v>
      </c>
      <c r="F1535">
        <v>48.927612304999997</v>
      </c>
      <c r="G1535">
        <v>1385.9696045000001</v>
      </c>
      <c r="H1535">
        <v>1371.3823242000001</v>
      </c>
      <c r="I1535">
        <v>1288.5231934000001</v>
      </c>
      <c r="J1535">
        <v>1269.4136963000001</v>
      </c>
      <c r="K1535">
        <v>2400</v>
      </c>
      <c r="L1535">
        <v>0</v>
      </c>
      <c r="M1535">
        <v>0</v>
      </c>
      <c r="N1535">
        <v>2400</v>
      </c>
    </row>
    <row r="1536" spans="1:14" x14ac:dyDescent="0.25">
      <c r="A1536">
        <v>1110.4493239999999</v>
      </c>
      <c r="B1536" s="1">
        <f>DATE(2013,5,15) + TIME(10,47,1)</f>
        <v>41409.449317129627</v>
      </c>
      <c r="C1536">
        <v>80</v>
      </c>
      <c r="D1536">
        <v>79.957832335999996</v>
      </c>
      <c r="E1536">
        <v>50</v>
      </c>
      <c r="F1536">
        <v>48.901592254999997</v>
      </c>
      <c r="G1536">
        <v>1385.9119873</v>
      </c>
      <c r="H1536">
        <v>1371.3366699000001</v>
      </c>
      <c r="I1536">
        <v>1288.5155029</v>
      </c>
      <c r="J1536">
        <v>1269.4036865</v>
      </c>
      <c r="K1536">
        <v>2400</v>
      </c>
      <c r="L1536">
        <v>0</v>
      </c>
      <c r="M1536">
        <v>0</v>
      </c>
      <c r="N1536">
        <v>2400</v>
      </c>
    </row>
    <row r="1537" spans="1:14" x14ac:dyDescent="0.25">
      <c r="A1537">
        <v>1110.865198</v>
      </c>
      <c r="B1537" s="1">
        <f>DATE(2013,5,15) + TIME(20,45,53)</f>
        <v>41409.86519675926</v>
      </c>
      <c r="C1537">
        <v>80</v>
      </c>
      <c r="D1537">
        <v>79.957817078000005</v>
      </c>
      <c r="E1537">
        <v>50</v>
      </c>
      <c r="F1537">
        <v>48.875133513999998</v>
      </c>
      <c r="G1537">
        <v>1385.8543701000001</v>
      </c>
      <c r="H1537">
        <v>1371.2912598</v>
      </c>
      <c r="I1537">
        <v>1288.5075684000001</v>
      </c>
      <c r="J1537">
        <v>1269.3933105000001</v>
      </c>
      <c r="K1537">
        <v>2400</v>
      </c>
      <c r="L1537">
        <v>0</v>
      </c>
      <c r="M1537">
        <v>0</v>
      </c>
      <c r="N1537">
        <v>2400</v>
      </c>
    </row>
    <row r="1538" spans="1:14" x14ac:dyDescent="0.25">
      <c r="A1538">
        <v>1111.291802</v>
      </c>
      <c r="B1538" s="1">
        <f>DATE(2013,5,16) + TIME(7,0,11)</f>
        <v>41410.29179398148</v>
      </c>
      <c r="C1538">
        <v>80</v>
      </c>
      <c r="D1538">
        <v>79.957809448000006</v>
      </c>
      <c r="E1538">
        <v>50</v>
      </c>
      <c r="F1538">
        <v>48.848167418999999</v>
      </c>
      <c r="G1538">
        <v>1385.796875</v>
      </c>
      <c r="H1538">
        <v>1371.2457274999999</v>
      </c>
      <c r="I1538">
        <v>1288.4995117000001</v>
      </c>
      <c r="J1538">
        <v>1269.3828125</v>
      </c>
      <c r="K1538">
        <v>2400</v>
      </c>
      <c r="L1538">
        <v>0</v>
      </c>
      <c r="M1538">
        <v>0</v>
      </c>
      <c r="N1538">
        <v>2400</v>
      </c>
    </row>
    <row r="1539" spans="1:14" x14ac:dyDescent="0.25">
      <c r="A1539">
        <v>1111.730591</v>
      </c>
      <c r="B1539" s="1">
        <f>DATE(2013,5,16) + TIME(17,32,3)</f>
        <v>41410.730590277781</v>
      </c>
      <c r="C1539">
        <v>80</v>
      </c>
      <c r="D1539">
        <v>79.957794188999998</v>
      </c>
      <c r="E1539">
        <v>50</v>
      </c>
      <c r="F1539">
        <v>48.820625305</v>
      </c>
      <c r="G1539">
        <v>1385.7391356999999</v>
      </c>
      <c r="H1539">
        <v>1371.2000731999999</v>
      </c>
      <c r="I1539">
        <v>1288.4912108999999</v>
      </c>
      <c r="J1539">
        <v>1269.3720702999999</v>
      </c>
      <c r="K1539">
        <v>2400</v>
      </c>
      <c r="L1539">
        <v>0</v>
      </c>
      <c r="M1539">
        <v>0</v>
      </c>
      <c r="N1539">
        <v>2400</v>
      </c>
    </row>
    <row r="1540" spans="1:14" x14ac:dyDescent="0.25">
      <c r="A1540">
        <v>1112.1826699999999</v>
      </c>
      <c r="B1540" s="1">
        <f>DATE(2013,5,17) + TIME(4,23,2)</f>
        <v>41411.182662037034</v>
      </c>
      <c r="C1540">
        <v>80</v>
      </c>
      <c r="D1540">
        <v>79.957778931000007</v>
      </c>
      <c r="E1540">
        <v>50</v>
      </c>
      <c r="F1540">
        <v>48.792438507</v>
      </c>
      <c r="G1540">
        <v>1385.6810303</v>
      </c>
      <c r="H1540">
        <v>1371.1541748</v>
      </c>
      <c r="I1540">
        <v>1288.4826660000001</v>
      </c>
      <c r="J1540">
        <v>1269.3608397999999</v>
      </c>
      <c r="K1540">
        <v>2400</v>
      </c>
      <c r="L1540">
        <v>0</v>
      </c>
      <c r="M1540">
        <v>0</v>
      </c>
      <c r="N1540">
        <v>2400</v>
      </c>
    </row>
    <row r="1541" spans="1:14" x14ac:dyDescent="0.25">
      <c r="A1541">
        <v>1112.643585</v>
      </c>
      <c r="B1541" s="1">
        <f>DATE(2013,5,17) + TIME(15,26,45)</f>
        <v>41411.643576388888</v>
      </c>
      <c r="C1541">
        <v>80</v>
      </c>
      <c r="D1541">
        <v>79.957763671999999</v>
      </c>
      <c r="E1541">
        <v>50</v>
      </c>
      <c r="F1541">
        <v>48.763771057</v>
      </c>
      <c r="G1541">
        <v>1385.6224365</v>
      </c>
      <c r="H1541">
        <v>1371.1079102000001</v>
      </c>
      <c r="I1541">
        <v>1288.4737548999999</v>
      </c>
      <c r="J1541">
        <v>1269.3493652</v>
      </c>
      <c r="K1541">
        <v>2400</v>
      </c>
      <c r="L1541">
        <v>0</v>
      </c>
      <c r="M1541">
        <v>0</v>
      </c>
      <c r="N1541">
        <v>2400</v>
      </c>
    </row>
    <row r="1542" spans="1:14" x14ac:dyDescent="0.25">
      <c r="A1542">
        <v>1113.1147080000001</v>
      </c>
      <c r="B1542" s="1">
        <f>DATE(2013,5,18) + TIME(2,45,10)</f>
        <v>41412.114699074074</v>
      </c>
      <c r="C1542">
        <v>80</v>
      </c>
      <c r="D1542">
        <v>79.957748413000004</v>
      </c>
      <c r="E1542">
        <v>50</v>
      </c>
      <c r="F1542">
        <v>48.734592438</v>
      </c>
      <c r="G1542">
        <v>1385.5639647999999</v>
      </c>
      <c r="H1542">
        <v>1371.0617675999999</v>
      </c>
      <c r="I1542">
        <v>1288.4647216999999</v>
      </c>
      <c r="J1542">
        <v>1269.3376464999999</v>
      </c>
      <c r="K1542">
        <v>2400</v>
      </c>
      <c r="L1542">
        <v>0</v>
      </c>
      <c r="M1542">
        <v>0</v>
      </c>
      <c r="N1542">
        <v>2400</v>
      </c>
    </row>
    <row r="1543" spans="1:14" x14ac:dyDescent="0.25">
      <c r="A1543">
        <v>1113.593944</v>
      </c>
      <c r="B1543" s="1">
        <f>DATE(2013,5,18) + TIME(14,15,16)</f>
        <v>41412.593935185185</v>
      </c>
      <c r="C1543">
        <v>80</v>
      </c>
      <c r="D1543">
        <v>79.957725525000001</v>
      </c>
      <c r="E1543">
        <v>50</v>
      </c>
      <c r="F1543">
        <v>48.704990387000002</v>
      </c>
      <c r="G1543">
        <v>1385.5054932</v>
      </c>
      <c r="H1543">
        <v>1371.015625</v>
      </c>
      <c r="I1543">
        <v>1288.4554443</v>
      </c>
      <c r="J1543">
        <v>1269.3255615</v>
      </c>
      <c r="K1543">
        <v>2400</v>
      </c>
      <c r="L1543">
        <v>0</v>
      </c>
      <c r="M1543">
        <v>0</v>
      </c>
      <c r="N1543">
        <v>2400</v>
      </c>
    </row>
    <row r="1544" spans="1:14" x14ac:dyDescent="0.25">
      <c r="A1544">
        <v>1114.0818899999999</v>
      </c>
      <c r="B1544" s="1">
        <f>DATE(2013,5,19) + TIME(1,57,55)</f>
        <v>41413.081886574073</v>
      </c>
      <c r="C1544">
        <v>80</v>
      </c>
      <c r="D1544">
        <v>79.957710266000007</v>
      </c>
      <c r="E1544">
        <v>50</v>
      </c>
      <c r="F1544">
        <v>48.674961089999996</v>
      </c>
      <c r="G1544">
        <v>1385.4473877</v>
      </c>
      <c r="H1544">
        <v>1370.9697266000001</v>
      </c>
      <c r="I1544">
        <v>1288.4459228999999</v>
      </c>
      <c r="J1544">
        <v>1269.3132324000001</v>
      </c>
      <c r="K1544">
        <v>2400</v>
      </c>
      <c r="L1544">
        <v>0</v>
      </c>
      <c r="M1544">
        <v>0</v>
      </c>
      <c r="N1544">
        <v>2400</v>
      </c>
    </row>
    <row r="1545" spans="1:14" x14ac:dyDescent="0.25">
      <c r="A1545">
        <v>1114.5797789999999</v>
      </c>
      <c r="B1545" s="1">
        <f>DATE(2013,5,19) + TIME(13,54,52)</f>
        <v>41413.579768518517</v>
      </c>
      <c r="C1545">
        <v>80</v>
      </c>
      <c r="D1545">
        <v>79.957695006999998</v>
      </c>
      <c r="E1545">
        <v>50</v>
      </c>
      <c r="F1545">
        <v>48.644470214999998</v>
      </c>
      <c r="G1545">
        <v>1385.3894043</v>
      </c>
      <c r="H1545">
        <v>1370.9239502</v>
      </c>
      <c r="I1545">
        <v>1288.4361572</v>
      </c>
      <c r="J1545">
        <v>1269.3006591999999</v>
      </c>
      <c r="K1545">
        <v>2400</v>
      </c>
      <c r="L1545">
        <v>0</v>
      </c>
      <c r="M1545">
        <v>0</v>
      </c>
      <c r="N1545">
        <v>2400</v>
      </c>
    </row>
    <row r="1546" spans="1:14" x14ac:dyDescent="0.25">
      <c r="A1546">
        <v>1115.087135</v>
      </c>
      <c r="B1546" s="1">
        <f>DATE(2013,5,20) + TIME(2,5,28)</f>
        <v>41414.087129629632</v>
      </c>
      <c r="C1546">
        <v>80</v>
      </c>
      <c r="D1546">
        <v>79.957672118999994</v>
      </c>
      <c r="E1546">
        <v>50</v>
      </c>
      <c r="F1546">
        <v>48.613536834999998</v>
      </c>
      <c r="G1546">
        <v>1385.3314209</v>
      </c>
      <c r="H1546">
        <v>1370.8782959</v>
      </c>
      <c r="I1546">
        <v>1288.4262695</v>
      </c>
      <c r="J1546">
        <v>1269.2877197</v>
      </c>
      <c r="K1546">
        <v>2400</v>
      </c>
      <c r="L1546">
        <v>0</v>
      </c>
      <c r="M1546">
        <v>0</v>
      </c>
      <c r="N1546">
        <v>2400</v>
      </c>
    </row>
    <row r="1547" spans="1:14" x14ac:dyDescent="0.25">
      <c r="A1547">
        <v>1115.5993410000001</v>
      </c>
      <c r="B1547" s="1">
        <f>DATE(2013,5,20) + TIME(14,23,3)</f>
        <v>41414.599340277775</v>
      </c>
      <c r="C1547">
        <v>80</v>
      </c>
      <c r="D1547">
        <v>79.95765686</v>
      </c>
      <c r="E1547">
        <v>50</v>
      </c>
      <c r="F1547">
        <v>48.582340240000001</v>
      </c>
      <c r="G1547">
        <v>1385.2735596</v>
      </c>
      <c r="H1547">
        <v>1370.8326416</v>
      </c>
      <c r="I1547">
        <v>1288.4161377</v>
      </c>
      <c r="J1547">
        <v>1269.2745361</v>
      </c>
      <c r="K1547">
        <v>2400</v>
      </c>
      <c r="L1547">
        <v>0</v>
      </c>
      <c r="M1547">
        <v>0</v>
      </c>
      <c r="N1547">
        <v>2400</v>
      </c>
    </row>
    <row r="1548" spans="1:14" x14ac:dyDescent="0.25">
      <c r="A1548">
        <v>1116.117266</v>
      </c>
      <c r="B1548" s="1">
        <f>DATE(2013,5,21) + TIME(2,48,51)</f>
        <v>41415.117256944446</v>
      </c>
      <c r="C1548">
        <v>80</v>
      </c>
      <c r="D1548">
        <v>79.957641601999995</v>
      </c>
      <c r="E1548">
        <v>50</v>
      </c>
      <c r="F1548">
        <v>48.550895691000001</v>
      </c>
      <c r="G1548">
        <v>1385.2164307</v>
      </c>
      <c r="H1548">
        <v>1370.7874756000001</v>
      </c>
      <c r="I1548">
        <v>1288.4058838000001</v>
      </c>
      <c r="J1548">
        <v>1269.2612305</v>
      </c>
      <c r="K1548">
        <v>2400</v>
      </c>
      <c r="L1548">
        <v>0</v>
      </c>
      <c r="M1548">
        <v>0</v>
      </c>
      <c r="N1548">
        <v>2400</v>
      </c>
    </row>
    <row r="1549" spans="1:14" x14ac:dyDescent="0.25">
      <c r="A1549">
        <v>1116.642343</v>
      </c>
      <c r="B1549" s="1">
        <f>DATE(2013,5,21) + TIME(15,24,58)</f>
        <v>41415.642337962963</v>
      </c>
      <c r="C1549">
        <v>80</v>
      </c>
      <c r="D1549">
        <v>79.957618713000002</v>
      </c>
      <c r="E1549">
        <v>50</v>
      </c>
      <c r="F1549">
        <v>48.519161224000001</v>
      </c>
      <c r="G1549">
        <v>1385.1597899999999</v>
      </c>
      <c r="H1549">
        <v>1370.7427978999999</v>
      </c>
      <c r="I1549">
        <v>1288.3953856999999</v>
      </c>
      <c r="J1549">
        <v>1269.2476807</v>
      </c>
      <c r="K1549">
        <v>2400</v>
      </c>
      <c r="L1549">
        <v>0</v>
      </c>
      <c r="M1549">
        <v>0</v>
      </c>
      <c r="N1549">
        <v>2400</v>
      </c>
    </row>
    <row r="1550" spans="1:14" x14ac:dyDescent="0.25">
      <c r="A1550">
        <v>1117.176058</v>
      </c>
      <c r="B1550" s="1">
        <f>DATE(2013,5,22) + TIME(4,13,31)</f>
        <v>41416.176053240742</v>
      </c>
      <c r="C1550">
        <v>80</v>
      </c>
      <c r="D1550">
        <v>79.957603454999997</v>
      </c>
      <c r="E1550">
        <v>50</v>
      </c>
      <c r="F1550">
        <v>48.487091063999998</v>
      </c>
      <c r="G1550">
        <v>1385.1035156</v>
      </c>
      <c r="H1550">
        <v>1370.6983643000001</v>
      </c>
      <c r="I1550">
        <v>1288.3848877</v>
      </c>
      <c r="J1550">
        <v>1269.2338867000001</v>
      </c>
      <c r="K1550">
        <v>2400</v>
      </c>
      <c r="L1550">
        <v>0</v>
      </c>
      <c r="M1550">
        <v>0</v>
      </c>
      <c r="N1550">
        <v>2400</v>
      </c>
    </row>
    <row r="1551" spans="1:14" x14ac:dyDescent="0.25">
      <c r="A1551">
        <v>1117.7199800000001</v>
      </c>
      <c r="B1551" s="1">
        <f>DATE(2013,5,22) + TIME(17,16,46)</f>
        <v>41416.719976851855</v>
      </c>
      <c r="C1551">
        <v>80</v>
      </c>
      <c r="D1551">
        <v>79.957588196000003</v>
      </c>
      <c r="E1551">
        <v>50</v>
      </c>
      <c r="F1551">
        <v>48.454612732000001</v>
      </c>
      <c r="G1551">
        <v>1385.0473632999999</v>
      </c>
      <c r="H1551">
        <v>1370.6540527</v>
      </c>
      <c r="I1551">
        <v>1288.3740233999999</v>
      </c>
      <c r="J1551">
        <v>1269.2197266000001</v>
      </c>
      <c r="K1551">
        <v>2400</v>
      </c>
      <c r="L1551">
        <v>0</v>
      </c>
      <c r="M1551">
        <v>0</v>
      </c>
      <c r="N1551">
        <v>2400</v>
      </c>
    </row>
    <row r="1552" spans="1:14" x14ac:dyDescent="0.25">
      <c r="A1552">
        <v>1118.2758020000001</v>
      </c>
      <c r="B1552" s="1">
        <f>DATE(2013,5,23) + TIME(6,37,9)</f>
        <v>41417.27579861111</v>
      </c>
      <c r="C1552">
        <v>80</v>
      </c>
      <c r="D1552">
        <v>79.957572936999995</v>
      </c>
      <c r="E1552">
        <v>50</v>
      </c>
      <c r="F1552">
        <v>48.421653747999997</v>
      </c>
      <c r="G1552">
        <v>1384.9912108999999</v>
      </c>
      <c r="H1552">
        <v>1370.6097411999999</v>
      </c>
      <c r="I1552">
        <v>1288.3629149999999</v>
      </c>
      <c r="J1552">
        <v>1269.2053223</v>
      </c>
      <c r="K1552">
        <v>2400</v>
      </c>
      <c r="L1552">
        <v>0</v>
      </c>
      <c r="M1552">
        <v>0</v>
      </c>
      <c r="N1552">
        <v>2400</v>
      </c>
    </row>
    <row r="1553" spans="1:14" x14ac:dyDescent="0.25">
      <c r="A1553">
        <v>1118.8453500000001</v>
      </c>
      <c r="B1553" s="1">
        <f>DATE(2013,5,23) + TIME(20,17,18)</f>
        <v>41417.845347222225</v>
      </c>
      <c r="C1553">
        <v>80</v>
      </c>
      <c r="D1553">
        <v>79.957557678000001</v>
      </c>
      <c r="E1553">
        <v>50</v>
      </c>
      <c r="F1553">
        <v>48.388118744000003</v>
      </c>
      <c r="G1553">
        <v>1384.9350586</v>
      </c>
      <c r="H1553">
        <v>1370.5654297000001</v>
      </c>
      <c r="I1553">
        <v>1288.3515625</v>
      </c>
      <c r="J1553">
        <v>1269.1904297000001</v>
      </c>
      <c r="K1553">
        <v>2400</v>
      </c>
      <c r="L1553">
        <v>0</v>
      </c>
      <c r="M1553">
        <v>0</v>
      </c>
      <c r="N1553">
        <v>2400</v>
      </c>
    </row>
    <row r="1554" spans="1:14" x14ac:dyDescent="0.25">
      <c r="A1554">
        <v>1119.4308269999999</v>
      </c>
      <c r="B1554" s="1">
        <f>DATE(2013,5,24) + TIME(10,20,23)</f>
        <v>41418.430821759262</v>
      </c>
      <c r="C1554">
        <v>80</v>
      </c>
      <c r="D1554">
        <v>79.957534789999997</v>
      </c>
      <c r="E1554">
        <v>50</v>
      </c>
      <c r="F1554">
        <v>48.353912354000002</v>
      </c>
      <c r="G1554">
        <v>1384.8785399999999</v>
      </c>
      <c r="H1554">
        <v>1370.5207519999999</v>
      </c>
      <c r="I1554">
        <v>1288.3398437999999</v>
      </c>
      <c r="J1554">
        <v>1269.1751709</v>
      </c>
      <c r="K1554">
        <v>2400</v>
      </c>
      <c r="L1554">
        <v>0</v>
      </c>
      <c r="M1554">
        <v>0</v>
      </c>
      <c r="N1554">
        <v>2400</v>
      </c>
    </row>
    <row r="1555" spans="1:14" x14ac:dyDescent="0.25">
      <c r="A1555">
        <v>1120.0345990000001</v>
      </c>
      <c r="B1555" s="1">
        <f>DATE(2013,5,25) + TIME(0,49,49)</f>
        <v>41419.034594907411</v>
      </c>
      <c r="C1555">
        <v>80</v>
      </c>
      <c r="D1555">
        <v>79.957519531000003</v>
      </c>
      <c r="E1555">
        <v>50</v>
      </c>
      <c r="F1555">
        <v>48.318908690999997</v>
      </c>
      <c r="G1555">
        <v>1384.8215332</v>
      </c>
      <c r="H1555">
        <v>1370.4757079999999</v>
      </c>
      <c r="I1555">
        <v>1288.3278809000001</v>
      </c>
      <c r="J1555">
        <v>1269.1594238</v>
      </c>
      <c r="K1555">
        <v>2400</v>
      </c>
      <c r="L1555">
        <v>0</v>
      </c>
      <c r="M1555">
        <v>0</v>
      </c>
      <c r="N1555">
        <v>2400</v>
      </c>
    </row>
    <row r="1556" spans="1:14" x14ac:dyDescent="0.25">
      <c r="A1556">
        <v>1120.6521729999999</v>
      </c>
      <c r="B1556" s="1">
        <f>DATE(2013,5,25) + TIME(15,39,7)</f>
        <v>41419.65216435185</v>
      </c>
      <c r="C1556">
        <v>80</v>
      </c>
      <c r="D1556">
        <v>79.957504271999994</v>
      </c>
      <c r="E1556">
        <v>50</v>
      </c>
      <c r="F1556">
        <v>48.283229828000003</v>
      </c>
      <c r="G1556">
        <v>1384.7639160000001</v>
      </c>
      <c r="H1556">
        <v>1370.4301757999999</v>
      </c>
      <c r="I1556">
        <v>1288.3153076000001</v>
      </c>
      <c r="J1556">
        <v>1269.1430664</v>
      </c>
      <c r="K1556">
        <v>2400</v>
      </c>
      <c r="L1556">
        <v>0</v>
      </c>
      <c r="M1556">
        <v>0</v>
      </c>
      <c r="N1556">
        <v>2400</v>
      </c>
    </row>
    <row r="1557" spans="1:14" x14ac:dyDescent="0.25">
      <c r="A1557">
        <v>1121.2784079999999</v>
      </c>
      <c r="B1557" s="1">
        <f>DATE(2013,5,26) + TIME(6,40,54)</f>
        <v>41420.278402777774</v>
      </c>
      <c r="C1557">
        <v>80</v>
      </c>
      <c r="D1557">
        <v>79.957489014000004</v>
      </c>
      <c r="E1557">
        <v>50</v>
      </c>
      <c r="F1557">
        <v>48.247058868000003</v>
      </c>
      <c r="G1557">
        <v>1384.7061768000001</v>
      </c>
      <c r="H1557">
        <v>1370.3845214999999</v>
      </c>
      <c r="I1557">
        <v>1288.3023682</v>
      </c>
      <c r="J1557">
        <v>1269.1262207</v>
      </c>
      <c r="K1557">
        <v>2400</v>
      </c>
      <c r="L1557">
        <v>0</v>
      </c>
      <c r="M1557">
        <v>0</v>
      </c>
      <c r="N1557">
        <v>2400</v>
      </c>
    </row>
    <row r="1558" spans="1:14" x14ac:dyDescent="0.25">
      <c r="A1558">
        <v>1121.9149849999999</v>
      </c>
      <c r="B1558" s="1">
        <f>DATE(2013,5,26) + TIME(21,57,34)</f>
        <v>41420.914976851855</v>
      </c>
      <c r="C1558">
        <v>80</v>
      </c>
      <c r="D1558">
        <v>79.957473754999995</v>
      </c>
      <c r="E1558">
        <v>50</v>
      </c>
      <c r="F1558">
        <v>48.210414886000002</v>
      </c>
      <c r="G1558">
        <v>1384.6485596</v>
      </c>
      <c r="H1558">
        <v>1370.3389893000001</v>
      </c>
      <c r="I1558">
        <v>1288.2893065999999</v>
      </c>
      <c r="J1558">
        <v>1269.1091309000001</v>
      </c>
      <c r="K1558">
        <v>2400</v>
      </c>
      <c r="L1558">
        <v>0</v>
      </c>
      <c r="M1558">
        <v>0</v>
      </c>
      <c r="N1558">
        <v>2400</v>
      </c>
    </row>
    <row r="1559" spans="1:14" x14ac:dyDescent="0.25">
      <c r="A1559">
        <v>1122.5617669999999</v>
      </c>
      <c r="B1559" s="1">
        <f>DATE(2013,5,27) + TIME(13,28,56)</f>
        <v>41421.561759259261</v>
      </c>
      <c r="C1559">
        <v>80</v>
      </c>
      <c r="D1559">
        <v>79.957458496000001</v>
      </c>
      <c r="E1559">
        <v>50</v>
      </c>
      <c r="F1559">
        <v>48.173328400000003</v>
      </c>
      <c r="G1559">
        <v>1384.5911865</v>
      </c>
      <c r="H1559">
        <v>1370.2937012</v>
      </c>
      <c r="I1559">
        <v>1288.2757568</v>
      </c>
      <c r="J1559">
        <v>1269.0915527</v>
      </c>
      <c r="K1559">
        <v>2400</v>
      </c>
      <c r="L1559">
        <v>0</v>
      </c>
      <c r="M1559">
        <v>0</v>
      </c>
      <c r="N1559">
        <v>2400</v>
      </c>
    </row>
    <row r="1560" spans="1:14" x14ac:dyDescent="0.25">
      <c r="A1560">
        <v>1123.218654</v>
      </c>
      <c r="B1560" s="1">
        <f>DATE(2013,5,28) + TIME(5,14,51)</f>
        <v>41422.218645833331</v>
      </c>
      <c r="C1560">
        <v>80</v>
      </c>
      <c r="D1560">
        <v>79.957443237000007</v>
      </c>
      <c r="E1560">
        <v>50</v>
      </c>
      <c r="F1560">
        <v>48.135814666999998</v>
      </c>
      <c r="G1560">
        <v>1384.5340576000001</v>
      </c>
      <c r="H1560">
        <v>1370.2484131000001</v>
      </c>
      <c r="I1560">
        <v>1288.2620850000001</v>
      </c>
      <c r="J1560">
        <v>1269.0734863</v>
      </c>
      <c r="K1560">
        <v>2400</v>
      </c>
      <c r="L1560">
        <v>0</v>
      </c>
      <c r="M1560">
        <v>0</v>
      </c>
      <c r="N1560">
        <v>2400</v>
      </c>
    </row>
    <row r="1561" spans="1:14" x14ac:dyDescent="0.25">
      <c r="A1561">
        <v>1123.8855920000001</v>
      </c>
      <c r="B1561" s="1">
        <f>DATE(2013,5,28) + TIME(21,15,15)</f>
        <v>41422.88559027778</v>
      </c>
      <c r="C1561">
        <v>80</v>
      </c>
      <c r="D1561">
        <v>79.957427979000002</v>
      </c>
      <c r="E1561">
        <v>50</v>
      </c>
      <c r="F1561">
        <v>48.097888947000001</v>
      </c>
      <c r="G1561">
        <v>1384.4769286999999</v>
      </c>
      <c r="H1561">
        <v>1370.2032471</v>
      </c>
      <c r="I1561">
        <v>1288.2480469</v>
      </c>
      <c r="J1561">
        <v>1269.0551757999999</v>
      </c>
      <c r="K1561">
        <v>2400</v>
      </c>
      <c r="L1561">
        <v>0</v>
      </c>
      <c r="M1561">
        <v>0</v>
      </c>
      <c r="N1561">
        <v>2400</v>
      </c>
    </row>
    <row r="1562" spans="1:14" x14ac:dyDescent="0.25">
      <c r="A1562">
        <v>1124.5619730000001</v>
      </c>
      <c r="B1562" s="1">
        <f>DATE(2013,5,29) + TIME(13,29,14)</f>
        <v>41423.561967592592</v>
      </c>
      <c r="C1562">
        <v>80</v>
      </c>
      <c r="D1562">
        <v>79.957420349000003</v>
      </c>
      <c r="E1562">
        <v>50</v>
      </c>
      <c r="F1562">
        <v>48.059585571</v>
      </c>
      <c r="G1562">
        <v>1384.4201660000001</v>
      </c>
      <c r="H1562">
        <v>1370.1582031</v>
      </c>
      <c r="I1562">
        <v>1288.2336425999999</v>
      </c>
      <c r="J1562">
        <v>1269.0362548999999</v>
      </c>
      <c r="K1562">
        <v>2400</v>
      </c>
      <c r="L1562">
        <v>0</v>
      </c>
      <c r="M1562">
        <v>0</v>
      </c>
      <c r="N1562">
        <v>2400</v>
      </c>
    </row>
    <row r="1563" spans="1:14" x14ac:dyDescent="0.25">
      <c r="A1563">
        <v>1125.2472090000001</v>
      </c>
      <c r="B1563" s="1">
        <f>DATE(2013,5,30) + TIME(5,55,58)</f>
        <v>41424.247199074074</v>
      </c>
      <c r="C1563">
        <v>80</v>
      </c>
      <c r="D1563">
        <v>79.957405089999995</v>
      </c>
      <c r="E1563">
        <v>50</v>
      </c>
      <c r="F1563">
        <v>48.020931244000003</v>
      </c>
      <c r="G1563">
        <v>1384.3635254000001</v>
      </c>
      <c r="H1563">
        <v>1370.1132812000001</v>
      </c>
      <c r="I1563">
        <v>1288.2189940999999</v>
      </c>
      <c r="J1563">
        <v>1269.0170897999999</v>
      </c>
      <c r="K1563">
        <v>2400</v>
      </c>
      <c r="L1563">
        <v>0</v>
      </c>
      <c r="M1563">
        <v>0</v>
      </c>
      <c r="N1563">
        <v>2400</v>
      </c>
    </row>
    <row r="1564" spans="1:14" x14ac:dyDescent="0.25">
      <c r="A1564">
        <v>1125.9433550000001</v>
      </c>
      <c r="B1564" s="1">
        <f>DATE(2013,5,30) + TIME(22,38,25)</f>
        <v>41424.943344907406</v>
      </c>
      <c r="C1564">
        <v>80</v>
      </c>
      <c r="D1564">
        <v>79.957389832000004</v>
      </c>
      <c r="E1564">
        <v>50</v>
      </c>
      <c r="F1564">
        <v>47.981880187999998</v>
      </c>
      <c r="G1564">
        <v>1384.3071289</v>
      </c>
      <c r="H1564">
        <v>1370.0686035000001</v>
      </c>
      <c r="I1564">
        <v>1288.2041016000001</v>
      </c>
      <c r="J1564">
        <v>1268.9973144999999</v>
      </c>
      <c r="K1564">
        <v>2400</v>
      </c>
      <c r="L1564">
        <v>0</v>
      </c>
      <c r="M1564">
        <v>0</v>
      </c>
      <c r="N1564">
        <v>2400</v>
      </c>
    </row>
    <row r="1565" spans="1:14" x14ac:dyDescent="0.25">
      <c r="A1565">
        <v>1126.652566</v>
      </c>
      <c r="B1565" s="1">
        <f>DATE(2013,5,31) + TIME(15,39,41)</f>
        <v>41425.652557870373</v>
      </c>
      <c r="C1565">
        <v>80</v>
      </c>
      <c r="D1565">
        <v>79.957382202000005</v>
      </c>
      <c r="E1565">
        <v>50</v>
      </c>
      <c r="F1565">
        <v>47.942352294999999</v>
      </c>
      <c r="G1565">
        <v>1384.2509766000001</v>
      </c>
      <c r="H1565">
        <v>1370.0240478999999</v>
      </c>
      <c r="I1565">
        <v>1288.1888428</v>
      </c>
      <c r="J1565">
        <v>1268.9771728999999</v>
      </c>
      <c r="K1565">
        <v>2400</v>
      </c>
      <c r="L1565">
        <v>0</v>
      </c>
      <c r="M1565">
        <v>0</v>
      </c>
      <c r="N1565">
        <v>2400</v>
      </c>
    </row>
    <row r="1566" spans="1:14" x14ac:dyDescent="0.25">
      <c r="A1566">
        <v>1127</v>
      </c>
      <c r="B1566" s="1">
        <f>DATE(2013,6,1) + TIME(0,0,0)</f>
        <v>41426</v>
      </c>
      <c r="C1566">
        <v>80</v>
      </c>
      <c r="D1566">
        <v>79.957366942999997</v>
      </c>
      <c r="E1566">
        <v>50</v>
      </c>
      <c r="F1566">
        <v>47.917140961000001</v>
      </c>
      <c r="G1566">
        <v>1384.1947021000001</v>
      </c>
      <c r="H1566">
        <v>1369.9794922000001</v>
      </c>
      <c r="I1566">
        <v>1288.1715088000001</v>
      </c>
      <c r="J1566">
        <v>1268.9578856999999</v>
      </c>
      <c r="K1566">
        <v>2400</v>
      </c>
      <c r="L1566">
        <v>0</v>
      </c>
      <c r="M1566">
        <v>0</v>
      </c>
      <c r="N1566">
        <v>2400</v>
      </c>
    </row>
    <row r="1567" spans="1:14" x14ac:dyDescent="0.25">
      <c r="A1567">
        <v>1127.7245820000001</v>
      </c>
      <c r="B1567" s="1">
        <f>DATE(2013,6,1) + TIME(17,23,23)</f>
        <v>41426.72457175926</v>
      </c>
      <c r="C1567">
        <v>80</v>
      </c>
      <c r="D1567">
        <v>79.957359314000001</v>
      </c>
      <c r="E1567">
        <v>50</v>
      </c>
      <c r="F1567">
        <v>47.879680634000003</v>
      </c>
      <c r="G1567">
        <v>1384.1673584</v>
      </c>
      <c r="H1567">
        <v>1369.9576416</v>
      </c>
      <c r="I1567">
        <v>1288.1655272999999</v>
      </c>
      <c r="J1567">
        <v>1268.9456786999999</v>
      </c>
      <c r="K1567">
        <v>2400</v>
      </c>
      <c r="L1567">
        <v>0</v>
      </c>
      <c r="M1567">
        <v>0</v>
      </c>
      <c r="N1567">
        <v>2400</v>
      </c>
    </row>
    <row r="1568" spans="1:14" x14ac:dyDescent="0.25">
      <c r="A1568">
        <v>1128.4733209999999</v>
      </c>
      <c r="B1568" s="1">
        <f>DATE(2013,6,2) + TIME(11,21,34)</f>
        <v>41427.473310185182</v>
      </c>
      <c r="C1568">
        <v>80</v>
      </c>
      <c r="D1568">
        <v>79.957351685000006</v>
      </c>
      <c r="E1568">
        <v>50</v>
      </c>
      <c r="F1568">
        <v>47.840209960999999</v>
      </c>
      <c r="G1568">
        <v>1384.1114502</v>
      </c>
      <c r="H1568">
        <v>1369.9133300999999</v>
      </c>
      <c r="I1568">
        <v>1288.1492920000001</v>
      </c>
      <c r="J1568">
        <v>1268.9244385</v>
      </c>
      <c r="K1568">
        <v>2400</v>
      </c>
      <c r="L1568">
        <v>0</v>
      </c>
      <c r="M1568">
        <v>0</v>
      </c>
      <c r="N1568">
        <v>2400</v>
      </c>
    </row>
    <row r="1569" spans="1:14" x14ac:dyDescent="0.25">
      <c r="A1569">
        <v>1129.238184</v>
      </c>
      <c r="B1569" s="1">
        <f>DATE(2013,6,3) + TIME(5,42,59)</f>
        <v>41428.238182870373</v>
      </c>
      <c r="C1569">
        <v>80</v>
      </c>
      <c r="D1569">
        <v>79.957336425999998</v>
      </c>
      <c r="E1569">
        <v>50</v>
      </c>
      <c r="F1569">
        <v>47.799327849999997</v>
      </c>
      <c r="G1569">
        <v>1384.0545654</v>
      </c>
      <c r="H1569">
        <v>1369.8680420000001</v>
      </c>
      <c r="I1569">
        <v>1288.1323242000001</v>
      </c>
      <c r="J1569">
        <v>1268.9022216999999</v>
      </c>
      <c r="K1569">
        <v>2400</v>
      </c>
      <c r="L1569">
        <v>0</v>
      </c>
      <c r="M1569">
        <v>0</v>
      </c>
      <c r="N1569">
        <v>2400</v>
      </c>
    </row>
    <row r="1570" spans="1:14" x14ac:dyDescent="0.25">
      <c r="A1570">
        <v>1130.01476</v>
      </c>
      <c r="B1570" s="1">
        <f>DATE(2013,6,4) + TIME(0,21,15)</f>
        <v>41429.014756944445</v>
      </c>
      <c r="C1570">
        <v>80</v>
      </c>
      <c r="D1570">
        <v>79.957328795999999</v>
      </c>
      <c r="E1570">
        <v>50</v>
      </c>
      <c r="F1570">
        <v>47.757488250999998</v>
      </c>
      <c r="G1570">
        <v>1383.9974365</v>
      </c>
      <c r="H1570">
        <v>1369.8226318</v>
      </c>
      <c r="I1570">
        <v>1288.1147461</v>
      </c>
      <c r="J1570">
        <v>1268.8791504000001</v>
      </c>
      <c r="K1570">
        <v>2400</v>
      </c>
      <c r="L1570">
        <v>0</v>
      </c>
      <c r="M1570">
        <v>0</v>
      </c>
      <c r="N1570">
        <v>2400</v>
      </c>
    </row>
    <row r="1571" spans="1:14" x14ac:dyDescent="0.25">
      <c r="A1571">
        <v>1130.7953649999999</v>
      </c>
      <c r="B1571" s="1">
        <f>DATE(2013,6,4) + TIME(19,5,19)</f>
        <v>41429.795358796298</v>
      </c>
      <c r="C1571">
        <v>80</v>
      </c>
      <c r="D1571">
        <v>79.957321167000003</v>
      </c>
      <c r="E1571">
        <v>50</v>
      </c>
      <c r="F1571">
        <v>47.715145110999998</v>
      </c>
      <c r="G1571">
        <v>1383.9404297000001</v>
      </c>
      <c r="H1571">
        <v>1369.7772216999999</v>
      </c>
      <c r="I1571">
        <v>1288.0968018000001</v>
      </c>
      <c r="J1571">
        <v>1268.8554687999999</v>
      </c>
      <c r="K1571">
        <v>2400</v>
      </c>
      <c r="L1571">
        <v>0</v>
      </c>
      <c r="M1571">
        <v>0</v>
      </c>
      <c r="N1571">
        <v>2400</v>
      </c>
    </row>
    <row r="1572" spans="1:14" x14ac:dyDescent="0.25">
      <c r="A1572">
        <v>1131.5823150000001</v>
      </c>
      <c r="B1572" s="1">
        <f>DATE(2013,6,5) + TIME(13,58,32)</f>
        <v>41430.582314814812</v>
      </c>
      <c r="C1572">
        <v>80</v>
      </c>
      <c r="D1572">
        <v>79.957313537999994</v>
      </c>
      <c r="E1572">
        <v>50</v>
      </c>
      <c r="F1572">
        <v>47.672458648999999</v>
      </c>
      <c r="G1572">
        <v>1383.8841553</v>
      </c>
      <c r="H1572">
        <v>1369.7322998</v>
      </c>
      <c r="I1572">
        <v>1288.0787353999999</v>
      </c>
      <c r="J1572">
        <v>1268.8312988</v>
      </c>
      <c r="K1572">
        <v>2400</v>
      </c>
      <c r="L1572">
        <v>0</v>
      </c>
      <c r="M1572">
        <v>0</v>
      </c>
      <c r="N1572">
        <v>2400</v>
      </c>
    </row>
    <row r="1573" spans="1:14" x14ac:dyDescent="0.25">
      <c r="A1573">
        <v>1132.377917</v>
      </c>
      <c r="B1573" s="1">
        <f>DATE(2013,6,6) + TIME(9,4,12)</f>
        <v>41431.377916666665</v>
      </c>
      <c r="C1573">
        <v>80</v>
      </c>
      <c r="D1573">
        <v>79.957298279</v>
      </c>
      <c r="E1573">
        <v>50</v>
      </c>
      <c r="F1573">
        <v>47.629444122000002</v>
      </c>
      <c r="G1573">
        <v>1383.8282471</v>
      </c>
      <c r="H1573">
        <v>1369.6877440999999</v>
      </c>
      <c r="I1573">
        <v>1288.0601807</v>
      </c>
      <c r="J1573">
        <v>1268.8066406</v>
      </c>
      <c r="K1573">
        <v>2400</v>
      </c>
      <c r="L1573">
        <v>0</v>
      </c>
      <c r="M1573">
        <v>0</v>
      </c>
      <c r="N1573">
        <v>2400</v>
      </c>
    </row>
    <row r="1574" spans="1:14" x14ac:dyDescent="0.25">
      <c r="A1574">
        <v>1133.184524</v>
      </c>
      <c r="B1574" s="1">
        <f>DATE(2013,6,7) + TIME(4,25,42)</f>
        <v>41432.184513888889</v>
      </c>
      <c r="C1574">
        <v>80</v>
      </c>
      <c r="D1574">
        <v>79.957290649000001</v>
      </c>
      <c r="E1574">
        <v>50</v>
      </c>
      <c r="F1574">
        <v>47.586059570000003</v>
      </c>
      <c r="G1574">
        <v>1383.7727050999999</v>
      </c>
      <c r="H1574">
        <v>1369.6434326000001</v>
      </c>
      <c r="I1574">
        <v>1288.0413818</v>
      </c>
      <c r="J1574">
        <v>1268.7813721</v>
      </c>
      <c r="K1574">
        <v>2400</v>
      </c>
      <c r="L1574">
        <v>0</v>
      </c>
      <c r="M1574">
        <v>0</v>
      </c>
      <c r="N1574">
        <v>2400</v>
      </c>
    </row>
    <row r="1575" spans="1:14" x14ac:dyDescent="0.25">
      <c r="A1575">
        <v>1134.0045789999999</v>
      </c>
      <c r="B1575" s="1">
        <f>DATE(2013,6,8) + TIME(0,6,35)</f>
        <v>41433.004571759258</v>
      </c>
      <c r="C1575">
        <v>80</v>
      </c>
      <c r="D1575">
        <v>79.957283020000006</v>
      </c>
      <c r="E1575">
        <v>50</v>
      </c>
      <c r="F1575">
        <v>47.542221069</v>
      </c>
      <c r="G1575">
        <v>1383.7174072</v>
      </c>
      <c r="H1575">
        <v>1369.5992432</v>
      </c>
      <c r="I1575">
        <v>1288.0219727000001</v>
      </c>
      <c r="J1575">
        <v>1268.7554932</v>
      </c>
      <c r="K1575">
        <v>2400</v>
      </c>
      <c r="L1575">
        <v>0</v>
      </c>
      <c r="M1575">
        <v>0</v>
      </c>
      <c r="N1575">
        <v>2400</v>
      </c>
    </row>
    <row r="1576" spans="1:14" x14ac:dyDescent="0.25">
      <c r="A1576">
        <v>1134.840674</v>
      </c>
      <c r="B1576" s="1">
        <f>DATE(2013,6,8) + TIME(20,10,34)</f>
        <v>41433.840671296297</v>
      </c>
      <c r="C1576">
        <v>80</v>
      </c>
      <c r="D1576">
        <v>79.957275390999996</v>
      </c>
      <c r="E1576">
        <v>50</v>
      </c>
      <c r="F1576">
        <v>47.497810364000003</v>
      </c>
      <c r="G1576">
        <v>1383.6619873</v>
      </c>
      <c r="H1576">
        <v>1369.5549315999999</v>
      </c>
      <c r="I1576">
        <v>1288.0021973</v>
      </c>
      <c r="J1576">
        <v>1268.7287598</v>
      </c>
      <c r="K1576">
        <v>2400</v>
      </c>
      <c r="L1576">
        <v>0</v>
      </c>
      <c r="M1576">
        <v>0</v>
      </c>
      <c r="N1576">
        <v>2400</v>
      </c>
    </row>
    <row r="1577" spans="1:14" x14ac:dyDescent="0.25">
      <c r="A1577">
        <v>1135.6956439999999</v>
      </c>
      <c r="B1577" s="1">
        <f>DATE(2013,6,9) + TIME(16,41,43)</f>
        <v>41434.695636574077</v>
      </c>
      <c r="C1577">
        <v>80</v>
      </c>
      <c r="D1577">
        <v>79.957267760999997</v>
      </c>
      <c r="E1577">
        <v>50</v>
      </c>
      <c r="F1577">
        <v>47.452705383000001</v>
      </c>
      <c r="G1577">
        <v>1383.6064452999999</v>
      </c>
      <c r="H1577">
        <v>1369.5104980000001</v>
      </c>
      <c r="I1577">
        <v>1287.9816894999999</v>
      </c>
      <c r="J1577">
        <v>1268.7012939000001</v>
      </c>
      <c r="K1577">
        <v>2400</v>
      </c>
      <c r="L1577">
        <v>0</v>
      </c>
      <c r="M1577">
        <v>0</v>
      </c>
      <c r="N1577">
        <v>2400</v>
      </c>
    </row>
    <row r="1578" spans="1:14" x14ac:dyDescent="0.25">
      <c r="A1578">
        <v>1136.5726950000001</v>
      </c>
      <c r="B1578" s="1">
        <f>DATE(2013,6,10) + TIME(13,44,40)</f>
        <v>41435.572685185187</v>
      </c>
      <c r="C1578">
        <v>80</v>
      </c>
      <c r="D1578">
        <v>79.957267760999997</v>
      </c>
      <c r="E1578">
        <v>50</v>
      </c>
      <c r="F1578">
        <v>47.406761168999999</v>
      </c>
      <c r="G1578">
        <v>1383.5505370999999</v>
      </c>
      <c r="H1578">
        <v>1369.4656981999999</v>
      </c>
      <c r="I1578">
        <v>1287.9605713000001</v>
      </c>
      <c r="J1578">
        <v>1268.6726074000001</v>
      </c>
      <c r="K1578">
        <v>2400</v>
      </c>
      <c r="L1578">
        <v>0</v>
      </c>
      <c r="M1578">
        <v>0</v>
      </c>
      <c r="N1578">
        <v>2400</v>
      </c>
    </row>
    <row r="1579" spans="1:14" x14ac:dyDescent="0.25">
      <c r="A1579">
        <v>1137.4621030000001</v>
      </c>
      <c r="B1579" s="1">
        <f>DATE(2013,6,11) + TIME(11,5,25)</f>
        <v>41436.462094907409</v>
      </c>
      <c r="C1579">
        <v>80</v>
      </c>
      <c r="D1579">
        <v>79.957260132000002</v>
      </c>
      <c r="E1579">
        <v>50</v>
      </c>
      <c r="F1579">
        <v>47.360153197999999</v>
      </c>
      <c r="G1579">
        <v>1383.4940185999999</v>
      </c>
      <c r="H1579">
        <v>1369.4204102000001</v>
      </c>
      <c r="I1579">
        <v>1287.9385986</v>
      </c>
      <c r="J1579">
        <v>1268.6429443</v>
      </c>
      <c r="K1579">
        <v>2400</v>
      </c>
      <c r="L1579">
        <v>0</v>
      </c>
      <c r="M1579">
        <v>0</v>
      </c>
      <c r="N1579">
        <v>2400</v>
      </c>
    </row>
    <row r="1580" spans="1:14" x14ac:dyDescent="0.25">
      <c r="A1580">
        <v>1138.3665900000001</v>
      </c>
      <c r="B1580" s="1">
        <f>DATE(2013,6,12) + TIME(8,47,53)</f>
        <v>41437.366585648146</v>
      </c>
      <c r="C1580">
        <v>80</v>
      </c>
      <c r="D1580">
        <v>79.957252502000003</v>
      </c>
      <c r="E1580">
        <v>50</v>
      </c>
      <c r="F1580">
        <v>47.312900542999998</v>
      </c>
      <c r="G1580">
        <v>1383.4376221</v>
      </c>
      <c r="H1580">
        <v>1369.3752440999999</v>
      </c>
      <c r="I1580">
        <v>1287.9160156</v>
      </c>
      <c r="J1580">
        <v>1268.6124268000001</v>
      </c>
      <c r="K1580">
        <v>2400</v>
      </c>
      <c r="L1580">
        <v>0</v>
      </c>
      <c r="M1580">
        <v>0</v>
      </c>
      <c r="N1580">
        <v>2400</v>
      </c>
    </row>
    <row r="1581" spans="1:14" x14ac:dyDescent="0.25">
      <c r="A1581">
        <v>1139.288933</v>
      </c>
      <c r="B1581" s="1">
        <f>DATE(2013,6,13) + TIME(6,56,3)</f>
        <v>41438.288923611108</v>
      </c>
      <c r="C1581">
        <v>80</v>
      </c>
      <c r="D1581">
        <v>79.957252502000003</v>
      </c>
      <c r="E1581">
        <v>50</v>
      </c>
      <c r="F1581">
        <v>47.264949799</v>
      </c>
      <c r="G1581">
        <v>1383.3812256000001</v>
      </c>
      <c r="H1581">
        <v>1369.3299560999999</v>
      </c>
      <c r="I1581">
        <v>1287.8928223</v>
      </c>
      <c r="J1581">
        <v>1268.5808105000001</v>
      </c>
      <c r="K1581">
        <v>2400</v>
      </c>
      <c r="L1581">
        <v>0</v>
      </c>
      <c r="M1581">
        <v>0</v>
      </c>
      <c r="N1581">
        <v>2400</v>
      </c>
    </row>
    <row r="1582" spans="1:14" x14ac:dyDescent="0.25">
      <c r="A1582">
        <v>1140.2156869999999</v>
      </c>
      <c r="B1582" s="1">
        <f>DATE(2013,6,14) + TIME(5,10,35)</f>
        <v>41439.215682870374</v>
      </c>
      <c r="C1582">
        <v>80</v>
      </c>
      <c r="D1582">
        <v>79.957244872999993</v>
      </c>
      <c r="E1582">
        <v>50</v>
      </c>
      <c r="F1582">
        <v>47.216602324999997</v>
      </c>
      <c r="G1582">
        <v>1383.324707</v>
      </c>
      <c r="H1582">
        <v>1369.2844238</v>
      </c>
      <c r="I1582">
        <v>1287.8687743999999</v>
      </c>
      <c r="J1582">
        <v>1268.5480957</v>
      </c>
      <c r="K1582">
        <v>2400</v>
      </c>
      <c r="L1582">
        <v>0</v>
      </c>
      <c r="M1582">
        <v>0</v>
      </c>
      <c r="N1582">
        <v>2400</v>
      </c>
    </row>
    <row r="1583" spans="1:14" x14ac:dyDescent="0.25">
      <c r="A1583">
        <v>1141.148633</v>
      </c>
      <c r="B1583" s="1">
        <f>DATE(2013,6,15) + TIME(3,34,1)</f>
        <v>41440.148622685185</v>
      </c>
      <c r="C1583">
        <v>80</v>
      </c>
      <c r="D1583">
        <v>79.957244872999993</v>
      </c>
      <c r="E1583">
        <v>50</v>
      </c>
      <c r="F1583">
        <v>47.167984009000001</v>
      </c>
      <c r="G1583">
        <v>1383.2686768000001</v>
      </c>
      <c r="H1583">
        <v>1369.2393798999999</v>
      </c>
      <c r="I1583">
        <v>1287.8443603999999</v>
      </c>
      <c r="J1583">
        <v>1268.5146483999999</v>
      </c>
      <c r="K1583">
        <v>2400</v>
      </c>
      <c r="L1583">
        <v>0</v>
      </c>
      <c r="M1583">
        <v>0</v>
      </c>
      <c r="N1583">
        <v>2400</v>
      </c>
    </row>
    <row r="1584" spans="1:14" x14ac:dyDescent="0.25">
      <c r="A1584">
        <v>1142.0905399999999</v>
      </c>
      <c r="B1584" s="1">
        <f>DATE(2013,6,16) + TIME(2,10,22)</f>
        <v>41441.090532407405</v>
      </c>
      <c r="C1584">
        <v>80</v>
      </c>
      <c r="D1584">
        <v>79.957237243999998</v>
      </c>
      <c r="E1584">
        <v>50</v>
      </c>
      <c r="F1584">
        <v>47.119075774999999</v>
      </c>
      <c r="G1584">
        <v>1383.2131348</v>
      </c>
      <c r="H1584">
        <v>1369.1945800999999</v>
      </c>
      <c r="I1584">
        <v>1287.8193358999999</v>
      </c>
      <c r="J1584">
        <v>1268.4804687999999</v>
      </c>
      <c r="K1584">
        <v>2400</v>
      </c>
      <c r="L1584">
        <v>0</v>
      </c>
      <c r="M1584">
        <v>0</v>
      </c>
      <c r="N1584">
        <v>2400</v>
      </c>
    </row>
    <row r="1585" spans="1:14" x14ac:dyDescent="0.25">
      <c r="A1585">
        <v>1143.0442169999999</v>
      </c>
      <c r="B1585" s="1">
        <f>DATE(2013,6,17) + TIME(1,3,40)</f>
        <v>41442.044212962966</v>
      </c>
      <c r="C1585">
        <v>80</v>
      </c>
      <c r="D1585">
        <v>79.957237243999998</v>
      </c>
      <c r="E1585">
        <v>50</v>
      </c>
      <c r="F1585">
        <v>47.069793701000002</v>
      </c>
      <c r="G1585">
        <v>1383.1579589999999</v>
      </c>
      <c r="H1585">
        <v>1369.1500243999999</v>
      </c>
      <c r="I1585">
        <v>1287.7938231999999</v>
      </c>
      <c r="J1585">
        <v>1268.4453125</v>
      </c>
      <c r="K1585">
        <v>2400</v>
      </c>
      <c r="L1585">
        <v>0</v>
      </c>
      <c r="M1585">
        <v>0</v>
      </c>
      <c r="N1585">
        <v>2400</v>
      </c>
    </row>
    <row r="1586" spans="1:14" x14ac:dyDescent="0.25">
      <c r="A1586">
        <v>1144.012573</v>
      </c>
      <c r="B1586" s="1">
        <f>DATE(2013,6,18) + TIME(0,18,6)</f>
        <v>41443.012569444443</v>
      </c>
      <c r="C1586">
        <v>80</v>
      </c>
      <c r="D1586">
        <v>79.957229613999999</v>
      </c>
      <c r="E1586">
        <v>50</v>
      </c>
      <c r="F1586">
        <v>47.020019531000003</v>
      </c>
      <c r="G1586">
        <v>1383.1029053</v>
      </c>
      <c r="H1586">
        <v>1369.1055908000001</v>
      </c>
      <c r="I1586">
        <v>1287.7677002</v>
      </c>
      <c r="J1586">
        <v>1268.4091797000001</v>
      </c>
      <c r="K1586">
        <v>2400</v>
      </c>
      <c r="L1586">
        <v>0</v>
      </c>
      <c r="M1586">
        <v>0</v>
      </c>
      <c r="N1586">
        <v>2400</v>
      </c>
    </row>
    <row r="1587" spans="1:14" x14ac:dyDescent="0.25">
      <c r="A1587">
        <v>1144.998683</v>
      </c>
      <c r="B1587" s="1">
        <f>DATE(2013,6,18) + TIME(23,58,6)</f>
        <v>41443.998680555553</v>
      </c>
      <c r="C1587">
        <v>80</v>
      </c>
      <c r="D1587">
        <v>79.957229613999999</v>
      </c>
      <c r="E1587">
        <v>50</v>
      </c>
      <c r="F1587">
        <v>46.969615935999997</v>
      </c>
      <c r="G1587">
        <v>1383.0478516000001</v>
      </c>
      <c r="H1587">
        <v>1369.0611572</v>
      </c>
      <c r="I1587">
        <v>1287.7407227000001</v>
      </c>
      <c r="J1587">
        <v>1268.3718262</v>
      </c>
      <c r="K1587">
        <v>2400</v>
      </c>
      <c r="L1587">
        <v>0</v>
      </c>
      <c r="M1587">
        <v>0</v>
      </c>
      <c r="N1587">
        <v>2400</v>
      </c>
    </row>
    <row r="1588" spans="1:14" x14ac:dyDescent="0.25">
      <c r="A1588">
        <v>1146.0058309999999</v>
      </c>
      <c r="B1588" s="1">
        <f>DATE(2013,6,20) + TIME(0,8,23)</f>
        <v>41445.00582175926</v>
      </c>
      <c r="C1588">
        <v>80</v>
      </c>
      <c r="D1588">
        <v>79.957229613999999</v>
      </c>
      <c r="E1588">
        <v>50</v>
      </c>
      <c r="F1588">
        <v>46.918418883999998</v>
      </c>
      <c r="G1588">
        <v>1382.9925536999999</v>
      </c>
      <c r="H1588">
        <v>1369.0163574000001</v>
      </c>
      <c r="I1588">
        <v>1287.7128906</v>
      </c>
      <c r="J1588">
        <v>1268.3331298999999</v>
      </c>
      <c r="K1588">
        <v>2400</v>
      </c>
      <c r="L1588">
        <v>0</v>
      </c>
      <c r="M1588">
        <v>0</v>
      </c>
      <c r="N1588">
        <v>2400</v>
      </c>
    </row>
    <row r="1589" spans="1:14" x14ac:dyDescent="0.25">
      <c r="A1589">
        <v>1147.032197</v>
      </c>
      <c r="B1589" s="1">
        <f>DATE(2013,6,21) + TIME(0,46,21)</f>
        <v>41446.032187500001</v>
      </c>
      <c r="C1589">
        <v>80</v>
      </c>
      <c r="D1589">
        <v>79.957229613999999</v>
      </c>
      <c r="E1589">
        <v>50</v>
      </c>
      <c r="F1589">
        <v>46.866390228</v>
      </c>
      <c r="G1589">
        <v>1382.9370117000001</v>
      </c>
      <c r="H1589">
        <v>1368.9713135</v>
      </c>
      <c r="I1589">
        <v>1287.6839600000001</v>
      </c>
      <c r="J1589">
        <v>1268.2929687999999</v>
      </c>
      <c r="K1589">
        <v>2400</v>
      </c>
      <c r="L1589">
        <v>0</v>
      </c>
      <c r="M1589">
        <v>0</v>
      </c>
      <c r="N1589">
        <v>2400</v>
      </c>
    </row>
    <row r="1590" spans="1:14" x14ac:dyDescent="0.25">
      <c r="A1590">
        <v>1148.0776080000001</v>
      </c>
      <c r="B1590" s="1">
        <f>DATE(2013,6,22) + TIME(1,51,45)</f>
        <v>41447.077604166669</v>
      </c>
      <c r="C1590">
        <v>80</v>
      </c>
      <c r="D1590">
        <v>79.957229613999999</v>
      </c>
      <c r="E1590">
        <v>50</v>
      </c>
      <c r="F1590">
        <v>46.813514709000003</v>
      </c>
      <c r="G1590">
        <v>1382.8811035000001</v>
      </c>
      <c r="H1590">
        <v>1368.9260254000001</v>
      </c>
      <c r="I1590">
        <v>1287.6541748</v>
      </c>
      <c r="J1590">
        <v>1268.2512207</v>
      </c>
      <c r="K1590">
        <v>2400</v>
      </c>
      <c r="L1590">
        <v>0</v>
      </c>
      <c r="M1590">
        <v>0</v>
      </c>
      <c r="N1590">
        <v>2400</v>
      </c>
    </row>
    <row r="1591" spans="1:14" x14ac:dyDescent="0.25">
      <c r="A1591">
        <v>1149.14543</v>
      </c>
      <c r="B1591" s="1">
        <f>DATE(2013,6,23) + TIME(3,29,25)</f>
        <v>41448.145428240743</v>
      </c>
      <c r="C1591">
        <v>80</v>
      </c>
      <c r="D1591">
        <v>79.957229613999999</v>
      </c>
      <c r="E1591">
        <v>50</v>
      </c>
      <c r="F1591">
        <v>46.759712219000001</v>
      </c>
      <c r="G1591">
        <v>1382.8250731999999</v>
      </c>
      <c r="H1591">
        <v>1368.8804932</v>
      </c>
      <c r="I1591">
        <v>1287.6232910000001</v>
      </c>
      <c r="J1591">
        <v>1268.2078856999999</v>
      </c>
      <c r="K1591">
        <v>2400</v>
      </c>
      <c r="L1591">
        <v>0</v>
      </c>
      <c r="M1591">
        <v>0</v>
      </c>
      <c r="N1591">
        <v>2400</v>
      </c>
    </row>
    <row r="1592" spans="1:14" x14ac:dyDescent="0.25">
      <c r="A1592">
        <v>1150.2339420000001</v>
      </c>
      <c r="B1592" s="1">
        <f>DATE(2013,6,24) + TIME(5,36,52)</f>
        <v>41449.233935185184</v>
      </c>
      <c r="C1592">
        <v>80</v>
      </c>
      <c r="D1592">
        <v>79.957229613999999</v>
      </c>
      <c r="E1592">
        <v>50</v>
      </c>
      <c r="F1592">
        <v>46.704959869</v>
      </c>
      <c r="G1592">
        <v>1382.7686768000001</v>
      </c>
      <c r="H1592">
        <v>1368.8347168</v>
      </c>
      <c r="I1592">
        <v>1287.5913086</v>
      </c>
      <c r="J1592">
        <v>1268.1628418</v>
      </c>
      <c r="K1592">
        <v>2400</v>
      </c>
      <c r="L1592">
        <v>0</v>
      </c>
      <c r="M1592">
        <v>0</v>
      </c>
      <c r="N1592">
        <v>2400</v>
      </c>
    </row>
    <row r="1593" spans="1:14" x14ac:dyDescent="0.25">
      <c r="A1593">
        <v>1151.3264630000001</v>
      </c>
      <c r="B1593" s="1">
        <f>DATE(2013,6,25) + TIME(7,50,6)</f>
        <v>41450.326458333337</v>
      </c>
      <c r="C1593">
        <v>80</v>
      </c>
      <c r="D1593">
        <v>79.957237243999998</v>
      </c>
      <c r="E1593">
        <v>50</v>
      </c>
      <c r="F1593">
        <v>46.649627686000002</v>
      </c>
      <c r="G1593">
        <v>1382.7119141000001</v>
      </c>
      <c r="H1593">
        <v>1368.7885742000001</v>
      </c>
      <c r="I1593">
        <v>1287.5581055</v>
      </c>
      <c r="J1593">
        <v>1268.1160889</v>
      </c>
      <c r="K1593">
        <v>2400</v>
      </c>
      <c r="L1593">
        <v>0</v>
      </c>
      <c r="M1593">
        <v>0</v>
      </c>
      <c r="N1593">
        <v>2400</v>
      </c>
    </row>
    <row r="1594" spans="1:14" x14ac:dyDescent="0.25">
      <c r="A1594">
        <v>1152.426316</v>
      </c>
      <c r="B1594" s="1">
        <f>DATE(2013,6,26) + TIME(10,13,53)</f>
        <v>41451.426307870373</v>
      </c>
      <c r="C1594">
        <v>80</v>
      </c>
      <c r="D1594">
        <v>79.957237243999998</v>
      </c>
      <c r="E1594">
        <v>50</v>
      </c>
      <c r="F1594">
        <v>46.593902587999999</v>
      </c>
      <c r="G1594">
        <v>1382.6558838000001</v>
      </c>
      <c r="H1594">
        <v>1368.7427978999999</v>
      </c>
      <c r="I1594">
        <v>1287.5241699000001</v>
      </c>
      <c r="J1594">
        <v>1268.0681152</v>
      </c>
      <c r="K1594">
        <v>2400</v>
      </c>
      <c r="L1594">
        <v>0</v>
      </c>
      <c r="M1594">
        <v>0</v>
      </c>
      <c r="N1594">
        <v>2400</v>
      </c>
    </row>
    <row r="1595" spans="1:14" x14ac:dyDescent="0.25">
      <c r="A1595">
        <v>1153.536818</v>
      </c>
      <c r="B1595" s="1">
        <f>DATE(2013,6,27) + TIME(12,53,1)</f>
        <v>41452.536817129629</v>
      </c>
      <c r="C1595">
        <v>80</v>
      </c>
      <c r="D1595">
        <v>79.957237243999998</v>
      </c>
      <c r="E1595">
        <v>50</v>
      </c>
      <c r="F1595">
        <v>46.537765503000003</v>
      </c>
      <c r="G1595">
        <v>1382.6002197</v>
      </c>
      <c r="H1595">
        <v>1368.6973877</v>
      </c>
      <c r="I1595">
        <v>1287.489624</v>
      </c>
      <c r="J1595">
        <v>1268.0189209</v>
      </c>
      <c r="K1595">
        <v>2400</v>
      </c>
      <c r="L1595">
        <v>0</v>
      </c>
      <c r="M1595">
        <v>0</v>
      </c>
      <c r="N1595">
        <v>2400</v>
      </c>
    </row>
    <row r="1596" spans="1:14" x14ac:dyDescent="0.25">
      <c r="A1596">
        <v>1154.661249</v>
      </c>
      <c r="B1596" s="1">
        <f>DATE(2013,6,28) + TIME(15,52,11)</f>
        <v>41453.661238425928</v>
      </c>
      <c r="C1596">
        <v>80</v>
      </c>
      <c r="D1596">
        <v>79.957244872999993</v>
      </c>
      <c r="E1596">
        <v>50</v>
      </c>
      <c r="F1596">
        <v>46.481109619000001</v>
      </c>
      <c r="G1596">
        <v>1382.5447998</v>
      </c>
      <c r="H1596">
        <v>1368.6522216999999</v>
      </c>
      <c r="I1596">
        <v>1287.4541016000001</v>
      </c>
      <c r="J1596">
        <v>1267.9682617000001</v>
      </c>
      <c r="K1596">
        <v>2400</v>
      </c>
      <c r="L1596">
        <v>0</v>
      </c>
      <c r="M1596">
        <v>0</v>
      </c>
      <c r="N1596">
        <v>2400</v>
      </c>
    </row>
    <row r="1597" spans="1:14" x14ac:dyDescent="0.25">
      <c r="A1597">
        <v>1155.795899</v>
      </c>
      <c r="B1597" s="1">
        <f>DATE(2013,6,29) + TIME(19,6,5)</f>
        <v>41454.795891203707</v>
      </c>
      <c r="C1597">
        <v>80</v>
      </c>
      <c r="D1597">
        <v>79.957244872999993</v>
      </c>
      <c r="E1597">
        <v>50</v>
      </c>
      <c r="F1597">
        <v>46.423950195000003</v>
      </c>
      <c r="G1597">
        <v>1382.4895019999999</v>
      </c>
      <c r="H1597">
        <v>1368.6069336</v>
      </c>
      <c r="I1597">
        <v>1287.4176024999999</v>
      </c>
      <c r="J1597">
        <v>1267.9160156</v>
      </c>
      <c r="K1597">
        <v>2400</v>
      </c>
      <c r="L1597">
        <v>0</v>
      </c>
      <c r="M1597">
        <v>0</v>
      </c>
      <c r="N1597">
        <v>2400</v>
      </c>
    </row>
    <row r="1598" spans="1:14" x14ac:dyDescent="0.25">
      <c r="A1598">
        <v>1156.39795</v>
      </c>
      <c r="B1598" s="1">
        <f>DATE(2013,6,30) + TIME(9,33,2)</f>
        <v>41455.397939814815</v>
      </c>
      <c r="C1598">
        <v>80</v>
      </c>
      <c r="D1598">
        <v>79.957244872999993</v>
      </c>
      <c r="E1598">
        <v>50</v>
      </c>
      <c r="F1598">
        <v>46.382507324000002</v>
      </c>
      <c r="G1598">
        <v>1382.4343262</v>
      </c>
      <c r="H1598">
        <v>1368.5617675999999</v>
      </c>
      <c r="I1598">
        <v>1287.3796387</v>
      </c>
      <c r="J1598">
        <v>1267.8660889</v>
      </c>
      <c r="K1598">
        <v>2400</v>
      </c>
      <c r="L1598">
        <v>0</v>
      </c>
      <c r="M1598">
        <v>0</v>
      </c>
      <c r="N1598">
        <v>2400</v>
      </c>
    </row>
    <row r="1599" spans="1:14" x14ac:dyDescent="0.25">
      <c r="A1599">
        <v>1157</v>
      </c>
      <c r="B1599" s="1">
        <f>DATE(2013,7,1) + TIME(0,0,0)</f>
        <v>41456</v>
      </c>
      <c r="C1599">
        <v>80</v>
      </c>
      <c r="D1599">
        <v>79.957237243999998</v>
      </c>
      <c r="E1599">
        <v>50</v>
      </c>
      <c r="F1599">
        <v>46.345493316999999</v>
      </c>
      <c r="G1599">
        <v>1382.4051514</v>
      </c>
      <c r="H1599">
        <v>1368.5378418</v>
      </c>
      <c r="I1599">
        <v>1287.3591309000001</v>
      </c>
      <c r="J1599">
        <v>1267.8347168</v>
      </c>
      <c r="K1599">
        <v>2400</v>
      </c>
      <c r="L1599">
        <v>0</v>
      </c>
      <c r="M1599">
        <v>0</v>
      </c>
      <c r="N1599">
        <v>2400</v>
      </c>
    </row>
    <row r="1600" spans="1:14" x14ac:dyDescent="0.25">
      <c r="A1600">
        <v>1157.594472</v>
      </c>
      <c r="B1600" s="1">
        <f>DATE(2013,7,1) + TIME(14,16,2)</f>
        <v>41456.594467592593</v>
      </c>
      <c r="C1600">
        <v>80</v>
      </c>
      <c r="D1600">
        <v>79.957244872999993</v>
      </c>
      <c r="E1600">
        <v>50</v>
      </c>
      <c r="F1600">
        <v>46.311355591000002</v>
      </c>
      <c r="G1600">
        <v>1382.3764647999999</v>
      </c>
      <c r="H1600">
        <v>1368.5141602000001</v>
      </c>
      <c r="I1600">
        <v>1287.3387451000001</v>
      </c>
      <c r="J1600">
        <v>1267.8040771000001</v>
      </c>
      <c r="K1600">
        <v>2400</v>
      </c>
      <c r="L1600">
        <v>0</v>
      </c>
      <c r="M1600">
        <v>0</v>
      </c>
      <c r="N1600">
        <v>2400</v>
      </c>
    </row>
    <row r="1601" spans="1:14" x14ac:dyDescent="0.25">
      <c r="A1601">
        <v>1158.7834170000001</v>
      </c>
      <c r="B1601" s="1">
        <f>DATE(2013,7,2) + TIME(18,48,7)</f>
        <v>41457.783414351848</v>
      </c>
      <c r="C1601">
        <v>80</v>
      </c>
      <c r="D1601">
        <v>79.957260132000002</v>
      </c>
      <c r="E1601">
        <v>50</v>
      </c>
      <c r="F1601">
        <v>46.264987945999998</v>
      </c>
      <c r="G1601">
        <v>1382.3485106999999</v>
      </c>
      <c r="H1601">
        <v>1368.4913329999999</v>
      </c>
      <c r="I1601">
        <v>1287.3188477000001</v>
      </c>
      <c r="J1601">
        <v>1267.7706298999999</v>
      </c>
      <c r="K1601">
        <v>2400</v>
      </c>
      <c r="L1601">
        <v>0</v>
      </c>
      <c r="M1601">
        <v>0</v>
      </c>
      <c r="N1601">
        <v>2400</v>
      </c>
    </row>
    <row r="1602" spans="1:14" x14ac:dyDescent="0.25">
      <c r="A1602">
        <v>1159.9767750000001</v>
      </c>
      <c r="B1602" s="1">
        <f>DATE(2013,7,3) + TIME(23,26,33)</f>
        <v>41458.976770833331</v>
      </c>
      <c r="C1602">
        <v>80</v>
      </c>
      <c r="D1602">
        <v>79.957267760999997</v>
      </c>
      <c r="E1602">
        <v>50</v>
      </c>
      <c r="F1602">
        <v>46.210517883000001</v>
      </c>
      <c r="G1602">
        <v>1382.2929687999999</v>
      </c>
      <c r="H1602">
        <v>1368.4456786999999</v>
      </c>
      <c r="I1602">
        <v>1287.2784423999999</v>
      </c>
      <c r="J1602">
        <v>1267.7136230000001</v>
      </c>
      <c r="K1602">
        <v>2400</v>
      </c>
      <c r="L1602">
        <v>0</v>
      </c>
      <c r="M1602">
        <v>0</v>
      </c>
      <c r="N1602">
        <v>2400</v>
      </c>
    </row>
    <row r="1603" spans="1:14" x14ac:dyDescent="0.25">
      <c r="A1603">
        <v>1161.1968260000001</v>
      </c>
      <c r="B1603" s="1">
        <f>DATE(2013,7,5) + TIME(4,43,25)</f>
        <v>41460.196817129632</v>
      </c>
      <c r="C1603">
        <v>80</v>
      </c>
      <c r="D1603">
        <v>79.957275390999996</v>
      </c>
      <c r="E1603">
        <v>50</v>
      </c>
      <c r="F1603">
        <v>46.152046204000001</v>
      </c>
      <c r="G1603">
        <v>1382.237793</v>
      </c>
      <c r="H1603">
        <v>1368.4002685999999</v>
      </c>
      <c r="I1603">
        <v>1287.2369385</v>
      </c>
      <c r="J1603">
        <v>1267.6538086</v>
      </c>
      <c r="K1603">
        <v>2400</v>
      </c>
      <c r="L1603">
        <v>0</v>
      </c>
      <c r="M1603">
        <v>0</v>
      </c>
      <c r="N1603">
        <v>2400</v>
      </c>
    </row>
    <row r="1604" spans="1:14" x14ac:dyDescent="0.25">
      <c r="A1604">
        <v>1162.447451</v>
      </c>
      <c r="B1604" s="1">
        <f>DATE(2013,7,6) + TIME(10,44,19)</f>
        <v>41461.447442129633</v>
      </c>
      <c r="C1604">
        <v>80</v>
      </c>
      <c r="D1604">
        <v>79.957283020000006</v>
      </c>
      <c r="E1604">
        <v>50</v>
      </c>
      <c r="F1604">
        <v>46.091018677000001</v>
      </c>
      <c r="G1604">
        <v>1382.1821289</v>
      </c>
      <c r="H1604">
        <v>1368.3543701000001</v>
      </c>
      <c r="I1604">
        <v>1287.1936035000001</v>
      </c>
      <c r="J1604">
        <v>1267.5908202999999</v>
      </c>
      <c r="K1604">
        <v>2400</v>
      </c>
      <c r="L1604">
        <v>0</v>
      </c>
      <c r="M1604">
        <v>0</v>
      </c>
      <c r="N1604">
        <v>2400</v>
      </c>
    </row>
    <row r="1605" spans="1:14" x14ac:dyDescent="0.25">
      <c r="A1605">
        <v>1163.723555</v>
      </c>
      <c r="B1605" s="1">
        <f>DATE(2013,7,7) + TIME(17,21,55)</f>
        <v>41462.723553240743</v>
      </c>
      <c r="C1605">
        <v>80</v>
      </c>
      <c r="D1605">
        <v>79.957290649000001</v>
      </c>
      <c r="E1605">
        <v>50</v>
      </c>
      <c r="F1605">
        <v>46.028121947999999</v>
      </c>
      <c r="G1605">
        <v>1382.1258545000001</v>
      </c>
      <c r="H1605">
        <v>1368.3079834</v>
      </c>
      <c r="I1605">
        <v>1287.1486815999999</v>
      </c>
      <c r="J1605">
        <v>1267.5249022999999</v>
      </c>
      <c r="K1605">
        <v>2400</v>
      </c>
      <c r="L1605">
        <v>0</v>
      </c>
      <c r="M1605">
        <v>0</v>
      </c>
      <c r="N1605">
        <v>2400</v>
      </c>
    </row>
    <row r="1606" spans="1:14" x14ac:dyDescent="0.25">
      <c r="A1606">
        <v>1165.0026339999999</v>
      </c>
      <c r="B1606" s="1">
        <f>DATE(2013,7,9) + TIME(0,3,47)</f>
        <v>41464.002627314818</v>
      </c>
      <c r="C1606">
        <v>80</v>
      </c>
      <c r="D1606">
        <v>79.957298279</v>
      </c>
      <c r="E1606">
        <v>50</v>
      </c>
      <c r="F1606">
        <v>45.964157104000002</v>
      </c>
      <c r="G1606">
        <v>1382.0692139</v>
      </c>
      <c r="H1606">
        <v>1368.2611084</v>
      </c>
      <c r="I1606">
        <v>1287.1019286999999</v>
      </c>
      <c r="J1606">
        <v>1267.4564209</v>
      </c>
      <c r="K1606">
        <v>2400</v>
      </c>
      <c r="L1606">
        <v>0</v>
      </c>
      <c r="M1606">
        <v>0</v>
      </c>
      <c r="N1606">
        <v>2400</v>
      </c>
    </row>
    <row r="1607" spans="1:14" x14ac:dyDescent="0.25">
      <c r="A1607">
        <v>1166.286689</v>
      </c>
      <c r="B1607" s="1">
        <f>DATE(2013,7,10) + TIME(6,52,49)</f>
        <v>41465.286678240744</v>
      </c>
      <c r="C1607">
        <v>80</v>
      </c>
      <c r="D1607">
        <v>79.957305907999995</v>
      </c>
      <c r="E1607">
        <v>50</v>
      </c>
      <c r="F1607">
        <v>45.899620056000003</v>
      </c>
      <c r="G1607">
        <v>1382.0130615</v>
      </c>
      <c r="H1607">
        <v>1368.2147216999999</v>
      </c>
      <c r="I1607">
        <v>1287.0543213000001</v>
      </c>
      <c r="J1607">
        <v>1267.3861084</v>
      </c>
      <c r="K1607">
        <v>2400</v>
      </c>
      <c r="L1607">
        <v>0</v>
      </c>
      <c r="M1607">
        <v>0</v>
      </c>
      <c r="N1607">
        <v>2400</v>
      </c>
    </row>
    <row r="1608" spans="1:14" x14ac:dyDescent="0.25">
      <c r="A1608">
        <v>1167.5794209999999</v>
      </c>
      <c r="B1608" s="1">
        <f>DATE(2013,7,11) + TIME(13,54,21)</f>
        <v>41466.579409722224</v>
      </c>
      <c r="C1608">
        <v>80</v>
      </c>
      <c r="D1608">
        <v>79.957313537999994</v>
      </c>
      <c r="E1608">
        <v>50</v>
      </c>
      <c r="F1608">
        <v>45.834621429000002</v>
      </c>
      <c r="G1608">
        <v>1381.9575195</v>
      </c>
      <c r="H1608">
        <v>1368.1687012</v>
      </c>
      <c r="I1608">
        <v>1287.0057373</v>
      </c>
      <c r="J1608">
        <v>1267.3140868999999</v>
      </c>
      <c r="K1608">
        <v>2400</v>
      </c>
      <c r="L1608">
        <v>0</v>
      </c>
      <c r="M1608">
        <v>0</v>
      </c>
      <c r="N1608">
        <v>2400</v>
      </c>
    </row>
    <row r="1609" spans="1:14" x14ac:dyDescent="0.25">
      <c r="A1609">
        <v>1168.884534</v>
      </c>
      <c r="B1609" s="1">
        <f>DATE(2013,7,12) + TIME(21,13,43)</f>
        <v>41467.884525462963</v>
      </c>
      <c r="C1609">
        <v>80</v>
      </c>
      <c r="D1609">
        <v>79.957328795999999</v>
      </c>
      <c r="E1609">
        <v>50</v>
      </c>
      <c r="F1609">
        <v>45.769096374999997</v>
      </c>
      <c r="G1609">
        <v>1381.9023437999999</v>
      </c>
      <c r="H1609">
        <v>1368.1229248</v>
      </c>
      <c r="I1609">
        <v>1286.9560547000001</v>
      </c>
      <c r="J1609">
        <v>1267.2401123</v>
      </c>
      <c r="K1609">
        <v>2400</v>
      </c>
      <c r="L1609">
        <v>0</v>
      </c>
      <c r="M1609">
        <v>0</v>
      </c>
      <c r="N1609">
        <v>2400</v>
      </c>
    </row>
    <row r="1610" spans="1:14" x14ac:dyDescent="0.25">
      <c r="A1610">
        <v>1170.2058179999999</v>
      </c>
      <c r="B1610" s="1">
        <f>DATE(2013,7,14) + TIME(4,56,22)</f>
        <v>41469.205810185187</v>
      </c>
      <c r="C1610">
        <v>80</v>
      </c>
      <c r="D1610">
        <v>79.957336425999998</v>
      </c>
      <c r="E1610">
        <v>50</v>
      </c>
      <c r="F1610">
        <v>45.702899932999998</v>
      </c>
      <c r="G1610">
        <v>1381.8472899999999</v>
      </c>
      <c r="H1610">
        <v>1368.0771483999999</v>
      </c>
      <c r="I1610">
        <v>1286.9051514</v>
      </c>
      <c r="J1610">
        <v>1267.1639404</v>
      </c>
      <c r="K1610">
        <v>2400</v>
      </c>
      <c r="L1610">
        <v>0</v>
      </c>
      <c r="M1610">
        <v>0</v>
      </c>
      <c r="N1610">
        <v>2400</v>
      </c>
    </row>
    <row r="1611" spans="1:14" x14ac:dyDescent="0.25">
      <c r="A1611">
        <v>1171.547231</v>
      </c>
      <c r="B1611" s="1">
        <f>DATE(2013,7,15) + TIME(13,8,0)</f>
        <v>41470.547222222223</v>
      </c>
      <c r="C1611">
        <v>80</v>
      </c>
      <c r="D1611">
        <v>79.957351685000006</v>
      </c>
      <c r="E1611">
        <v>50</v>
      </c>
      <c r="F1611">
        <v>45.635860442999999</v>
      </c>
      <c r="G1611">
        <v>1381.7922363</v>
      </c>
      <c r="H1611">
        <v>1368.0313721</v>
      </c>
      <c r="I1611">
        <v>1286.8529053</v>
      </c>
      <c r="J1611">
        <v>1267.0855713000001</v>
      </c>
      <c r="K1611">
        <v>2400</v>
      </c>
      <c r="L1611">
        <v>0</v>
      </c>
      <c r="M1611">
        <v>0</v>
      </c>
      <c r="N1611">
        <v>2400</v>
      </c>
    </row>
    <row r="1612" spans="1:14" x14ac:dyDescent="0.25">
      <c r="A1612">
        <v>1172.912963</v>
      </c>
      <c r="B1612" s="1">
        <f>DATE(2013,7,16) + TIME(21,54,39)</f>
        <v>41471.912951388891</v>
      </c>
      <c r="C1612">
        <v>80</v>
      </c>
      <c r="D1612">
        <v>79.957359314000001</v>
      </c>
      <c r="E1612">
        <v>50</v>
      </c>
      <c r="F1612">
        <v>45.567783356</v>
      </c>
      <c r="G1612">
        <v>1381.7370605000001</v>
      </c>
      <c r="H1612">
        <v>1367.9854736</v>
      </c>
      <c r="I1612">
        <v>1286.7990723</v>
      </c>
      <c r="J1612">
        <v>1267.0043945</v>
      </c>
      <c r="K1612">
        <v>2400</v>
      </c>
      <c r="L1612">
        <v>0</v>
      </c>
      <c r="M1612">
        <v>0</v>
      </c>
      <c r="N1612">
        <v>2400</v>
      </c>
    </row>
    <row r="1613" spans="1:14" x14ac:dyDescent="0.25">
      <c r="A1613">
        <v>1174.3075020000001</v>
      </c>
      <c r="B1613" s="1">
        <f>DATE(2013,7,18) + TIME(7,22,48)</f>
        <v>41473.307500000003</v>
      </c>
      <c r="C1613">
        <v>80</v>
      </c>
      <c r="D1613">
        <v>79.957374572999996</v>
      </c>
      <c r="E1613">
        <v>50</v>
      </c>
      <c r="F1613">
        <v>45.498462676999999</v>
      </c>
      <c r="G1613">
        <v>1381.6816406</v>
      </c>
      <c r="H1613">
        <v>1367.9390868999999</v>
      </c>
      <c r="I1613">
        <v>1286.7435303</v>
      </c>
      <c r="J1613">
        <v>1266.9202881000001</v>
      </c>
      <c r="K1613">
        <v>2400</v>
      </c>
      <c r="L1613">
        <v>0</v>
      </c>
      <c r="M1613">
        <v>0</v>
      </c>
      <c r="N1613">
        <v>2400</v>
      </c>
    </row>
    <row r="1614" spans="1:14" x14ac:dyDescent="0.25">
      <c r="A1614">
        <v>1175.735711</v>
      </c>
      <c r="B1614" s="1">
        <f>DATE(2013,7,19) + TIME(17,39,25)</f>
        <v>41474.735706018517</v>
      </c>
      <c r="C1614">
        <v>80</v>
      </c>
      <c r="D1614">
        <v>79.957389832000004</v>
      </c>
      <c r="E1614">
        <v>50</v>
      </c>
      <c r="F1614">
        <v>45.427673339999998</v>
      </c>
      <c r="G1614">
        <v>1381.6257324000001</v>
      </c>
      <c r="H1614">
        <v>1367.8923339999999</v>
      </c>
      <c r="I1614">
        <v>1286.6859131000001</v>
      </c>
      <c r="J1614">
        <v>1266.8330077999999</v>
      </c>
      <c r="K1614">
        <v>2400</v>
      </c>
      <c r="L1614">
        <v>0</v>
      </c>
      <c r="M1614">
        <v>0</v>
      </c>
      <c r="N1614">
        <v>2400</v>
      </c>
    </row>
    <row r="1615" spans="1:14" x14ac:dyDescent="0.25">
      <c r="A1615">
        <v>1177.1886689999999</v>
      </c>
      <c r="B1615" s="1">
        <f>DATE(2013,7,21) + TIME(4,31,41)</f>
        <v>41476.188668981478</v>
      </c>
      <c r="C1615">
        <v>80</v>
      </c>
      <c r="D1615">
        <v>79.957405089999995</v>
      </c>
      <c r="E1615">
        <v>50</v>
      </c>
      <c r="F1615">
        <v>45.355442046999997</v>
      </c>
      <c r="G1615">
        <v>1381.5690918</v>
      </c>
      <c r="H1615">
        <v>1367.8449707</v>
      </c>
      <c r="I1615">
        <v>1286.6260986</v>
      </c>
      <c r="J1615">
        <v>1266.7419434000001</v>
      </c>
      <c r="K1615">
        <v>2400</v>
      </c>
      <c r="L1615">
        <v>0</v>
      </c>
      <c r="M1615">
        <v>0</v>
      </c>
      <c r="N1615">
        <v>2400</v>
      </c>
    </row>
    <row r="1616" spans="1:14" x14ac:dyDescent="0.25">
      <c r="A1616">
        <v>1178.644176</v>
      </c>
      <c r="B1616" s="1">
        <f>DATE(2013,7,22) + TIME(15,27,36)</f>
        <v>41477.644166666665</v>
      </c>
      <c r="C1616">
        <v>80</v>
      </c>
      <c r="D1616">
        <v>79.957420349000003</v>
      </c>
      <c r="E1616">
        <v>50</v>
      </c>
      <c r="F1616">
        <v>45.282310486</v>
      </c>
      <c r="G1616">
        <v>1381.512207</v>
      </c>
      <c r="H1616">
        <v>1367.7973632999999</v>
      </c>
      <c r="I1616">
        <v>1286.5644531</v>
      </c>
      <c r="J1616">
        <v>1266.6478271000001</v>
      </c>
      <c r="K1616">
        <v>2400</v>
      </c>
      <c r="L1616">
        <v>0</v>
      </c>
      <c r="M1616">
        <v>0</v>
      </c>
      <c r="N1616">
        <v>2400</v>
      </c>
    </row>
    <row r="1617" spans="1:14" x14ac:dyDescent="0.25">
      <c r="A1617">
        <v>1180.1061090000001</v>
      </c>
      <c r="B1617" s="1">
        <f>DATE(2013,7,24) + TIME(2,32,47)</f>
        <v>41479.106099537035</v>
      </c>
      <c r="C1617">
        <v>80</v>
      </c>
      <c r="D1617">
        <v>79.957427979000002</v>
      </c>
      <c r="E1617">
        <v>50</v>
      </c>
      <c r="F1617">
        <v>45.208698273000003</v>
      </c>
      <c r="G1617">
        <v>1381.4559326000001</v>
      </c>
      <c r="H1617">
        <v>1367.7501221</v>
      </c>
      <c r="I1617">
        <v>1286.5018310999999</v>
      </c>
      <c r="J1617">
        <v>1266.5517577999999</v>
      </c>
      <c r="K1617">
        <v>2400</v>
      </c>
      <c r="L1617">
        <v>0</v>
      </c>
      <c r="M1617">
        <v>0</v>
      </c>
      <c r="N1617">
        <v>2400</v>
      </c>
    </row>
    <row r="1618" spans="1:14" x14ac:dyDescent="0.25">
      <c r="A1618">
        <v>1181.5786000000001</v>
      </c>
      <c r="B1618" s="1">
        <f>DATE(2013,7,25) + TIME(13,53,11)</f>
        <v>41480.578599537039</v>
      </c>
      <c r="C1618">
        <v>80</v>
      </c>
      <c r="D1618">
        <v>79.957450867000006</v>
      </c>
      <c r="E1618">
        <v>50</v>
      </c>
      <c r="F1618">
        <v>45.134651183999999</v>
      </c>
      <c r="G1618">
        <v>1381.4000243999999</v>
      </c>
      <c r="H1618">
        <v>1367.703125</v>
      </c>
      <c r="I1618">
        <v>1286.4379882999999</v>
      </c>
      <c r="J1618">
        <v>1266.4534911999999</v>
      </c>
      <c r="K1618">
        <v>2400</v>
      </c>
      <c r="L1618">
        <v>0</v>
      </c>
      <c r="M1618">
        <v>0</v>
      </c>
      <c r="N1618">
        <v>2400</v>
      </c>
    </row>
    <row r="1619" spans="1:14" x14ac:dyDescent="0.25">
      <c r="A1619">
        <v>1183.0658309999999</v>
      </c>
      <c r="B1619" s="1">
        <f>DATE(2013,7,27) + TIME(1,34,47)</f>
        <v>41482.065821759257</v>
      </c>
      <c r="C1619">
        <v>80</v>
      </c>
      <c r="D1619">
        <v>79.957466124999996</v>
      </c>
      <c r="E1619">
        <v>50</v>
      </c>
      <c r="F1619">
        <v>45.060062408</v>
      </c>
      <c r="G1619">
        <v>1381.3444824000001</v>
      </c>
      <c r="H1619">
        <v>1367.6563721</v>
      </c>
      <c r="I1619">
        <v>1286.3730469</v>
      </c>
      <c r="J1619">
        <v>1266.3530272999999</v>
      </c>
      <c r="K1619">
        <v>2400</v>
      </c>
      <c r="L1619">
        <v>0</v>
      </c>
      <c r="M1619">
        <v>0</v>
      </c>
      <c r="N1619">
        <v>2400</v>
      </c>
    </row>
    <row r="1620" spans="1:14" x14ac:dyDescent="0.25">
      <c r="A1620">
        <v>1184.5721060000001</v>
      </c>
      <c r="B1620" s="1">
        <f>DATE(2013,7,28) + TIME(13,43,49)</f>
        <v>41483.572094907409</v>
      </c>
      <c r="C1620">
        <v>80</v>
      </c>
      <c r="D1620">
        <v>79.957481384000005</v>
      </c>
      <c r="E1620">
        <v>50</v>
      </c>
      <c r="F1620">
        <v>44.984783172999997</v>
      </c>
      <c r="G1620">
        <v>1381.2889404</v>
      </c>
      <c r="H1620">
        <v>1367.6096190999999</v>
      </c>
      <c r="I1620">
        <v>1286.3065185999999</v>
      </c>
      <c r="J1620">
        <v>1266.2498779</v>
      </c>
      <c r="K1620">
        <v>2400</v>
      </c>
      <c r="L1620">
        <v>0</v>
      </c>
      <c r="M1620">
        <v>0</v>
      </c>
      <c r="N1620">
        <v>2400</v>
      </c>
    </row>
    <row r="1621" spans="1:14" x14ac:dyDescent="0.25">
      <c r="A1621">
        <v>1186.1019449999999</v>
      </c>
      <c r="B1621" s="1">
        <f>DATE(2013,7,30) + TIME(2,26,48)</f>
        <v>41485.101944444446</v>
      </c>
      <c r="C1621">
        <v>80</v>
      </c>
      <c r="D1621">
        <v>79.957496642999999</v>
      </c>
      <c r="E1621">
        <v>50</v>
      </c>
      <c r="F1621">
        <v>44.908626556000002</v>
      </c>
      <c r="G1621">
        <v>1381.2333983999999</v>
      </c>
      <c r="H1621">
        <v>1367.5626221</v>
      </c>
      <c r="I1621">
        <v>1286.2385254000001</v>
      </c>
      <c r="J1621">
        <v>1266.1439209</v>
      </c>
      <c r="K1621">
        <v>2400</v>
      </c>
      <c r="L1621">
        <v>0</v>
      </c>
      <c r="M1621">
        <v>0</v>
      </c>
      <c r="N1621">
        <v>2400</v>
      </c>
    </row>
    <row r="1622" spans="1:14" x14ac:dyDescent="0.25">
      <c r="A1622">
        <v>1187.6601700000001</v>
      </c>
      <c r="B1622" s="1">
        <f>DATE(2013,7,31) + TIME(15,50,38)</f>
        <v>41486.660162037035</v>
      </c>
      <c r="C1622">
        <v>80</v>
      </c>
      <c r="D1622">
        <v>79.957519531000003</v>
      </c>
      <c r="E1622">
        <v>50</v>
      </c>
      <c r="F1622">
        <v>44.831409454000003</v>
      </c>
      <c r="G1622">
        <v>1381.1776123</v>
      </c>
      <c r="H1622">
        <v>1367.5155029</v>
      </c>
      <c r="I1622">
        <v>1286.1687012</v>
      </c>
      <c r="J1622">
        <v>1266.034668</v>
      </c>
      <c r="K1622">
        <v>2400</v>
      </c>
      <c r="L1622">
        <v>0</v>
      </c>
      <c r="M1622">
        <v>0</v>
      </c>
      <c r="N1622">
        <v>2400</v>
      </c>
    </row>
    <row r="1623" spans="1:14" x14ac:dyDescent="0.25">
      <c r="A1623">
        <v>1188</v>
      </c>
      <c r="B1623" s="1">
        <f>DATE(2013,8,1) + TIME(0,0,0)</f>
        <v>41487</v>
      </c>
      <c r="C1623">
        <v>80</v>
      </c>
      <c r="D1623">
        <v>79.957511901999993</v>
      </c>
      <c r="E1623">
        <v>50</v>
      </c>
      <c r="F1623">
        <v>44.797359467</v>
      </c>
      <c r="G1623">
        <v>1381.1221923999999</v>
      </c>
      <c r="H1623">
        <v>1367.4686279</v>
      </c>
      <c r="I1623">
        <v>1286.1004639</v>
      </c>
      <c r="J1623">
        <v>1265.9426269999999</v>
      </c>
      <c r="K1623">
        <v>2400</v>
      </c>
      <c r="L1623">
        <v>0</v>
      </c>
      <c r="M1623">
        <v>0</v>
      </c>
      <c r="N1623">
        <v>2400</v>
      </c>
    </row>
    <row r="1624" spans="1:14" x14ac:dyDescent="0.25">
      <c r="A1624">
        <v>1189.5843440000001</v>
      </c>
      <c r="B1624" s="1">
        <f>DATE(2013,8,2) + TIME(14,1,27)</f>
        <v>41488.584340277775</v>
      </c>
      <c r="C1624">
        <v>80</v>
      </c>
      <c r="D1624">
        <v>79.957534789999997</v>
      </c>
      <c r="E1624">
        <v>50</v>
      </c>
      <c r="F1624">
        <v>44.729969025000003</v>
      </c>
      <c r="G1624">
        <v>1381.1090088000001</v>
      </c>
      <c r="H1624">
        <v>1367.4573975000001</v>
      </c>
      <c r="I1624">
        <v>1286.0793457</v>
      </c>
      <c r="J1624">
        <v>1265.8922118999999</v>
      </c>
      <c r="K1624">
        <v>2400</v>
      </c>
      <c r="L1624">
        <v>0</v>
      </c>
      <c r="M1624">
        <v>0</v>
      </c>
      <c r="N1624">
        <v>2400</v>
      </c>
    </row>
    <row r="1625" spans="1:14" x14ac:dyDescent="0.25">
      <c r="A1625">
        <v>1191.1988650000001</v>
      </c>
      <c r="B1625" s="1">
        <f>DATE(2013,8,4) + TIME(4,46,21)</f>
        <v>41490.198854166665</v>
      </c>
      <c r="C1625">
        <v>80</v>
      </c>
      <c r="D1625">
        <v>79.957557678000001</v>
      </c>
      <c r="E1625">
        <v>50</v>
      </c>
      <c r="F1625">
        <v>44.654396057</v>
      </c>
      <c r="G1625">
        <v>1381.0529785000001</v>
      </c>
      <c r="H1625">
        <v>1367.4097899999999</v>
      </c>
      <c r="I1625">
        <v>1286.0065918</v>
      </c>
      <c r="J1625">
        <v>1265.7789307</v>
      </c>
      <c r="K1625">
        <v>2400</v>
      </c>
      <c r="L1625">
        <v>0</v>
      </c>
      <c r="M1625">
        <v>0</v>
      </c>
      <c r="N1625">
        <v>2400</v>
      </c>
    </row>
    <row r="1626" spans="1:14" x14ac:dyDescent="0.25">
      <c r="A1626">
        <v>1192.8433130000001</v>
      </c>
      <c r="B1626" s="1">
        <f>DATE(2013,8,5) + TIME(20,14,22)</f>
        <v>41491.843310185184</v>
      </c>
      <c r="C1626">
        <v>80</v>
      </c>
      <c r="D1626">
        <v>79.957580566000004</v>
      </c>
      <c r="E1626">
        <v>50</v>
      </c>
      <c r="F1626">
        <v>44.575122833000002</v>
      </c>
      <c r="G1626">
        <v>1380.9962158000001</v>
      </c>
      <c r="H1626">
        <v>1367.3615723</v>
      </c>
      <c r="I1626">
        <v>1285.9310303</v>
      </c>
      <c r="J1626">
        <v>1265.6597899999999</v>
      </c>
      <c r="K1626">
        <v>2400</v>
      </c>
      <c r="L1626">
        <v>0</v>
      </c>
      <c r="M1626">
        <v>0</v>
      </c>
      <c r="N1626">
        <v>2400</v>
      </c>
    </row>
    <row r="1627" spans="1:14" x14ac:dyDescent="0.25">
      <c r="A1627">
        <v>1194.501974</v>
      </c>
      <c r="B1627" s="1">
        <f>DATE(2013,8,7) + TIME(12,2,50)</f>
        <v>41493.501967592594</v>
      </c>
      <c r="C1627">
        <v>80</v>
      </c>
      <c r="D1627">
        <v>79.957603454999997</v>
      </c>
      <c r="E1627">
        <v>50</v>
      </c>
      <c r="F1627">
        <v>44.494075774999999</v>
      </c>
      <c r="G1627">
        <v>1380.9389647999999</v>
      </c>
      <c r="H1627">
        <v>1367.3128661999999</v>
      </c>
      <c r="I1627">
        <v>1285.8531493999999</v>
      </c>
      <c r="J1627">
        <v>1265.5363769999999</v>
      </c>
      <c r="K1627">
        <v>2400</v>
      </c>
      <c r="L1627">
        <v>0</v>
      </c>
      <c r="M1627">
        <v>0</v>
      </c>
      <c r="N1627">
        <v>2400</v>
      </c>
    </row>
    <row r="1628" spans="1:14" x14ac:dyDescent="0.25">
      <c r="A1628">
        <v>1196.170453</v>
      </c>
      <c r="B1628" s="1">
        <f>DATE(2013,8,9) + TIME(4,5,27)</f>
        <v>41495.170451388891</v>
      </c>
      <c r="C1628">
        <v>80</v>
      </c>
      <c r="D1628">
        <v>79.957618713000002</v>
      </c>
      <c r="E1628">
        <v>50</v>
      </c>
      <c r="F1628">
        <v>44.412315368999998</v>
      </c>
      <c r="G1628">
        <v>1380.8819579999999</v>
      </c>
      <c r="H1628">
        <v>1367.2642822</v>
      </c>
      <c r="I1628">
        <v>1285.7739257999999</v>
      </c>
      <c r="J1628">
        <v>1265.4101562000001</v>
      </c>
      <c r="K1628">
        <v>2400</v>
      </c>
      <c r="L1628">
        <v>0</v>
      </c>
      <c r="M1628">
        <v>0</v>
      </c>
      <c r="N1628">
        <v>2400</v>
      </c>
    </row>
    <row r="1629" spans="1:14" x14ac:dyDescent="0.25">
      <c r="A1629">
        <v>1197.8535670000001</v>
      </c>
      <c r="B1629" s="1">
        <f>DATE(2013,8,10) + TIME(20,29,8)</f>
        <v>41496.853564814817</v>
      </c>
      <c r="C1629">
        <v>80</v>
      </c>
      <c r="D1629">
        <v>79.957641601999995</v>
      </c>
      <c r="E1629">
        <v>50</v>
      </c>
      <c r="F1629">
        <v>44.330245972</v>
      </c>
      <c r="G1629">
        <v>1380.8251952999999</v>
      </c>
      <c r="H1629">
        <v>1367.2158202999999</v>
      </c>
      <c r="I1629">
        <v>1285.6936035000001</v>
      </c>
      <c r="J1629">
        <v>1265.2816161999999</v>
      </c>
      <c r="K1629">
        <v>2400</v>
      </c>
      <c r="L1629">
        <v>0</v>
      </c>
      <c r="M1629">
        <v>0</v>
      </c>
      <c r="N1629">
        <v>2400</v>
      </c>
    </row>
    <row r="1630" spans="1:14" x14ac:dyDescent="0.25">
      <c r="A1630">
        <v>1199.5562299999999</v>
      </c>
      <c r="B1630" s="1">
        <f>DATE(2013,8,12) + TIME(13,20,58)</f>
        <v>41498.556226851855</v>
      </c>
      <c r="C1630">
        <v>80</v>
      </c>
      <c r="D1630">
        <v>79.957664489999999</v>
      </c>
      <c r="E1630">
        <v>50</v>
      </c>
      <c r="F1630">
        <v>44.247909546000002</v>
      </c>
      <c r="G1630">
        <v>1380.7685547000001</v>
      </c>
      <c r="H1630">
        <v>1367.1673584</v>
      </c>
      <c r="I1630">
        <v>1285.6120605000001</v>
      </c>
      <c r="J1630">
        <v>1265.1505127</v>
      </c>
      <c r="K1630">
        <v>2400</v>
      </c>
      <c r="L1630">
        <v>0</v>
      </c>
      <c r="M1630">
        <v>0</v>
      </c>
      <c r="N1630">
        <v>2400</v>
      </c>
    </row>
    <row r="1631" spans="1:14" x14ac:dyDescent="0.25">
      <c r="A1631">
        <v>1201.283541</v>
      </c>
      <c r="B1631" s="1">
        <f>DATE(2013,8,14) + TIME(6,48,17)</f>
        <v>41500.283530092594</v>
      </c>
      <c r="C1631">
        <v>80</v>
      </c>
      <c r="D1631">
        <v>79.957687378000003</v>
      </c>
      <c r="E1631">
        <v>50</v>
      </c>
      <c r="F1631">
        <v>44.165241240999997</v>
      </c>
      <c r="G1631">
        <v>1380.7117920000001</v>
      </c>
      <c r="H1631">
        <v>1367.1187743999999</v>
      </c>
      <c r="I1631">
        <v>1285.5291748</v>
      </c>
      <c r="J1631">
        <v>1265.0168457</v>
      </c>
      <c r="K1631">
        <v>2400</v>
      </c>
      <c r="L1631">
        <v>0</v>
      </c>
      <c r="M1631">
        <v>0</v>
      </c>
      <c r="N1631">
        <v>2400</v>
      </c>
    </row>
    <row r="1632" spans="1:14" x14ac:dyDescent="0.25">
      <c r="A1632">
        <v>1203.0312610000001</v>
      </c>
      <c r="B1632" s="1">
        <f>DATE(2013,8,16) + TIME(0,45,0)</f>
        <v>41502.03125</v>
      </c>
      <c r="C1632">
        <v>80</v>
      </c>
      <c r="D1632">
        <v>79.957710266000007</v>
      </c>
      <c r="E1632">
        <v>50</v>
      </c>
      <c r="F1632">
        <v>44.082275391000003</v>
      </c>
      <c r="G1632">
        <v>1380.6549072</v>
      </c>
      <c r="H1632">
        <v>1367.0699463000001</v>
      </c>
      <c r="I1632">
        <v>1285.4448242000001</v>
      </c>
      <c r="J1632">
        <v>1264.880249</v>
      </c>
      <c r="K1632">
        <v>2400</v>
      </c>
      <c r="L1632">
        <v>0</v>
      </c>
      <c r="M1632">
        <v>0</v>
      </c>
      <c r="N1632">
        <v>2400</v>
      </c>
    </row>
    <row r="1633" spans="1:14" x14ac:dyDescent="0.25">
      <c r="A1633">
        <v>1204.7997</v>
      </c>
      <c r="B1633" s="1">
        <f>DATE(2013,8,17) + TIME(19,11,34)</f>
        <v>41503.799699074072</v>
      </c>
      <c r="C1633">
        <v>80</v>
      </c>
      <c r="D1633">
        <v>79.957740783999995</v>
      </c>
      <c r="E1633">
        <v>50</v>
      </c>
      <c r="F1633">
        <v>43.999179839999996</v>
      </c>
      <c r="G1633">
        <v>1380.5979004000001</v>
      </c>
      <c r="H1633">
        <v>1367.0209961</v>
      </c>
      <c r="I1633">
        <v>1285.3591309000001</v>
      </c>
      <c r="J1633">
        <v>1264.7409668</v>
      </c>
      <c r="K1633">
        <v>2400</v>
      </c>
      <c r="L1633">
        <v>0</v>
      </c>
      <c r="M1633">
        <v>0</v>
      </c>
      <c r="N1633">
        <v>2400</v>
      </c>
    </row>
    <row r="1634" spans="1:14" x14ac:dyDescent="0.25">
      <c r="A1634">
        <v>1206.593957</v>
      </c>
      <c r="B1634" s="1">
        <f>DATE(2013,8,19) + TIME(14,15,17)</f>
        <v>41505.593946759262</v>
      </c>
      <c r="C1634">
        <v>80</v>
      </c>
      <c r="D1634">
        <v>79.957763671999999</v>
      </c>
      <c r="E1634">
        <v>50</v>
      </c>
      <c r="F1634">
        <v>43.916034697999997</v>
      </c>
      <c r="G1634">
        <v>1380.5407714999999</v>
      </c>
      <c r="H1634">
        <v>1366.9718018000001</v>
      </c>
      <c r="I1634">
        <v>1285.2722168</v>
      </c>
      <c r="J1634">
        <v>1264.5992432</v>
      </c>
      <c r="K1634">
        <v>2400</v>
      </c>
      <c r="L1634">
        <v>0</v>
      </c>
      <c r="M1634">
        <v>0</v>
      </c>
      <c r="N1634">
        <v>2400</v>
      </c>
    </row>
    <row r="1635" spans="1:14" x14ac:dyDescent="0.25">
      <c r="A1635">
        <v>1208.4194239999999</v>
      </c>
      <c r="B1635" s="1">
        <f>DATE(2013,8,21) + TIME(10,3,58)</f>
        <v>41507.419421296298</v>
      </c>
      <c r="C1635">
        <v>80</v>
      </c>
      <c r="D1635">
        <v>79.957786560000002</v>
      </c>
      <c r="E1635">
        <v>50</v>
      </c>
      <c r="F1635">
        <v>43.832828522</v>
      </c>
      <c r="G1635">
        <v>1380.4835204999999</v>
      </c>
      <c r="H1635">
        <v>1366.9223632999999</v>
      </c>
      <c r="I1635">
        <v>1285.184082</v>
      </c>
      <c r="J1635">
        <v>1264.4547118999999</v>
      </c>
      <c r="K1635">
        <v>2400</v>
      </c>
      <c r="L1635">
        <v>0</v>
      </c>
      <c r="M1635">
        <v>0</v>
      </c>
      <c r="N1635">
        <v>2400</v>
      </c>
    </row>
    <row r="1636" spans="1:14" x14ac:dyDescent="0.25">
      <c r="A1636">
        <v>1210.2818830000001</v>
      </c>
      <c r="B1636" s="1">
        <f>DATE(2013,8,23) + TIME(6,45,54)</f>
        <v>41509.281875000001</v>
      </c>
      <c r="C1636">
        <v>80</v>
      </c>
      <c r="D1636">
        <v>79.957817078000005</v>
      </c>
      <c r="E1636">
        <v>50</v>
      </c>
      <c r="F1636">
        <v>43.749526977999999</v>
      </c>
      <c r="G1636">
        <v>1380.4256591999999</v>
      </c>
      <c r="H1636">
        <v>1366.8725586</v>
      </c>
      <c r="I1636">
        <v>1285.0943603999999</v>
      </c>
      <c r="J1636">
        <v>1264.3071289</v>
      </c>
      <c r="K1636">
        <v>2400</v>
      </c>
      <c r="L1636">
        <v>0</v>
      </c>
      <c r="M1636">
        <v>0</v>
      </c>
      <c r="N1636">
        <v>2400</v>
      </c>
    </row>
    <row r="1637" spans="1:14" x14ac:dyDescent="0.25">
      <c r="A1637">
        <v>1212.1704</v>
      </c>
      <c r="B1637" s="1">
        <f>DATE(2013,8,25) + TIME(4,5,22)</f>
        <v>41511.170393518521</v>
      </c>
      <c r="C1637">
        <v>80</v>
      </c>
      <c r="D1637">
        <v>79.957839965999995</v>
      </c>
      <c r="E1637">
        <v>50</v>
      </c>
      <c r="F1637">
        <v>43.666343689000001</v>
      </c>
      <c r="G1637">
        <v>1380.3673096</v>
      </c>
      <c r="H1637">
        <v>1366.8220214999999</v>
      </c>
      <c r="I1637">
        <v>1285.0029297000001</v>
      </c>
      <c r="J1637">
        <v>1264.15625</v>
      </c>
      <c r="K1637">
        <v>2400</v>
      </c>
      <c r="L1637">
        <v>0</v>
      </c>
      <c r="M1637">
        <v>0</v>
      </c>
      <c r="N1637">
        <v>2400</v>
      </c>
    </row>
    <row r="1638" spans="1:14" x14ac:dyDescent="0.25">
      <c r="A1638">
        <v>1214.0735569999999</v>
      </c>
      <c r="B1638" s="1">
        <f>DATE(2013,8,27) + TIME(1,45,55)</f>
        <v>41513.073553240742</v>
      </c>
      <c r="C1638">
        <v>80</v>
      </c>
      <c r="D1638">
        <v>79.957870482999994</v>
      </c>
      <c r="E1638">
        <v>50</v>
      </c>
      <c r="F1638">
        <v>43.583854674999998</v>
      </c>
      <c r="G1638">
        <v>1380.3087158000001</v>
      </c>
      <c r="H1638">
        <v>1366.7712402</v>
      </c>
      <c r="I1638">
        <v>1284.9105225000001</v>
      </c>
      <c r="J1638">
        <v>1264.0030518000001</v>
      </c>
      <c r="K1638">
        <v>2400</v>
      </c>
      <c r="L1638">
        <v>0</v>
      </c>
      <c r="M1638">
        <v>0</v>
      </c>
      <c r="N1638">
        <v>2400</v>
      </c>
    </row>
    <row r="1639" spans="1:14" x14ac:dyDescent="0.25">
      <c r="A1639">
        <v>1215.997122</v>
      </c>
      <c r="B1639" s="1">
        <f>DATE(2013,8,28) + TIME(23,55,51)</f>
        <v>41514.997118055559</v>
      </c>
      <c r="C1639">
        <v>80</v>
      </c>
      <c r="D1639">
        <v>79.957901000999996</v>
      </c>
      <c r="E1639">
        <v>50</v>
      </c>
      <c r="F1639">
        <v>43.502506255999997</v>
      </c>
      <c r="G1639">
        <v>1380.2502440999999</v>
      </c>
      <c r="H1639">
        <v>1366.7205810999999</v>
      </c>
      <c r="I1639">
        <v>1284.817749</v>
      </c>
      <c r="J1639">
        <v>1263.8486327999999</v>
      </c>
      <c r="K1639">
        <v>2400</v>
      </c>
      <c r="L1639">
        <v>0</v>
      </c>
      <c r="M1639">
        <v>0</v>
      </c>
      <c r="N1639">
        <v>2400</v>
      </c>
    </row>
    <row r="1640" spans="1:14" x14ac:dyDescent="0.25">
      <c r="A1640">
        <v>1217.9373599999999</v>
      </c>
      <c r="B1640" s="1">
        <f>DATE(2013,8,30) + TIME(22,29,47)</f>
        <v>41516.937349537038</v>
      </c>
      <c r="C1640">
        <v>80</v>
      </c>
      <c r="D1640">
        <v>79.957931518999999</v>
      </c>
      <c r="E1640">
        <v>50</v>
      </c>
      <c r="F1640">
        <v>43.422576904000003</v>
      </c>
      <c r="G1640">
        <v>1380.1917725000001</v>
      </c>
      <c r="H1640">
        <v>1366.6696777</v>
      </c>
      <c r="I1640">
        <v>1284.7244873</v>
      </c>
      <c r="J1640">
        <v>1263.6926269999999</v>
      </c>
      <c r="K1640">
        <v>2400</v>
      </c>
      <c r="L1640">
        <v>0</v>
      </c>
      <c r="M1640">
        <v>0</v>
      </c>
      <c r="N1640">
        <v>2400</v>
      </c>
    </row>
    <row r="1641" spans="1:14" x14ac:dyDescent="0.25">
      <c r="A1641">
        <v>1219</v>
      </c>
      <c r="B1641" s="1">
        <f>DATE(2013,9,1) + TIME(0,0,0)</f>
        <v>41518</v>
      </c>
      <c r="C1641">
        <v>80</v>
      </c>
      <c r="D1641">
        <v>79.957939147999994</v>
      </c>
      <c r="E1641">
        <v>50</v>
      </c>
      <c r="F1641">
        <v>43.360378265000001</v>
      </c>
      <c r="G1641">
        <v>1380.1331786999999</v>
      </c>
      <c r="H1641">
        <v>1366.6186522999999</v>
      </c>
      <c r="I1641">
        <v>1284.6343993999999</v>
      </c>
      <c r="J1641">
        <v>1263.5476074000001</v>
      </c>
      <c r="K1641">
        <v>2400</v>
      </c>
      <c r="L1641">
        <v>0</v>
      </c>
      <c r="M1641">
        <v>0</v>
      </c>
      <c r="N1641">
        <v>2400</v>
      </c>
    </row>
    <row r="1642" spans="1:14" x14ac:dyDescent="0.25">
      <c r="A1642">
        <v>1220.9564230000001</v>
      </c>
      <c r="B1642" s="1">
        <f>DATE(2013,9,2) + TIME(22,57,14)</f>
        <v>41519.956412037034</v>
      </c>
      <c r="C1642">
        <v>80</v>
      </c>
      <c r="D1642">
        <v>79.957969665999997</v>
      </c>
      <c r="E1642">
        <v>50</v>
      </c>
      <c r="F1642">
        <v>43.297134399000001</v>
      </c>
      <c r="G1642">
        <v>1380.1011963000001</v>
      </c>
      <c r="H1642">
        <v>1366.5908202999999</v>
      </c>
      <c r="I1642">
        <v>1284.5770264</v>
      </c>
      <c r="J1642">
        <v>1263.4429932</v>
      </c>
      <c r="K1642">
        <v>2400</v>
      </c>
      <c r="L1642">
        <v>0</v>
      </c>
      <c r="M1642">
        <v>0</v>
      </c>
      <c r="N1642">
        <v>2400</v>
      </c>
    </row>
    <row r="1643" spans="1:14" x14ac:dyDescent="0.25">
      <c r="A1643">
        <v>1222.949171</v>
      </c>
      <c r="B1643" s="1">
        <f>DATE(2013,9,4) + TIME(22,46,48)</f>
        <v>41521.949166666665</v>
      </c>
      <c r="C1643">
        <v>80</v>
      </c>
      <c r="D1643">
        <v>79.958000182999996</v>
      </c>
      <c r="E1643">
        <v>50</v>
      </c>
      <c r="F1643">
        <v>43.226573944000002</v>
      </c>
      <c r="G1643">
        <v>1380.0432129000001</v>
      </c>
      <c r="H1643">
        <v>1366.5401611</v>
      </c>
      <c r="I1643">
        <v>1284.4863281</v>
      </c>
      <c r="J1643">
        <v>1263.2912598</v>
      </c>
      <c r="K1643">
        <v>2400</v>
      </c>
      <c r="L1643">
        <v>0</v>
      </c>
      <c r="M1643">
        <v>0</v>
      </c>
      <c r="N1643">
        <v>2400</v>
      </c>
    </row>
    <row r="1644" spans="1:14" x14ac:dyDescent="0.25">
      <c r="A1644">
        <v>1224.9723859999999</v>
      </c>
      <c r="B1644" s="1">
        <f>DATE(2013,9,6) + TIME(23,20,14)</f>
        <v>41523.972384259258</v>
      </c>
      <c r="C1644">
        <v>80</v>
      </c>
      <c r="D1644">
        <v>79.958038329999994</v>
      </c>
      <c r="E1644">
        <v>50</v>
      </c>
      <c r="F1644">
        <v>43.155254364000001</v>
      </c>
      <c r="G1644">
        <v>1379.9844971</v>
      </c>
      <c r="H1644">
        <v>1366.4888916</v>
      </c>
      <c r="I1644">
        <v>1284.3935547000001</v>
      </c>
      <c r="J1644">
        <v>1263.1343993999999</v>
      </c>
      <c r="K1644">
        <v>2400</v>
      </c>
      <c r="L1644">
        <v>0</v>
      </c>
      <c r="M1644">
        <v>0</v>
      </c>
      <c r="N1644">
        <v>2400</v>
      </c>
    </row>
    <row r="1645" spans="1:14" x14ac:dyDescent="0.25">
      <c r="A1645">
        <v>1227.032543</v>
      </c>
      <c r="B1645" s="1">
        <f>DATE(2013,9,9) + TIME(0,46,51)</f>
        <v>41526.032534722224</v>
      </c>
      <c r="C1645">
        <v>80</v>
      </c>
      <c r="D1645">
        <v>79.958068847999996</v>
      </c>
      <c r="E1645">
        <v>50</v>
      </c>
      <c r="F1645">
        <v>43.085533142000003</v>
      </c>
      <c r="G1645">
        <v>1379.9254149999999</v>
      </c>
      <c r="H1645">
        <v>1366.4371338000001</v>
      </c>
      <c r="I1645">
        <v>1284.3000488</v>
      </c>
      <c r="J1645">
        <v>1262.9754639</v>
      </c>
      <c r="K1645">
        <v>2400</v>
      </c>
      <c r="L1645">
        <v>0</v>
      </c>
      <c r="M1645">
        <v>0</v>
      </c>
      <c r="N1645">
        <v>2400</v>
      </c>
    </row>
    <row r="1646" spans="1:14" x14ac:dyDescent="0.25">
      <c r="A1646">
        <v>1229.106405</v>
      </c>
      <c r="B1646" s="1">
        <f>DATE(2013,9,11) + TIME(2,33,13)</f>
        <v>41528.106400462966</v>
      </c>
      <c r="C1646">
        <v>80</v>
      </c>
      <c r="D1646">
        <v>79.958099364999995</v>
      </c>
      <c r="E1646">
        <v>50</v>
      </c>
      <c r="F1646">
        <v>43.018634796000001</v>
      </c>
      <c r="G1646">
        <v>1379.8657227000001</v>
      </c>
      <c r="H1646">
        <v>1366.3847656</v>
      </c>
      <c r="I1646">
        <v>1284.2062988</v>
      </c>
      <c r="J1646">
        <v>1262.8155518000001</v>
      </c>
      <c r="K1646">
        <v>2400</v>
      </c>
      <c r="L1646">
        <v>0</v>
      </c>
      <c r="M1646">
        <v>0</v>
      </c>
      <c r="N1646">
        <v>2400</v>
      </c>
    </row>
    <row r="1647" spans="1:14" x14ac:dyDescent="0.25">
      <c r="A1647">
        <v>1231.1891069999999</v>
      </c>
      <c r="B1647" s="1">
        <f>DATE(2013,9,13) + TIME(4,32,18)</f>
        <v>41530.189097222225</v>
      </c>
      <c r="C1647">
        <v>80</v>
      </c>
      <c r="D1647">
        <v>79.958129882999998</v>
      </c>
      <c r="E1647">
        <v>50</v>
      </c>
      <c r="F1647">
        <v>42.955615997000002</v>
      </c>
      <c r="G1647">
        <v>1379.8061522999999</v>
      </c>
      <c r="H1647">
        <v>1366.3323975000001</v>
      </c>
      <c r="I1647">
        <v>1284.1135254000001</v>
      </c>
      <c r="J1647">
        <v>1262.6566161999999</v>
      </c>
      <c r="K1647">
        <v>2400</v>
      </c>
      <c r="L1647">
        <v>0</v>
      </c>
      <c r="M1647">
        <v>0</v>
      </c>
      <c r="N1647">
        <v>2400</v>
      </c>
    </row>
    <row r="1648" spans="1:14" x14ac:dyDescent="0.25">
      <c r="A1648">
        <v>1233.287656</v>
      </c>
      <c r="B1648" s="1">
        <f>DATE(2013,9,15) + TIME(6,54,13)</f>
        <v>41532.28765046296</v>
      </c>
      <c r="C1648">
        <v>80</v>
      </c>
      <c r="D1648">
        <v>79.958168029999996</v>
      </c>
      <c r="E1648">
        <v>50</v>
      </c>
      <c r="F1648">
        <v>42.897109985</v>
      </c>
      <c r="G1648">
        <v>1379.7469481999999</v>
      </c>
      <c r="H1648">
        <v>1366.2802733999999</v>
      </c>
      <c r="I1648">
        <v>1284.0222168</v>
      </c>
      <c r="J1648">
        <v>1262.4995117000001</v>
      </c>
      <c r="K1648">
        <v>2400</v>
      </c>
      <c r="L1648">
        <v>0</v>
      </c>
      <c r="M1648">
        <v>0</v>
      </c>
      <c r="N1648">
        <v>2400</v>
      </c>
    </row>
    <row r="1649" spans="1:14" x14ac:dyDescent="0.25">
      <c r="A1649">
        <v>1235.419036</v>
      </c>
      <c r="B1649" s="1">
        <f>DATE(2013,9,17) + TIME(10,3,24)</f>
        <v>41534.419027777774</v>
      </c>
      <c r="C1649">
        <v>80</v>
      </c>
      <c r="D1649">
        <v>79.958198546999995</v>
      </c>
      <c r="E1649">
        <v>50</v>
      </c>
      <c r="F1649">
        <v>42.843460082999997</v>
      </c>
      <c r="G1649">
        <v>1379.6876221</v>
      </c>
      <c r="H1649">
        <v>1366.2280272999999</v>
      </c>
      <c r="I1649">
        <v>1283.9321289</v>
      </c>
      <c r="J1649">
        <v>1262.3442382999999</v>
      </c>
      <c r="K1649">
        <v>2400</v>
      </c>
      <c r="L1649">
        <v>0</v>
      </c>
      <c r="M1649">
        <v>0</v>
      </c>
      <c r="N1649">
        <v>2400</v>
      </c>
    </row>
    <row r="1650" spans="1:14" x14ac:dyDescent="0.25">
      <c r="A1650">
        <v>1237.5951580000001</v>
      </c>
      <c r="B1650" s="1">
        <f>DATE(2013,9,19) + TIME(14,17,1)</f>
        <v>41536.595150462963</v>
      </c>
      <c r="C1650">
        <v>80</v>
      </c>
      <c r="D1650">
        <v>79.958236693999993</v>
      </c>
      <c r="E1650">
        <v>50</v>
      </c>
      <c r="F1650">
        <v>42.794975280999999</v>
      </c>
      <c r="G1650">
        <v>1379.6279297000001</v>
      </c>
      <c r="H1650">
        <v>1366.175293</v>
      </c>
      <c r="I1650">
        <v>1283.8431396000001</v>
      </c>
      <c r="J1650">
        <v>1262.1903076000001</v>
      </c>
      <c r="K1650">
        <v>2400</v>
      </c>
      <c r="L1650">
        <v>0</v>
      </c>
      <c r="M1650">
        <v>0</v>
      </c>
      <c r="N1650">
        <v>2400</v>
      </c>
    </row>
    <row r="1651" spans="1:14" x14ac:dyDescent="0.25">
      <c r="A1651">
        <v>1239.807861</v>
      </c>
      <c r="B1651" s="1">
        <f>DATE(2013,9,21) + TIME(19,23,19)</f>
        <v>41538.807858796295</v>
      </c>
      <c r="C1651">
        <v>80</v>
      </c>
      <c r="D1651">
        <v>79.958267211999996</v>
      </c>
      <c r="E1651">
        <v>50</v>
      </c>
      <c r="F1651">
        <v>42.752250670999999</v>
      </c>
      <c r="G1651">
        <v>1379.5675048999999</v>
      </c>
      <c r="H1651">
        <v>1366.1218262</v>
      </c>
      <c r="I1651">
        <v>1283.7548827999999</v>
      </c>
      <c r="J1651">
        <v>1262.0373535000001</v>
      </c>
      <c r="K1651">
        <v>2400</v>
      </c>
      <c r="L1651">
        <v>0</v>
      </c>
      <c r="M1651">
        <v>0</v>
      </c>
      <c r="N1651">
        <v>2400</v>
      </c>
    </row>
    <row r="1652" spans="1:14" x14ac:dyDescent="0.25">
      <c r="A1652">
        <v>1242.047118</v>
      </c>
      <c r="B1652" s="1">
        <f>DATE(2013,9,24) + TIME(1,7,51)</f>
        <v>41541.047118055554</v>
      </c>
      <c r="C1652">
        <v>80</v>
      </c>
      <c r="D1652">
        <v>79.958305358999993</v>
      </c>
      <c r="E1652">
        <v>50</v>
      </c>
      <c r="F1652">
        <v>42.716201781999999</v>
      </c>
      <c r="G1652">
        <v>1379.5065918</v>
      </c>
      <c r="H1652">
        <v>1366.0678711</v>
      </c>
      <c r="I1652">
        <v>1283.6680908000001</v>
      </c>
      <c r="J1652">
        <v>1261.8865966999999</v>
      </c>
      <c r="K1652">
        <v>2400</v>
      </c>
      <c r="L1652">
        <v>0</v>
      </c>
      <c r="M1652">
        <v>0</v>
      </c>
      <c r="N1652">
        <v>2400</v>
      </c>
    </row>
    <row r="1653" spans="1:14" x14ac:dyDescent="0.25">
      <c r="A1653">
        <v>1244.313058</v>
      </c>
      <c r="B1653" s="1">
        <f>DATE(2013,9,26) + TIME(7,30,48)</f>
        <v>41543.313055555554</v>
      </c>
      <c r="C1653">
        <v>80</v>
      </c>
      <c r="D1653">
        <v>79.958343506000006</v>
      </c>
      <c r="E1653">
        <v>50</v>
      </c>
      <c r="F1653">
        <v>42.687763214</v>
      </c>
      <c r="G1653">
        <v>1379.4454346</v>
      </c>
      <c r="H1653">
        <v>1366.0135498</v>
      </c>
      <c r="I1653">
        <v>1283.5832519999999</v>
      </c>
      <c r="J1653">
        <v>1261.7392577999999</v>
      </c>
      <c r="K1653">
        <v>2400</v>
      </c>
      <c r="L1653">
        <v>0</v>
      </c>
      <c r="M1653">
        <v>0</v>
      </c>
      <c r="N1653">
        <v>2400</v>
      </c>
    </row>
    <row r="1654" spans="1:14" x14ac:dyDescent="0.25">
      <c r="A1654">
        <v>1246.6094069999999</v>
      </c>
      <c r="B1654" s="1">
        <f>DATE(2013,9,28) + TIME(14,37,32)</f>
        <v>41545.609398148146</v>
      </c>
      <c r="C1654">
        <v>80</v>
      </c>
      <c r="D1654">
        <v>79.958381653000004</v>
      </c>
      <c r="E1654">
        <v>50</v>
      </c>
      <c r="F1654">
        <v>42.667781830000003</v>
      </c>
      <c r="G1654">
        <v>1379.3839111</v>
      </c>
      <c r="H1654">
        <v>1365.9588623</v>
      </c>
      <c r="I1654">
        <v>1283.5008545000001</v>
      </c>
      <c r="J1654">
        <v>1261.5958252</v>
      </c>
      <c r="K1654">
        <v>2400</v>
      </c>
      <c r="L1654">
        <v>0</v>
      </c>
      <c r="M1654">
        <v>0</v>
      </c>
      <c r="N1654">
        <v>2400</v>
      </c>
    </row>
    <row r="1655" spans="1:14" x14ac:dyDescent="0.25">
      <c r="A1655">
        <v>1247.804703</v>
      </c>
      <c r="B1655" s="1">
        <f>DATE(2013,9,29) + TIME(19,18,46)</f>
        <v>41546.804699074077</v>
      </c>
      <c r="C1655">
        <v>80</v>
      </c>
      <c r="D1655">
        <v>79.958389281999999</v>
      </c>
      <c r="E1655">
        <v>50</v>
      </c>
      <c r="F1655">
        <v>42.659275055000002</v>
      </c>
      <c r="G1655">
        <v>1379.3222656</v>
      </c>
      <c r="H1655">
        <v>1365.9039307</v>
      </c>
      <c r="I1655">
        <v>1283.4274902</v>
      </c>
      <c r="J1655">
        <v>1261.4686279</v>
      </c>
      <c r="K1655">
        <v>2400</v>
      </c>
      <c r="L1655">
        <v>0</v>
      </c>
      <c r="M1655">
        <v>0</v>
      </c>
      <c r="N1655">
        <v>2400</v>
      </c>
    </row>
    <row r="1656" spans="1:14" x14ac:dyDescent="0.25">
      <c r="A1656">
        <v>1249</v>
      </c>
      <c r="B1656" s="1">
        <f>DATE(2013,10,1) + TIME(0,0,0)</f>
        <v>41548</v>
      </c>
      <c r="C1656">
        <v>80</v>
      </c>
      <c r="D1656">
        <v>79.958412170000003</v>
      </c>
      <c r="E1656">
        <v>50</v>
      </c>
      <c r="F1656">
        <v>42.656669616999999</v>
      </c>
      <c r="G1656">
        <v>1379.2900391000001</v>
      </c>
      <c r="H1656">
        <v>1365.8751221</v>
      </c>
      <c r="I1656">
        <v>1283.3826904</v>
      </c>
      <c r="J1656">
        <v>1261.390625</v>
      </c>
      <c r="K1656">
        <v>2400</v>
      </c>
      <c r="L1656">
        <v>0</v>
      </c>
      <c r="M1656">
        <v>0</v>
      </c>
      <c r="N1656">
        <v>2400</v>
      </c>
    </row>
    <row r="1657" spans="1:14" x14ac:dyDescent="0.25">
      <c r="A1657">
        <v>1250.1810840000001</v>
      </c>
      <c r="B1657" s="1">
        <f>DATE(2013,10,2) + TIME(4,20,45)</f>
        <v>41549.181076388886</v>
      </c>
      <c r="C1657">
        <v>80</v>
      </c>
      <c r="D1657">
        <v>79.958427428999997</v>
      </c>
      <c r="E1657">
        <v>50</v>
      </c>
      <c r="F1657">
        <v>42.658191680999998</v>
      </c>
      <c r="G1657">
        <v>1379.2581786999999</v>
      </c>
      <c r="H1657">
        <v>1365.8466797000001</v>
      </c>
      <c r="I1657">
        <v>1283.3422852000001</v>
      </c>
      <c r="J1657">
        <v>1261.3203125</v>
      </c>
      <c r="K1657">
        <v>2400</v>
      </c>
      <c r="L1657">
        <v>0</v>
      </c>
      <c r="M1657">
        <v>0</v>
      </c>
      <c r="N1657">
        <v>2400</v>
      </c>
    </row>
    <row r="1658" spans="1:14" x14ac:dyDescent="0.25">
      <c r="A1658">
        <v>1251.3621680000001</v>
      </c>
      <c r="B1658" s="1">
        <f>DATE(2013,10,3) + TIME(8,41,31)</f>
        <v>41550.362164351849</v>
      </c>
      <c r="C1658">
        <v>80</v>
      </c>
      <c r="D1658">
        <v>79.958450317</v>
      </c>
      <c r="E1658">
        <v>50</v>
      </c>
      <c r="F1658">
        <v>42.663093566999997</v>
      </c>
      <c r="G1658">
        <v>1379.2269286999999</v>
      </c>
      <c r="H1658">
        <v>1365.8187256000001</v>
      </c>
      <c r="I1658">
        <v>1283.3044434000001</v>
      </c>
      <c r="J1658">
        <v>1261.2547606999999</v>
      </c>
      <c r="K1658">
        <v>2400</v>
      </c>
      <c r="L1658">
        <v>0</v>
      </c>
      <c r="M1658">
        <v>0</v>
      </c>
      <c r="N1658">
        <v>2400</v>
      </c>
    </row>
    <row r="1659" spans="1:14" x14ac:dyDescent="0.25">
      <c r="A1659">
        <v>1252.5432519999999</v>
      </c>
      <c r="B1659" s="1">
        <f>DATE(2013,10,4) + TIME(13,2,16)</f>
        <v>41551.543240740742</v>
      </c>
      <c r="C1659">
        <v>80</v>
      </c>
      <c r="D1659">
        <v>79.958465575999995</v>
      </c>
      <c r="E1659">
        <v>50</v>
      </c>
      <c r="F1659">
        <v>42.671131133999999</v>
      </c>
      <c r="G1659">
        <v>1379.1958007999999</v>
      </c>
      <c r="H1659">
        <v>1365.7908935999999</v>
      </c>
      <c r="I1659">
        <v>1283.2681885</v>
      </c>
      <c r="J1659">
        <v>1261.1922606999999</v>
      </c>
      <c r="K1659">
        <v>2400</v>
      </c>
      <c r="L1659">
        <v>0</v>
      </c>
      <c r="M1659">
        <v>0</v>
      </c>
      <c r="N1659">
        <v>2400</v>
      </c>
    </row>
    <row r="1660" spans="1:14" x14ac:dyDescent="0.25">
      <c r="A1660">
        <v>1253.724336</v>
      </c>
      <c r="B1660" s="1">
        <f>DATE(2013,10,5) + TIME(17,23,2)</f>
        <v>41552.724328703705</v>
      </c>
      <c r="C1660">
        <v>80</v>
      </c>
      <c r="D1660">
        <v>79.958488463999998</v>
      </c>
      <c r="E1660">
        <v>50</v>
      </c>
      <c r="F1660">
        <v>42.682220459</v>
      </c>
      <c r="G1660">
        <v>1379.1646728999999</v>
      </c>
      <c r="H1660">
        <v>1365.7631836</v>
      </c>
      <c r="I1660">
        <v>1283.2333983999999</v>
      </c>
      <c r="J1660">
        <v>1261.1323242000001</v>
      </c>
      <c r="K1660">
        <v>2400</v>
      </c>
      <c r="L1660">
        <v>0</v>
      </c>
      <c r="M1660">
        <v>0</v>
      </c>
      <c r="N1660">
        <v>2400</v>
      </c>
    </row>
    <row r="1661" spans="1:14" x14ac:dyDescent="0.25">
      <c r="A1661">
        <v>1254.90542</v>
      </c>
      <c r="B1661" s="1">
        <f>DATE(2013,10,6) + TIME(21,43,48)</f>
        <v>41553.905416666668</v>
      </c>
      <c r="C1661">
        <v>80</v>
      </c>
      <c r="D1661">
        <v>79.958503723000007</v>
      </c>
      <c r="E1661">
        <v>50</v>
      </c>
      <c r="F1661">
        <v>42.696353911999999</v>
      </c>
      <c r="G1661">
        <v>1379.1337891000001</v>
      </c>
      <c r="H1661">
        <v>1365.7354736</v>
      </c>
      <c r="I1661">
        <v>1283.199707</v>
      </c>
      <c r="J1661">
        <v>1261.074707</v>
      </c>
      <c r="K1661">
        <v>2400</v>
      </c>
      <c r="L1661">
        <v>0</v>
      </c>
      <c r="M1661">
        <v>0</v>
      </c>
      <c r="N1661">
        <v>2400</v>
      </c>
    </row>
    <row r="1662" spans="1:14" x14ac:dyDescent="0.25">
      <c r="A1662">
        <v>1257.2675879999999</v>
      </c>
      <c r="B1662" s="1">
        <f>DATE(2013,10,9) + TIME(6,25,19)</f>
        <v>41556.267581018517</v>
      </c>
      <c r="C1662">
        <v>80</v>
      </c>
      <c r="D1662">
        <v>79.958557128999999</v>
      </c>
      <c r="E1662">
        <v>50</v>
      </c>
      <c r="F1662">
        <v>42.717975615999997</v>
      </c>
      <c r="G1662">
        <v>1379.1032714999999</v>
      </c>
      <c r="H1662">
        <v>1365.7080077999999</v>
      </c>
      <c r="I1662">
        <v>1283.1624756000001</v>
      </c>
      <c r="J1662">
        <v>1261.0129394999999</v>
      </c>
      <c r="K1662">
        <v>2400</v>
      </c>
      <c r="L1662">
        <v>0</v>
      </c>
      <c r="M1662">
        <v>0</v>
      </c>
      <c r="N1662">
        <v>2400</v>
      </c>
    </row>
    <row r="1663" spans="1:14" x14ac:dyDescent="0.25">
      <c r="A1663">
        <v>1259.6304520000001</v>
      </c>
      <c r="B1663" s="1">
        <f>DATE(2013,10,11) + TIME(15,7,51)</f>
        <v>41558.63045138889</v>
      </c>
      <c r="C1663">
        <v>80</v>
      </c>
      <c r="D1663">
        <v>79.958595275999997</v>
      </c>
      <c r="E1663">
        <v>50</v>
      </c>
      <c r="F1663">
        <v>42.757022857999999</v>
      </c>
      <c r="G1663">
        <v>1379.0422363</v>
      </c>
      <c r="H1663">
        <v>1365.6534423999999</v>
      </c>
      <c r="I1663">
        <v>1283.1046143000001</v>
      </c>
      <c r="J1663">
        <v>1260.9136963000001</v>
      </c>
      <c r="K1663">
        <v>2400</v>
      </c>
      <c r="L1663">
        <v>0</v>
      </c>
      <c r="M1663">
        <v>0</v>
      </c>
      <c r="N1663">
        <v>2400</v>
      </c>
    </row>
    <row r="1664" spans="1:14" x14ac:dyDescent="0.25">
      <c r="A1664">
        <v>1262.030182</v>
      </c>
      <c r="B1664" s="1">
        <f>DATE(2013,10,14) + TIME(0,43,27)</f>
        <v>41561.030173611114</v>
      </c>
      <c r="C1664">
        <v>80</v>
      </c>
      <c r="D1664">
        <v>79.958633422999995</v>
      </c>
      <c r="E1664">
        <v>50</v>
      </c>
      <c r="F1664">
        <v>42.810245514000002</v>
      </c>
      <c r="G1664">
        <v>1378.9816894999999</v>
      </c>
      <c r="H1664">
        <v>1365.598999</v>
      </c>
      <c r="I1664">
        <v>1283.0476074000001</v>
      </c>
      <c r="J1664">
        <v>1260.817749</v>
      </c>
      <c r="K1664">
        <v>2400</v>
      </c>
      <c r="L1664">
        <v>0</v>
      </c>
      <c r="M1664">
        <v>0</v>
      </c>
      <c r="N1664">
        <v>2400</v>
      </c>
    </row>
    <row r="1665" spans="1:14" x14ac:dyDescent="0.25">
      <c r="A1665">
        <v>1264.473293</v>
      </c>
      <c r="B1665" s="1">
        <f>DATE(2013,10,16) + TIME(11,21,32)</f>
        <v>41563.473287037035</v>
      </c>
      <c r="C1665">
        <v>80</v>
      </c>
      <c r="D1665">
        <v>79.958679199000002</v>
      </c>
      <c r="E1665">
        <v>50</v>
      </c>
      <c r="F1665">
        <v>42.877494812000002</v>
      </c>
      <c r="G1665">
        <v>1378.9206543</v>
      </c>
      <c r="H1665">
        <v>1365.5441894999999</v>
      </c>
      <c r="I1665">
        <v>1282.9932861</v>
      </c>
      <c r="J1665">
        <v>1260.7282714999999</v>
      </c>
      <c r="K1665">
        <v>2400</v>
      </c>
      <c r="L1665">
        <v>0</v>
      </c>
      <c r="M1665">
        <v>0</v>
      </c>
      <c r="N1665">
        <v>2400</v>
      </c>
    </row>
    <row r="1666" spans="1:14" x14ac:dyDescent="0.25">
      <c r="A1666">
        <v>1266.9675520000001</v>
      </c>
      <c r="B1666" s="1">
        <f>DATE(2013,10,18) + TIME(23,13,16)</f>
        <v>41565.967546296299</v>
      </c>
      <c r="C1666">
        <v>80</v>
      </c>
      <c r="D1666">
        <v>79.958717346</v>
      </c>
      <c r="E1666">
        <v>50</v>
      </c>
      <c r="F1666">
        <v>42.959377289000003</v>
      </c>
      <c r="G1666">
        <v>1378.8591309000001</v>
      </c>
      <c r="H1666">
        <v>1365.4887695</v>
      </c>
      <c r="I1666">
        <v>1282.9426269999999</v>
      </c>
      <c r="J1666">
        <v>1260.6464844</v>
      </c>
      <c r="K1666">
        <v>2400</v>
      </c>
      <c r="L1666">
        <v>0</v>
      </c>
      <c r="M1666">
        <v>0</v>
      </c>
      <c r="N1666">
        <v>2400</v>
      </c>
    </row>
    <row r="1667" spans="1:14" x14ac:dyDescent="0.25">
      <c r="A1667">
        <v>1269.5104180000001</v>
      </c>
      <c r="B1667" s="1">
        <f>DATE(2013,10,21) + TIME(12,15,0)</f>
        <v>41568.510416666664</v>
      </c>
      <c r="C1667">
        <v>80</v>
      </c>
      <c r="D1667">
        <v>79.958763122999997</v>
      </c>
      <c r="E1667">
        <v>50</v>
      </c>
      <c r="F1667">
        <v>43.056610106999997</v>
      </c>
      <c r="G1667">
        <v>1378.796875</v>
      </c>
      <c r="H1667">
        <v>1365.4326172000001</v>
      </c>
      <c r="I1667">
        <v>1282.895874</v>
      </c>
      <c r="J1667">
        <v>1260.5731201000001</v>
      </c>
      <c r="K1667">
        <v>2400</v>
      </c>
      <c r="L1667">
        <v>0</v>
      </c>
      <c r="M1667">
        <v>0</v>
      </c>
      <c r="N1667">
        <v>2400</v>
      </c>
    </row>
    <row r="1668" spans="1:14" x14ac:dyDescent="0.25">
      <c r="A1668">
        <v>1272.068178</v>
      </c>
      <c r="B1668" s="1">
        <f>DATE(2013,10,24) + TIME(1,38,10)</f>
        <v>41571.068171296298</v>
      </c>
      <c r="C1668">
        <v>80</v>
      </c>
      <c r="D1668">
        <v>79.958801269999995</v>
      </c>
      <c r="E1668">
        <v>50</v>
      </c>
      <c r="F1668">
        <v>43.169338226000001</v>
      </c>
      <c r="G1668">
        <v>1378.7340088000001</v>
      </c>
      <c r="H1668">
        <v>1365.3759766000001</v>
      </c>
      <c r="I1668">
        <v>1282.8532714999999</v>
      </c>
      <c r="J1668">
        <v>1260.5087891000001</v>
      </c>
      <c r="K1668">
        <v>2400</v>
      </c>
      <c r="L1668">
        <v>0</v>
      </c>
      <c r="M1668">
        <v>0</v>
      </c>
      <c r="N1668">
        <v>2400</v>
      </c>
    </row>
    <row r="1669" spans="1:14" x14ac:dyDescent="0.25">
      <c r="A1669">
        <v>1274.6506469999999</v>
      </c>
      <c r="B1669" s="1">
        <f>DATE(2013,10,26) + TIME(15,36,55)</f>
        <v>41573.650636574072</v>
      </c>
      <c r="C1669">
        <v>80</v>
      </c>
      <c r="D1669">
        <v>79.958847046000002</v>
      </c>
      <c r="E1669">
        <v>50</v>
      </c>
      <c r="F1669">
        <v>43.296836853000002</v>
      </c>
      <c r="G1669">
        <v>1378.6715088000001</v>
      </c>
      <c r="H1669">
        <v>1365.3194579999999</v>
      </c>
      <c r="I1669">
        <v>1282.8154297000001</v>
      </c>
      <c r="J1669">
        <v>1260.4544678</v>
      </c>
      <c r="K1669">
        <v>2400</v>
      </c>
      <c r="L1669">
        <v>0</v>
      </c>
      <c r="M1669">
        <v>0</v>
      </c>
      <c r="N1669">
        <v>2400</v>
      </c>
    </row>
    <row r="1670" spans="1:14" x14ac:dyDescent="0.25">
      <c r="A1670">
        <v>1277.267623</v>
      </c>
      <c r="B1670" s="1">
        <f>DATE(2013,10,29) + TIME(6,25,22)</f>
        <v>41576.26761574074</v>
      </c>
      <c r="C1670">
        <v>80</v>
      </c>
      <c r="D1670">
        <v>79.958892821999996</v>
      </c>
      <c r="E1670">
        <v>50</v>
      </c>
      <c r="F1670">
        <v>43.438987732000001</v>
      </c>
      <c r="G1670">
        <v>1378.6091309000001</v>
      </c>
      <c r="H1670">
        <v>1365.2630615</v>
      </c>
      <c r="I1670">
        <v>1282.7821045000001</v>
      </c>
      <c r="J1670">
        <v>1260.4101562000001</v>
      </c>
      <c r="K1670">
        <v>2400</v>
      </c>
      <c r="L1670">
        <v>0</v>
      </c>
      <c r="M1670">
        <v>0</v>
      </c>
      <c r="N1670">
        <v>2400</v>
      </c>
    </row>
    <row r="1671" spans="1:14" x14ac:dyDescent="0.25">
      <c r="A1671">
        <v>1278.6338109999999</v>
      </c>
      <c r="B1671" s="1">
        <f>DATE(2013,10,30) + TIME(15,12,41)</f>
        <v>41577.63380787037</v>
      </c>
      <c r="C1671">
        <v>80</v>
      </c>
      <c r="D1671">
        <v>79.958908081000004</v>
      </c>
      <c r="E1671">
        <v>50</v>
      </c>
      <c r="F1671">
        <v>43.567451476999999</v>
      </c>
      <c r="G1671">
        <v>1378.5467529</v>
      </c>
      <c r="H1671">
        <v>1365.2066649999999</v>
      </c>
      <c r="I1671">
        <v>1282.7619629000001</v>
      </c>
      <c r="J1671">
        <v>1260.3789062000001</v>
      </c>
      <c r="K1671">
        <v>2400</v>
      </c>
      <c r="L1671">
        <v>0</v>
      </c>
      <c r="M1671">
        <v>0</v>
      </c>
      <c r="N1671">
        <v>2400</v>
      </c>
    </row>
    <row r="1672" spans="1:14" x14ac:dyDescent="0.25">
      <c r="A1672">
        <v>1280</v>
      </c>
      <c r="B1672" s="1">
        <f>DATE(2013,11,1) + TIME(0,0,0)</f>
        <v>41579</v>
      </c>
      <c r="C1672">
        <v>80</v>
      </c>
      <c r="D1672">
        <v>79.958930968999994</v>
      </c>
      <c r="E1672">
        <v>50</v>
      </c>
      <c r="F1672">
        <v>43.671409607000001</v>
      </c>
      <c r="G1672">
        <v>1378.5141602000001</v>
      </c>
      <c r="H1672">
        <v>1365.1770019999999</v>
      </c>
      <c r="I1672">
        <v>1282.7446289</v>
      </c>
      <c r="J1672">
        <v>1260.3649902</v>
      </c>
      <c r="K1672">
        <v>2400</v>
      </c>
      <c r="L1672">
        <v>0</v>
      </c>
      <c r="M1672">
        <v>0</v>
      </c>
      <c r="N1672">
        <v>2400</v>
      </c>
    </row>
    <row r="1673" spans="1:14" x14ac:dyDescent="0.25">
      <c r="A1673">
        <v>1280.0000010000001</v>
      </c>
      <c r="B1673" s="1">
        <f>DATE(2013,11,1) + TIME(0,0,0)</f>
        <v>41579</v>
      </c>
      <c r="C1673">
        <v>80</v>
      </c>
      <c r="D1673">
        <v>79.958808899000005</v>
      </c>
      <c r="E1673">
        <v>50</v>
      </c>
      <c r="F1673">
        <v>43.671527863000001</v>
      </c>
      <c r="G1673">
        <v>1364.3051757999999</v>
      </c>
      <c r="H1673">
        <v>1352.3284911999999</v>
      </c>
      <c r="I1673">
        <v>1305.9986572</v>
      </c>
      <c r="J1673">
        <v>1283.6638184000001</v>
      </c>
      <c r="K1673">
        <v>0</v>
      </c>
      <c r="L1673">
        <v>2400</v>
      </c>
      <c r="M1673">
        <v>2400</v>
      </c>
      <c r="N1673">
        <v>0</v>
      </c>
    </row>
    <row r="1674" spans="1:14" x14ac:dyDescent="0.25">
      <c r="A1674">
        <v>1280.000004</v>
      </c>
      <c r="B1674" s="1">
        <f>DATE(2013,11,1) + TIME(0,0,0)</f>
        <v>41579</v>
      </c>
      <c r="C1674">
        <v>80</v>
      </c>
      <c r="D1674">
        <v>79.958496093999997</v>
      </c>
      <c r="E1674">
        <v>50</v>
      </c>
      <c r="F1674">
        <v>43.671855927000003</v>
      </c>
      <c r="G1674">
        <v>1362.1025391000001</v>
      </c>
      <c r="H1674">
        <v>1350.1253661999999</v>
      </c>
      <c r="I1674">
        <v>1308.3907471</v>
      </c>
      <c r="J1674">
        <v>1286.1422118999999</v>
      </c>
      <c r="K1674">
        <v>0</v>
      </c>
      <c r="L1674">
        <v>2400</v>
      </c>
      <c r="M1674">
        <v>2400</v>
      </c>
      <c r="N1674">
        <v>0</v>
      </c>
    </row>
    <row r="1675" spans="1:14" x14ac:dyDescent="0.25">
      <c r="A1675">
        <v>1280.0000130000001</v>
      </c>
      <c r="B1675" s="1">
        <f>DATE(2013,11,1) + TIME(0,0,1)</f>
        <v>41579.000011574077</v>
      </c>
      <c r="C1675">
        <v>80</v>
      </c>
      <c r="D1675">
        <v>79.957862853999998</v>
      </c>
      <c r="E1675">
        <v>50</v>
      </c>
      <c r="F1675">
        <v>43.672622681</v>
      </c>
      <c r="G1675">
        <v>1357.6563721</v>
      </c>
      <c r="H1675">
        <v>1345.6787108999999</v>
      </c>
      <c r="I1675">
        <v>1313.9359131000001</v>
      </c>
      <c r="J1675">
        <v>1291.8339844</v>
      </c>
      <c r="K1675">
        <v>0</v>
      </c>
      <c r="L1675">
        <v>2400</v>
      </c>
      <c r="M1675">
        <v>2400</v>
      </c>
      <c r="N1675">
        <v>0</v>
      </c>
    </row>
    <row r="1676" spans="1:14" x14ac:dyDescent="0.25">
      <c r="A1676">
        <v>1280.0000399999999</v>
      </c>
      <c r="B1676" s="1">
        <f>DATE(2013,11,1) + TIME(0,0,3)</f>
        <v>41579.000034722223</v>
      </c>
      <c r="C1676">
        <v>80</v>
      </c>
      <c r="D1676">
        <v>79.956932068</v>
      </c>
      <c r="E1676">
        <v>50</v>
      </c>
      <c r="F1676">
        <v>43.674030303999999</v>
      </c>
      <c r="G1676">
        <v>1351.1608887</v>
      </c>
      <c r="H1676">
        <v>1339.1850586</v>
      </c>
      <c r="I1676">
        <v>1323.6389160000001</v>
      </c>
      <c r="J1676">
        <v>1301.6414795000001</v>
      </c>
      <c r="K1676">
        <v>0</v>
      </c>
      <c r="L1676">
        <v>2400</v>
      </c>
      <c r="M1676">
        <v>2400</v>
      </c>
      <c r="N1676">
        <v>0</v>
      </c>
    </row>
    <row r="1677" spans="1:14" x14ac:dyDescent="0.25">
      <c r="A1677">
        <v>1280.000121</v>
      </c>
      <c r="B1677" s="1">
        <f>DATE(2013,11,1) + TIME(0,0,10)</f>
        <v>41579.000115740739</v>
      </c>
      <c r="C1677">
        <v>80</v>
      </c>
      <c r="D1677">
        <v>79.955894470000004</v>
      </c>
      <c r="E1677">
        <v>50</v>
      </c>
      <c r="F1677">
        <v>43.676166533999996</v>
      </c>
      <c r="G1677">
        <v>1343.9327393000001</v>
      </c>
      <c r="H1677">
        <v>1331.9616699000001</v>
      </c>
      <c r="I1677">
        <v>1335.9912108999999</v>
      </c>
      <c r="J1677">
        <v>1314.0017089999999</v>
      </c>
      <c r="K1677">
        <v>0</v>
      </c>
      <c r="L1677">
        <v>2400</v>
      </c>
      <c r="M1677">
        <v>2400</v>
      </c>
      <c r="N1677">
        <v>0</v>
      </c>
    </row>
    <row r="1678" spans="1:14" x14ac:dyDescent="0.25">
      <c r="A1678">
        <v>1280.000364</v>
      </c>
      <c r="B1678" s="1">
        <f>DATE(2013,11,1) + TIME(0,0,31)</f>
        <v>41579.000358796293</v>
      </c>
      <c r="C1678">
        <v>80</v>
      </c>
      <c r="D1678">
        <v>79.954818725999999</v>
      </c>
      <c r="E1678">
        <v>50</v>
      </c>
      <c r="F1678">
        <v>43.679634094000001</v>
      </c>
      <c r="G1678">
        <v>1336.6667480000001</v>
      </c>
      <c r="H1678">
        <v>1324.7011719</v>
      </c>
      <c r="I1678">
        <v>1349.0010986</v>
      </c>
      <c r="J1678">
        <v>1327.0021973</v>
      </c>
      <c r="K1678">
        <v>0</v>
      </c>
      <c r="L1678">
        <v>2400</v>
      </c>
      <c r="M1678">
        <v>2400</v>
      </c>
      <c r="N1678">
        <v>0</v>
      </c>
    </row>
    <row r="1679" spans="1:14" x14ac:dyDescent="0.25">
      <c r="A1679">
        <v>1280.0010930000001</v>
      </c>
      <c r="B1679" s="1">
        <f>DATE(2013,11,1) + TIME(0,1,34)</f>
        <v>41579.001087962963</v>
      </c>
      <c r="C1679">
        <v>80</v>
      </c>
      <c r="D1679">
        <v>79.953643799000005</v>
      </c>
      <c r="E1679">
        <v>50</v>
      </c>
      <c r="F1679">
        <v>43.686882019000002</v>
      </c>
      <c r="G1679">
        <v>1329.3530272999999</v>
      </c>
      <c r="H1679">
        <v>1317.3642577999999</v>
      </c>
      <c r="I1679">
        <v>1362.2213135</v>
      </c>
      <c r="J1679">
        <v>1340.1992187999999</v>
      </c>
      <c r="K1679">
        <v>0</v>
      </c>
      <c r="L1679">
        <v>2400</v>
      </c>
      <c r="M1679">
        <v>2400</v>
      </c>
      <c r="N1679">
        <v>0</v>
      </c>
    </row>
    <row r="1680" spans="1:14" x14ac:dyDescent="0.25">
      <c r="A1680">
        <v>1280.0032799999999</v>
      </c>
      <c r="B1680" s="1">
        <f>DATE(2013,11,1) + TIME(0,4,43)</f>
        <v>41579.003275462965</v>
      </c>
      <c r="C1680">
        <v>80</v>
      </c>
      <c r="D1680">
        <v>79.952140807999996</v>
      </c>
      <c r="E1680">
        <v>50</v>
      </c>
      <c r="F1680">
        <v>43.705436706999997</v>
      </c>
      <c r="G1680">
        <v>1321.7406006000001</v>
      </c>
      <c r="H1680">
        <v>1309.6350098</v>
      </c>
      <c r="I1680">
        <v>1375.6477050999999</v>
      </c>
      <c r="J1680">
        <v>1353.536499</v>
      </c>
      <c r="K1680">
        <v>0</v>
      </c>
      <c r="L1680">
        <v>2400</v>
      </c>
      <c r="M1680">
        <v>2400</v>
      </c>
      <c r="N1680">
        <v>0</v>
      </c>
    </row>
    <row r="1681" spans="1:14" x14ac:dyDescent="0.25">
      <c r="A1681">
        <v>1280.0098410000001</v>
      </c>
      <c r="B1681" s="1">
        <f>DATE(2013,11,1) + TIME(0,14,10)</f>
        <v>41579.009837962964</v>
      </c>
      <c r="C1681">
        <v>80</v>
      </c>
      <c r="D1681">
        <v>79.949768066000004</v>
      </c>
      <c r="E1681">
        <v>50</v>
      </c>
      <c r="F1681">
        <v>43.757671356000003</v>
      </c>
      <c r="G1681">
        <v>1313.996582</v>
      </c>
      <c r="H1681">
        <v>1301.7381591999999</v>
      </c>
      <c r="I1681">
        <v>1388.1829834</v>
      </c>
      <c r="J1681">
        <v>1365.9257812000001</v>
      </c>
      <c r="K1681">
        <v>0</v>
      </c>
      <c r="L1681">
        <v>2400</v>
      </c>
      <c r="M1681">
        <v>2400</v>
      </c>
      <c r="N1681">
        <v>0</v>
      </c>
    </row>
    <row r="1682" spans="1:14" x14ac:dyDescent="0.25">
      <c r="A1682">
        <v>1280.029524</v>
      </c>
      <c r="B1682" s="1">
        <f>DATE(2013,11,1) + TIME(0,42,30)</f>
        <v>41579.029513888891</v>
      </c>
      <c r="C1682">
        <v>80</v>
      </c>
      <c r="D1682">
        <v>79.945106506000002</v>
      </c>
      <c r="E1682">
        <v>50</v>
      </c>
      <c r="F1682">
        <v>43.908199310000001</v>
      </c>
      <c r="G1682">
        <v>1307.5950928</v>
      </c>
      <c r="H1682">
        <v>1295.2559814000001</v>
      </c>
      <c r="I1682">
        <v>1397.1630858999999</v>
      </c>
      <c r="J1682">
        <v>1374.8210449000001</v>
      </c>
      <c r="K1682">
        <v>0</v>
      </c>
      <c r="L1682">
        <v>2400</v>
      </c>
      <c r="M1682">
        <v>2400</v>
      </c>
      <c r="N1682">
        <v>0</v>
      </c>
    </row>
    <row r="1683" spans="1:14" x14ac:dyDescent="0.25">
      <c r="A1683">
        <v>1280.0859390000001</v>
      </c>
      <c r="B1683" s="1">
        <f>DATE(2013,11,1) + TIME(2,3,45)</f>
        <v>41579.0859375</v>
      </c>
      <c r="C1683">
        <v>80</v>
      </c>
      <c r="D1683">
        <v>79.934341431000007</v>
      </c>
      <c r="E1683">
        <v>50</v>
      </c>
      <c r="F1683">
        <v>44.309661865000002</v>
      </c>
      <c r="G1683">
        <v>1304.3077393000001</v>
      </c>
      <c r="H1683">
        <v>1291.9447021000001</v>
      </c>
      <c r="I1683">
        <v>1400.6968993999999</v>
      </c>
      <c r="J1683">
        <v>1378.4552002</v>
      </c>
      <c r="K1683">
        <v>0</v>
      </c>
      <c r="L1683">
        <v>2400</v>
      </c>
      <c r="M1683">
        <v>2400</v>
      </c>
      <c r="N1683">
        <v>0</v>
      </c>
    </row>
    <row r="1684" spans="1:14" x14ac:dyDescent="0.25">
      <c r="A1684">
        <v>1280.145456</v>
      </c>
      <c r="B1684" s="1">
        <f>DATE(2013,11,1) + TIME(3,29,27)</f>
        <v>41579.145451388889</v>
      </c>
      <c r="C1684">
        <v>80</v>
      </c>
      <c r="D1684">
        <v>79.923583984000004</v>
      </c>
      <c r="E1684">
        <v>50</v>
      </c>
      <c r="F1684">
        <v>44.703666687000002</v>
      </c>
      <c r="G1684">
        <v>1303.5729980000001</v>
      </c>
      <c r="H1684">
        <v>1291.2056885</v>
      </c>
      <c r="I1684">
        <v>1401.0545654</v>
      </c>
      <c r="J1684">
        <v>1378.9534911999999</v>
      </c>
      <c r="K1684">
        <v>0</v>
      </c>
      <c r="L1684">
        <v>2400</v>
      </c>
      <c r="M1684">
        <v>2400</v>
      </c>
      <c r="N1684">
        <v>0</v>
      </c>
    </row>
    <row r="1685" spans="1:14" x14ac:dyDescent="0.25">
      <c r="A1685">
        <v>1280.208087</v>
      </c>
      <c r="B1685" s="1">
        <f>DATE(2013,11,1) + TIME(4,59,38)</f>
        <v>41579.208078703705</v>
      </c>
      <c r="C1685">
        <v>80</v>
      </c>
      <c r="D1685">
        <v>79.912582396999994</v>
      </c>
      <c r="E1685">
        <v>50</v>
      </c>
      <c r="F1685">
        <v>45.088085175000003</v>
      </c>
      <c r="G1685">
        <v>1303.3909911999999</v>
      </c>
      <c r="H1685">
        <v>1291.0224608999999</v>
      </c>
      <c r="I1685">
        <v>1400.8741454999999</v>
      </c>
      <c r="J1685">
        <v>1378.9180908000001</v>
      </c>
      <c r="K1685">
        <v>0</v>
      </c>
      <c r="L1685">
        <v>2400</v>
      </c>
      <c r="M1685">
        <v>2400</v>
      </c>
      <c r="N1685">
        <v>0</v>
      </c>
    </row>
    <row r="1686" spans="1:14" x14ac:dyDescent="0.25">
      <c r="A1686">
        <v>1280.2741490000001</v>
      </c>
      <c r="B1686" s="1">
        <f>DATE(2013,11,1) + TIME(6,34,46)</f>
        <v>41579.274143518516</v>
      </c>
      <c r="C1686">
        <v>80</v>
      </c>
      <c r="D1686">
        <v>79.901237488000007</v>
      </c>
      <c r="E1686">
        <v>50</v>
      </c>
      <c r="F1686">
        <v>45.462566375999998</v>
      </c>
      <c r="G1686">
        <v>1303.340332</v>
      </c>
      <c r="H1686">
        <v>1290.9710693</v>
      </c>
      <c r="I1686">
        <v>1400.6170654</v>
      </c>
      <c r="J1686">
        <v>1378.8027344</v>
      </c>
      <c r="K1686">
        <v>0</v>
      </c>
      <c r="L1686">
        <v>2400</v>
      </c>
      <c r="M1686">
        <v>2400</v>
      </c>
      <c r="N1686">
        <v>0</v>
      </c>
    </row>
    <row r="1687" spans="1:14" x14ac:dyDescent="0.25">
      <c r="A1687">
        <v>1280.344077</v>
      </c>
      <c r="B1687" s="1">
        <f>DATE(2013,11,1) + TIME(8,15,28)</f>
        <v>41579.344074074077</v>
      </c>
      <c r="C1687">
        <v>80</v>
      </c>
      <c r="D1687">
        <v>79.889495850000003</v>
      </c>
      <c r="E1687">
        <v>50</v>
      </c>
      <c r="F1687">
        <v>45.826999663999999</v>
      </c>
      <c r="G1687">
        <v>1303.3236084</v>
      </c>
      <c r="H1687">
        <v>1290.9537353999999</v>
      </c>
      <c r="I1687">
        <v>1400.3596190999999</v>
      </c>
      <c r="J1687">
        <v>1378.6821289</v>
      </c>
      <c r="K1687">
        <v>0</v>
      </c>
      <c r="L1687">
        <v>2400</v>
      </c>
      <c r="M1687">
        <v>2400</v>
      </c>
      <c r="N1687">
        <v>0</v>
      </c>
    </row>
    <row r="1688" spans="1:14" x14ac:dyDescent="0.25">
      <c r="A1688">
        <v>1280.4184029999999</v>
      </c>
      <c r="B1688" s="1">
        <f>DATE(2013,11,1) + TIME(10,2,29)</f>
        <v>41579.418391203704</v>
      </c>
      <c r="C1688">
        <v>80</v>
      </c>
      <c r="D1688">
        <v>79.877296447999996</v>
      </c>
      <c r="E1688">
        <v>50</v>
      </c>
      <c r="F1688">
        <v>46.181289673000002</v>
      </c>
      <c r="G1688">
        <v>1303.3162841999999</v>
      </c>
      <c r="H1688">
        <v>1290.9459228999999</v>
      </c>
      <c r="I1688">
        <v>1400.1110839999999</v>
      </c>
      <c r="J1688">
        <v>1378.5656738</v>
      </c>
      <c r="K1688">
        <v>0</v>
      </c>
      <c r="L1688">
        <v>2400</v>
      </c>
      <c r="M1688">
        <v>2400</v>
      </c>
      <c r="N1688">
        <v>0</v>
      </c>
    </row>
    <row r="1689" spans="1:14" x14ac:dyDescent="0.25">
      <c r="A1689">
        <v>1280.4977690000001</v>
      </c>
      <c r="B1689" s="1">
        <f>DATE(2013,11,1) + TIME(11,56,47)</f>
        <v>41579.497766203705</v>
      </c>
      <c r="C1689">
        <v>80</v>
      </c>
      <c r="D1689">
        <v>79.864562988000003</v>
      </c>
      <c r="E1689">
        <v>50</v>
      </c>
      <c r="F1689">
        <v>46.525310515999998</v>
      </c>
      <c r="G1689">
        <v>1303.3117675999999</v>
      </c>
      <c r="H1689">
        <v>1290.940918</v>
      </c>
      <c r="I1689">
        <v>1399.8706055</v>
      </c>
      <c r="J1689">
        <v>1378.4526367000001</v>
      </c>
      <c r="K1689">
        <v>0</v>
      </c>
      <c r="L1689">
        <v>2400</v>
      </c>
      <c r="M1689">
        <v>2400</v>
      </c>
      <c r="N1689">
        <v>0</v>
      </c>
    </row>
    <row r="1690" spans="1:14" x14ac:dyDescent="0.25">
      <c r="A1690">
        <v>1280.5829659999999</v>
      </c>
      <c r="B1690" s="1">
        <f>DATE(2013,11,1) + TIME(13,59,28)</f>
        <v>41579.582962962966</v>
      </c>
      <c r="C1690">
        <v>80</v>
      </c>
      <c r="D1690">
        <v>79.851211547999995</v>
      </c>
      <c r="E1690">
        <v>50</v>
      </c>
      <c r="F1690">
        <v>46.858871460000003</v>
      </c>
      <c r="G1690">
        <v>1303.3079834</v>
      </c>
      <c r="H1690">
        <v>1290.9365233999999</v>
      </c>
      <c r="I1690">
        <v>1399.6373291</v>
      </c>
      <c r="J1690">
        <v>1378.3420410000001</v>
      </c>
      <c r="K1690">
        <v>0</v>
      </c>
      <c r="L1690">
        <v>2400</v>
      </c>
      <c r="M1690">
        <v>2400</v>
      </c>
      <c r="N1690">
        <v>0</v>
      </c>
    </row>
    <row r="1691" spans="1:14" x14ac:dyDescent="0.25">
      <c r="A1691">
        <v>1280.674976</v>
      </c>
      <c r="B1691" s="1">
        <f>DATE(2013,11,1) + TIME(16,11,57)</f>
        <v>41579.67496527778</v>
      </c>
      <c r="C1691">
        <v>80</v>
      </c>
      <c r="D1691">
        <v>79.837135314999998</v>
      </c>
      <c r="E1691">
        <v>50</v>
      </c>
      <c r="F1691">
        <v>47.181732177999997</v>
      </c>
      <c r="G1691">
        <v>1303.3041992000001</v>
      </c>
      <c r="H1691">
        <v>1290.9321289</v>
      </c>
      <c r="I1691">
        <v>1399.4105225000001</v>
      </c>
      <c r="J1691">
        <v>1378.2331543</v>
      </c>
      <c r="K1691">
        <v>0</v>
      </c>
      <c r="L1691">
        <v>2400</v>
      </c>
      <c r="M1691">
        <v>2400</v>
      </c>
      <c r="N1691">
        <v>0</v>
      </c>
    </row>
    <row r="1692" spans="1:14" x14ac:dyDescent="0.25">
      <c r="A1692">
        <v>1280.7750329999999</v>
      </c>
      <c r="B1692" s="1">
        <f>DATE(2013,11,1) + TIME(18,36,2)</f>
        <v>41579.775023148148</v>
      </c>
      <c r="C1692">
        <v>80</v>
      </c>
      <c r="D1692">
        <v>79.822196959999999</v>
      </c>
      <c r="E1692">
        <v>50</v>
      </c>
      <c r="F1692">
        <v>47.493553161999998</v>
      </c>
      <c r="G1692">
        <v>1303.3001709</v>
      </c>
      <c r="H1692">
        <v>1290.9274902</v>
      </c>
      <c r="I1692">
        <v>1399.1893310999999</v>
      </c>
      <c r="J1692">
        <v>1378.1257324000001</v>
      </c>
      <c r="K1692">
        <v>0</v>
      </c>
      <c r="L1692">
        <v>2400</v>
      </c>
      <c r="M1692">
        <v>2400</v>
      </c>
      <c r="N1692">
        <v>0</v>
      </c>
    </row>
    <row r="1693" spans="1:14" x14ac:dyDescent="0.25">
      <c r="A1693">
        <v>1280.884712</v>
      </c>
      <c r="B1693" s="1">
        <f>DATE(2013,11,1) + TIME(21,13,59)</f>
        <v>41579.884710648148</v>
      </c>
      <c r="C1693">
        <v>80</v>
      </c>
      <c r="D1693">
        <v>79.806243895999998</v>
      </c>
      <c r="E1693">
        <v>50</v>
      </c>
      <c r="F1693">
        <v>47.793872833000002</v>
      </c>
      <c r="G1693">
        <v>1303.2958983999999</v>
      </c>
      <c r="H1693">
        <v>1290.9224853999999</v>
      </c>
      <c r="I1693">
        <v>1398.9737548999999</v>
      </c>
      <c r="J1693">
        <v>1378.0194091999999</v>
      </c>
      <c r="K1693">
        <v>0</v>
      </c>
      <c r="L1693">
        <v>2400</v>
      </c>
      <c r="M1693">
        <v>2400</v>
      </c>
      <c r="N1693">
        <v>0</v>
      </c>
    </row>
    <row r="1694" spans="1:14" x14ac:dyDescent="0.25">
      <c r="A1694">
        <v>1281.00612</v>
      </c>
      <c r="B1694" s="1">
        <f>DATE(2013,11,2) + TIME(0,8,48)</f>
        <v>41580.006111111114</v>
      </c>
      <c r="C1694">
        <v>80</v>
      </c>
      <c r="D1694">
        <v>79.789054871000005</v>
      </c>
      <c r="E1694">
        <v>50</v>
      </c>
      <c r="F1694">
        <v>48.082202911000003</v>
      </c>
      <c r="G1694">
        <v>1303.2912598</v>
      </c>
      <c r="H1694">
        <v>1290.9169922000001</v>
      </c>
      <c r="I1694">
        <v>1398.7633057</v>
      </c>
      <c r="J1694">
        <v>1377.9136963000001</v>
      </c>
      <c r="K1694">
        <v>0</v>
      </c>
      <c r="L1694">
        <v>2400</v>
      </c>
      <c r="M1694">
        <v>2400</v>
      </c>
      <c r="N1694">
        <v>0</v>
      </c>
    </row>
    <row r="1695" spans="1:14" x14ac:dyDescent="0.25">
      <c r="A1695">
        <v>1281.142075</v>
      </c>
      <c r="B1695" s="1">
        <f>DATE(2013,11,2) + TIME(3,24,35)</f>
        <v>41580.142071759263</v>
      </c>
      <c r="C1695">
        <v>80</v>
      </c>
      <c r="D1695">
        <v>79.770355225000003</v>
      </c>
      <c r="E1695">
        <v>50</v>
      </c>
      <c r="F1695">
        <v>48.357849121000001</v>
      </c>
      <c r="G1695">
        <v>1303.2861327999999</v>
      </c>
      <c r="H1695">
        <v>1290.9111327999999</v>
      </c>
      <c r="I1695">
        <v>1398.5574951000001</v>
      </c>
      <c r="J1695">
        <v>1377.8082274999999</v>
      </c>
      <c r="K1695">
        <v>0</v>
      </c>
      <c r="L1695">
        <v>2400</v>
      </c>
      <c r="M1695">
        <v>2400</v>
      </c>
      <c r="N1695">
        <v>0</v>
      </c>
    </row>
    <row r="1696" spans="1:14" x14ac:dyDescent="0.25">
      <c r="A1696">
        <v>1281.2964830000001</v>
      </c>
      <c r="B1696" s="1">
        <f>DATE(2013,11,2) + TIME(7,6,56)</f>
        <v>41580.296481481484</v>
      </c>
      <c r="C1696">
        <v>80</v>
      </c>
      <c r="D1696">
        <v>79.749748229999994</v>
      </c>
      <c r="E1696">
        <v>50</v>
      </c>
      <c r="F1696">
        <v>48.619903563999998</v>
      </c>
      <c r="G1696">
        <v>1303.2803954999999</v>
      </c>
      <c r="H1696">
        <v>1290.9044189000001</v>
      </c>
      <c r="I1696">
        <v>1398.3560791</v>
      </c>
      <c r="J1696">
        <v>1377.7026367000001</v>
      </c>
      <c r="K1696">
        <v>0</v>
      </c>
      <c r="L1696">
        <v>2400</v>
      </c>
      <c r="M1696">
        <v>2400</v>
      </c>
      <c r="N1696">
        <v>0</v>
      </c>
    </row>
    <row r="1697" spans="1:14" x14ac:dyDescent="0.25">
      <c r="A1697">
        <v>1281.4749609999999</v>
      </c>
      <c r="B1697" s="1">
        <f>DATE(2013,11,2) + TIME(11,23,56)</f>
        <v>41580.474953703706</v>
      </c>
      <c r="C1697">
        <v>80</v>
      </c>
      <c r="D1697">
        <v>79.726730347</v>
      </c>
      <c r="E1697">
        <v>50</v>
      </c>
      <c r="F1697">
        <v>48.8671875</v>
      </c>
      <c r="G1697">
        <v>1303.2739257999999</v>
      </c>
      <c r="H1697">
        <v>1290.8969727000001</v>
      </c>
      <c r="I1697">
        <v>1398.1585693</v>
      </c>
      <c r="J1697">
        <v>1377.5963135</v>
      </c>
      <c r="K1697">
        <v>0</v>
      </c>
      <c r="L1697">
        <v>2400</v>
      </c>
      <c r="M1697">
        <v>2400</v>
      </c>
      <c r="N1697">
        <v>0</v>
      </c>
    </row>
    <row r="1698" spans="1:14" x14ac:dyDescent="0.25">
      <c r="A1698">
        <v>1281.68595</v>
      </c>
      <c r="B1698" s="1">
        <f>DATE(2013,11,2) + TIME(16,27,46)</f>
        <v>41580.685949074075</v>
      </c>
      <c r="C1698">
        <v>80</v>
      </c>
      <c r="D1698">
        <v>79.700515746999997</v>
      </c>
      <c r="E1698">
        <v>50</v>
      </c>
      <c r="F1698">
        <v>49.098129272000001</v>
      </c>
      <c r="G1698">
        <v>1303.2664795000001</v>
      </c>
      <c r="H1698">
        <v>1290.8883057</v>
      </c>
      <c r="I1698">
        <v>1397.9643555</v>
      </c>
      <c r="J1698">
        <v>1377.4884033000001</v>
      </c>
      <c r="K1698">
        <v>0</v>
      </c>
      <c r="L1698">
        <v>2400</v>
      </c>
      <c r="M1698">
        <v>2400</v>
      </c>
      <c r="N1698">
        <v>0</v>
      </c>
    </row>
    <row r="1699" spans="1:14" x14ac:dyDescent="0.25">
      <c r="A1699">
        <v>1281.911623</v>
      </c>
      <c r="B1699" s="1">
        <f>DATE(2013,11,2) + TIME(21,52,44)</f>
        <v>41580.911620370367</v>
      </c>
      <c r="C1699">
        <v>80</v>
      </c>
      <c r="D1699">
        <v>79.672897339000002</v>
      </c>
      <c r="E1699">
        <v>50</v>
      </c>
      <c r="F1699">
        <v>49.290489196999999</v>
      </c>
      <c r="G1699">
        <v>1303.2576904</v>
      </c>
      <c r="H1699">
        <v>1290.878418</v>
      </c>
      <c r="I1699">
        <v>1397.7886963000001</v>
      </c>
      <c r="J1699">
        <v>1377.3858643000001</v>
      </c>
      <c r="K1699">
        <v>0</v>
      </c>
      <c r="L1699">
        <v>2400</v>
      </c>
      <c r="M1699">
        <v>2400</v>
      </c>
      <c r="N1699">
        <v>0</v>
      </c>
    </row>
    <row r="1700" spans="1:14" x14ac:dyDescent="0.25">
      <c r="A1700">
        <v>1282.1405460000001</v>
      </c>
      <c r="B1700" s="1">
        <f>DATE(2013,11,3) + TIME(3,22,23)</f>
        <v>41581.140543981484</v>
      </c>
      <c r="C1700">
        <v>80</v>
      </c>
      <c r="D1700">
        <v>79.644950867000006</v>
      </c>
      <c r="E1700">
        <v>50</v>
      </c>
      <c r="F1700">
        <v>49.441997528000002</v>
      </c>
      <c r="G1700">
        <v>1303.2482910000001</v>
      </c>
      <c r="H1700">
        <v>1290.8679199000001</v>
      </c>
      <c r="I1700">
        <v>1397.6362305</v>
      </c>
      <c r="J1700">
        <v>1377.2926024999999</v>
      </c>
      <c r="K1700">
        <v>0</v>
      </c>
      <c r="L1700">
        <v>2400</v>
      </c>
      <c r="M1700">
        <v>2400</v>
      </c>
      <c r="N1700">
        <v>0</v>
      </c>
    </row>
    <row r="1701" spans="1:14" x14ac:dyDescent="0.25">
      <c r="A1701">
        <v>1282.376818</v>
      </c>
      <c r="B1701" s="1">
        <f>DATE(2013,11,3) + TIME(9,2,37)</f>
        <v>41581.376817129632</v>
      </c>
      <c r="C1701">
        <v>80</v>
      </c>
      <c r="D1701">
        <v>79.616333007999998</v>
      </c>
      <c r="E1701">
        <v>50</v>
      </c>
      <c r="F1701">
        <v>49.562568665000001</v>
      </c>
      <c r="G1701">
        <v>1303.2387695</v>
      </c>
      <c r="H1701">
        <v>1290.8571777</v>
      </c>
      <c r="I1701">
        <v>1397.5029297000001</v>
      </c>
      <c r="J1701">
        <v>1377.2081298999999</v>
      </c>
      <c r="K1701">
        <v>0</v>
      </c>
      <c r="L1701">
        <v>2400</v>
      </c>
      <c r="M1701">
        <v>2400</v>
      </c>
      <c r="N1701">
        <v>0</v>
      </c>
    </row>
    <row r="1702" spans="1:14" x14ac:dyDescent="0.25">
      <c r="A1702">
        <v>1282.6231110000001</v>
      </c>
      <c r="B1702" s="1">
        <f>DATE(2013,11,3) + TIME(14,57,16)</f>
        <v>41581.623101851852</v>
      </c>
      <c r="C1702">
        <v>80</v>
      </c>
      <c r="D1702">
        <v>79.586799622000001</v>
      </c>
      <c r="E1702">
        <v>50</v>
      </c>
      <c r="F1702">
        <v>49.658584595000001</v>
      </c>
      <c r="G1702">
        <v>1303.229126</v>
      </c>
      <c r="H1702">
        <v>1290.8463135</v>
      </c>
      <c r="I1702">
        <v>1397.3842772999999</v>
      </c>
      <c r="J1702">
        <v>1377.1303711</v>
      </c>
      <c r="K1702">
        <v>0</v>
      </c>
      <c r="L1702">
        <v>2400</v>
      </c>
      <c r="M1702">
        <v>2400</v>
      </c>
      <c r="N1702">
        <v>0</v>
      </c>
    </row>
    <row r="1703" spans="1:14" x14ac:dyDescent="0.25">
      <c r="A1703">
        <v>1282.8824529999999</v>
      </c>
      <c r="B1703" s="1">
        <f>DATE(2013,11,3) + TIME(21,10,43)</f>
        <v>41581.88244212963</v>
      </c>
      <c r="C1703">
        <v>80</v>
      </c>
      <c r="D1703">
        <v>79.556091308999996</v>
      </c>
      <c r="E1703">
        <v>50</v>
      </c>
      <c r="F1703">
        <v>49.734897613999998</v>
      </c>
      <c r="G1703">
        <v>1303.2189940999999</v>
      </c>
      <c r="H1703">
        <v>1290.8348389</v>
      </c>
      <c r="I1703">
        <v>1397.2772216999999</v>
      </c>
      <c r="J1703">
        <v>1377.0576172000001</v>
      </c>
      <c r="K1703">
        <v>0</v>
      </c>
      <c r="L1703">
        <v>2400</v>
      </c>
      <c r="M1703">
        <v>2400</v>
      </c>
      <c r="N1703">
        <v>0</v>
      </c>
    </row>
    <row r="1704" spans="1:14" x14ac:dyDescent="0.25">
      <c r="A1704">
        <v>1283.158283</v>
      </c>
      <c r="B1704" s="1">
        <f>DATE(2013,11,4) + TIME(3,47,55)</f>
        <v>41582.158275462964</v>
      </c>
      <c r="C1704">
        <v>80</v>
      </c>
      <c r="D1704">
        <v>79.523895264000004</v>
      </c>
      <c r="E1704">
        <v>50</v>
      </c>
      <c r="F1704">
        <v>49.795257567999997</v>
      </c>
      <c r="G1704">
        <v>1303.2084961</v>
      </c>
      <c r="H1704">
        <v>1290.8229980000001</v>
      </c>
      <c r="I1704">
        <v>1397.1793213000001</v>
      </c>
      <c r="J1704">
        <v>1376.9888916</v>
      </c>
      <c r="K1704">
        <v>0</v>
      </c>
      <c r="L1704">
        <v>2400</v>
      </c>
      <c r="M1704">
        <v>2400</v>
      </c>
      <c r="N1704">
        <v>0</v>
      </c>
    </row>
    <row r="1705" spans="1:14" x14ac:dyDescent="0.25">
      <c r="A1705">
        <v>1283.454745</v>
      </c>
      <c r="B1705" s="1">
        <f>DATE(2013,11,4) + TIME(10,54,49)</f>
        <v>41582.454733796294</v>
      </c>
      <c r="C1705">
        <v>80</v>
      </c>
      <c r="D1705">
        <v>79.489845275999997</v>
      </c>
      <c r="E1705">
        <v>50</v>
      </c>
      <c r="F1705">
        <v>49.842628478999998</v>
      </c>
      <c r="G1705">
        <v>1303.1973877</v>
      </c>
      <c r="H1705">
        <v>1290.8103027</v>
      </c>
      <c r="I1705">
        <v>1397.0883789</v>
      </c>
      <c r="J1705">
        <v>1376.9229736</v>
      </c>
      <c r="K1705">
        <v>0</v>
      </c>
      <c r="L1705">
        <v>2400</v>
      </c>
      <c r="M1705">
        <v>2400</v>
      </c>
      <c r="N1705">
        <v>0</v>
      </c>
    </row>
    <row r="1706" spans="1:14" x14ac:dyDescent="0.25">
      <c r="A1706">
        <v>1283.775768</v>
      </c>
      <c r="B1706" s="1">
        <f>DATE(2013,11,4) + TIME(18,37,6)</f>
        <v>41582.775763888887</v>
      </c>
      <c r="C1706">
        <v>80</v>
      </c>
      <c r="D1706">
        <v>79.453605651999993</v>
      </c>
      <c r="E1706">
        <v>50</v>
      </c>
      <c r="F1706">
        <v>49.879310607999997</v>
      </c>
      <c r="G1706">
        <v>1303.1854248</v>
      </c>
      <c r="H1706">
        <v>1290.796875</v>
      </c>
      <c r="I1706">
        <v>1397.0026855000001</v>
      </c>
      <c r="J1706">
        <v>1376.8590088000001</v>
      </c>
      <c r="K1706">
        <v>0</v>
      </c>
      <c r="L1706">
        <v>2400</v>
      </c>
      <c r="M1706">
        <v>2400</v>
      </c>
      <c r="N1706">
        <v>0</v>
      </c>
    </row>
    <row r="1707" spans="1:14" x14ac:dyDescent="0.25">
      <c r="A1707">
        <v>1284.1213499999999</v>
      </c>
      <c r="B1707" s="1">
        <f>DATE(2013,11,5) + TIME(2,54,44)</f>
        <v>41583.121342592596</v>
      </c>
      <c r="C1707">
        <v>80</v>
      </c>
      <c r="D1707">
        <v>79.415138244999994</v>
      </c>
      <c r="E1707">
        <v>50</v>
      </c>
      <c r="F1707">
        <v>49.906978606999999</v>
      </c>
      <c r="G1707">
        <v>1303.1726074000001</v>
      </c>
      <c r="H1707">
        <v>1290.7822266000001</v>
      </c>
      <c r="I1707">
        <v>1396.9211425999999</v>
      </c>
      <c r="J1707">
        <v>1376.7962646000001</v>
      </c>
      <c r="K1707">
        <v>0</v>
      </c>
      <c r="L1707">
        <v>2400</v>
      </c>
      <c r="M1707">
        <v>2400</v>
      </c>
      <c r="N1707">
        <v>0</v>
      </c>
    </row>
    <row r="1708" spans="1:14" x14ac:dyDescent="0.25">
      <c r="A1708">
        <v>1284.4978309999999</v>
      </c>
      <c r="B1708" s="1">
        <f>DATE(2013,11,5) + TIME(11,56,52)</f>
        <v>41583.497824074075</v>
      </c>
      <c r="C1708">
        <v>80</v>
      </c>
      <c r="D1708">
        <v>79.373924255000006</v>
      </c>
      <c r="E1708">
        <v>50</v>
      </c>
      <c r="F1708">
        <v>49.927589417</v>
      </c>
      <c r="G1708">
        <v>1303.1588135</v>
      </c>
      <c r="H1708">
        <v>1290.7666016000001</v>
      </c>
      <c r="I1708">
        <v>1396.8430175999999</v>
      </c>
      <c r="J1708">
        <v>1376.7349853999999</v>
      </c>
      <c r="K1708">
        <v>0</v>
      </c>
      <c r="L1708">
        <v>2400</v>
      </c>
      <c r="M1708">
        <v>2400</v>
      </c>
      <c r="N1708">
        <v>0</v>
      </c>
    </row>
    <row r="1709" spans="1:14" x14ac:dyDescent="0.25">
      <c r="A1709">
        <v>1284.912736</v>
      </c>
      <c r="B1709" s="1">
        <f>DATE(2013,11,5) + TIME(21,54,20)</f>
        <v>41583.912731481483</v>
      </c>
      <c r="C1709">
        <v>80</v>
      </c>
      <c r="D1709">
        <v>79.329383849999999</v>
      </c>
      <c r="E1709">
        <v>50</v>
      </c>
      <c r="F1709">
        <v>49.942676544000001</v>
      </c>
      <c r="G1709">
        <v>1303.1437988</v>
      </c>
      <c r="H1709">
        <v>1290.7496338000001</v>
      </c>
      <c r="I1709">
        <v>1396.7669678</v>
      </c>
      <c r="J1709">
        <v>1376.6739502</v>
      </c>
      <c r="K1709">
        <v>0</v>
      </c>
      <c r="L1709">
        <v>2400</v>
      </c>
      <c r="M1709">
        <v>2400</v>
      </c>
      <c r="N1709">
        <v>0</v>
      </c>
    </row>
    <row r="1710" spans="1:14" x14ac:dyDescent="0.25">
      <c r="A1710">
        <v>1285.376258</v>
      </c>
      <c r="B1710" s="1">
        <f>DATE(2013,11,6) + TIME(9,1,48)</f>
        <v>41584.376250000001</v>
      </c>
      <c r="C1710">
        <v>80</v>
      </c>
      <c r="D1710">
        <v>79.280700683999996</v>
      </c>
      <c r="E1710">
        <v>50</v>
      </c>
      <c r="F1710">
        <v>49.953495025999999</v>
      </c>
      <c r="G1710">
        <v>1303.1274414</v>
      </c>
      <c r="H1710">
        <v>1290.730957</v>
      </c>
      <c r="I1710">
        <v>1396.6914062000001</v>
      </c>
      <c r="J1710">
        <v>1376.6125488</v>
      </c>
      <c r="K1710">
        <v>0</v>
      </c>
      <c r="L1710">
        <v>2400</v>
      </c>
      <c r="M1710">
        <v>2400</v>
      </c>
      <c r="N1710">
        <v>0</v>
      </c>
    </row>
    <row r="1711" spans="1:14" x14ac:dyDescent="0.25">
      <c r="A1711">
        <v>1285.8598870000001</v>
      </c>
      <c r="B1711" s="1">
        <f>DATE(2013,11,6) + TIME(20,38,14)</f>
        <v>41584.859884259262</v>
      </c>
      <c r="C1711">
        <v>80</v>
      </c>
      <c r="D1711">
        <v>79.229591369999994</v>
      </c>
      <c r="E1711">
        <v>50</v>
      </c>
      <c r="F1711">
        <v>49.960662841999998</v>
      </c>
      <c r="G1711">
        <v>1303.1090088000001</v>
      </c>
      <c r="H1711">
        <v>1290.7103271000001</v>
      </c>
      <c r="I1711">
        <v>1396.6153564000001</v>
      </c>
      <c r="J1711">
        <v>1376.5499268000001</v>
      </c>
      <c r="K1711">
        <v>0</v>
      </c>
      <c r="L1711">
        <v>2400</v>
      </c>
      <c r="M1711">
        <v>2400</v>
      </c>
      <c r="N1711">
        <v>0</v>
      </c>
    </row>
    <row r="1712" spans="1:14" x14ac:dyDescent="0.25">
      <c r="A1712">
        <v>1286.3515159999999</v>
      </c>
      <c r="B1712" s="1">
        <f>DATE(2013,11,7) + TIME(8,26,11)</f>
        <v>41585.3515162037</v>
      </c>
      <c r="C1712">
        <v>80</v>
      </c>
      <c r="D1712">
        <v>79.177124023000005</v>
      </c>
      <c r="E1712">
        <v>50</v>
      </c>
      <c r="F1712">
        <v>49.965290070000002</v>
      </c>
      <c r="G1712">
        <v>1303.0897216999999</v>
      </c>
      <c r="H1712">
        <v>1290.6888428</v>
      </c>
      <c r="I1712">
        <v>1396.5430908000001</v>
      </c>
      <c r="J1712">
        <v>1376.4899902</v>
      </c>
      <c r="K1712">
        <v>0</v>
      </c>
      <c r="L1712">
        <v>2400</v>
      </c>
      <c r="M1712">
        <v>2400</v>
      </c>
      <c r="N1712">
        <v>0</v>
      </c>
    </row>
    <row r="1713" spans="1:14" x14ac:dyDescent="0.25">
      <c r="A1713">
        <v>1286.854497</v>
      </c>
      <c r="B1713" s="1">
        <f>DATE(2013,11,7) + TIME(20,30,28)</f>
        <v>41585.854490740741</v>
      </c>
      <c r="C1713">
        <v>80</v>
      </c>
      <c r="D1713">
        <v>79.123458862000007</v>
      </c>
      <c r="E1713">
        <v>50</v>
      </c>
      <c r="F1713">
        <v>49.968296051000003</v>
      </c>
      <c r="G1713">
        <v>1303.0701904</v>
      </c>
      <c r="H1713">
        <v>1290.6668701000001</v>
      </c>
      <c r="I1713">
        <v>1396.4755858999999</v>
      </c>
      <c r="J1713">
        <v>1376.4339600000001</v>
      </c>
      <c r="K1713">
        <v>0</v>
      </c>
      <c r="L1713">
        <v>2400</v>
      </c>
      <c r="M1713">
        <v>2400</v>
      </c>
      <c r="N1713">
        <v>0</v>
      </c>
    </row>
    <row r="1714" spans="1:14" x14ac:dyDescent="0.25">
      <c r="A1714">
        <v>1287.3750419999999</v>
      </c>
      <c r="B1714" s="1">
        <f>DATE(2013,11,8) + TIME(9,0,3)</f>
        <v>41586.375034722223</v>
      </c>
      <c r="C1714">
        <v>80</v>
      </c>
      <c r="D1714">
        <v>79.068382263000004</v>
      </c>
      <c r="E1714">
        <v>50</v>
      </c>
      <c r="F1714">
        <v>49.970264434999997</v>
      </c>
      <c r="G1714">
        <v>1303.0504149999999</v>
      </c>
      <c r="H1714">
        <v>1290.6444091999999</v>
      </c>
      <c r="I1714">
        <v>1396.4116211</v>
      </c>
      <c r="J1714">
        <v>1376.3807373</v>
      </c>
      <c r="K1714">
        <v>0</v>
      </c>
      <c r="L1714">
        <v>2400</v>
      </c>
      <c r="M1714">
        <v>2400</v>
      </c>
      <c r="N1714">
        <v>0</v>
      </c>
    </row>
    <row r="1715" spans="1:14" x14ac:dyDescent="0.25">
      <c r="A1715">
        <v>1287.9194580000001</v>
      </c>
      <c r="B1715" s="1">
        <f>DATE(2013,11,8) + TIME(22,4,1)</f>
        <v>41586.919456018521</v>
      </c>
      <c r="C1715">
        <v>80</v>
      </c>
      <c r="D1715">
        <v>79.011543274000005</v>
      </c>
      <c r="E1715">
        <v>50</v>
      </c>
      <c r="F1715">
        <v>49.971569060999997</v>
      </c>
      <c r="G1715">
        <v>1303.0299072</v>
      </c>
      <c r="H1715">
        <v>1290.6212158000001</v>
      </c>
      <c r="I1715">
        <v>1396.3500977000001</v>
      </c>
      <c r="J1715">
        <v>1376.3294678</v>
      </c>
      <c r="K1715">
        <v>0</v>
      </c>
      <c r="L1715">
        <v>2400</v>
      </c>
      <c r="M1715">
        <v>2400</v>
      </c>
      <c r="N1715">
        <v>0</v>
      </c>
    </row>
    <row r="1716" spans="1:14" x14ac:dyDescent="0.25">
      <c r="A1716">
        <v>1288.494706</v>
      </c>
      <c r="B1716" s="1">
        <f>DATE(2013,11,9) + TIME(11,52,22)</f>
        <v>41587.494699074072</v>
      </c>
      <c r="C1716">
        <v>80</v>
      </c>
      <c r="D1716">
        <v>78.952461243000002</v>
      </c>
      <c r="E1716">
        <v>50</v>
      </c>
      <c r="F1716">
        <v>49.972434997999997</v>
      </c>
      <c r="G1716">
        <v>1303.0085449000001</v>
      </c>
      <c r="H1716">
        <v>1290.5969238</v>
      </c>
      <c r="I1716">
        <v>1396.2900391000001</v>
      </c>
      <c r="J1716">
        <v>1376.2795410000001</v>
      </c>
      <c r="K1716">
        <v>0</v>
      </c>
      <c r="L1716">
        <v>2400</v>
      </c>
      <c r="M1716">
        <v>2400</v>
      </c>
      <c r="N1716">
        <v>0</v>
      </c>
    </row>
    <row r="1717" spans="1:14" x14ac:dyDescent="0.25">
      <c r="A1717">
        <v>1289.1090409999999</v>
      </c>
      <c r="B1717" s="1">
        <f>DATE(2013,11,10) + TIME(2,37,1)</f>
        <v>41588.109039351853</v>
      </c>
      <c r="C1717">
        <v>80</v>
      </c>
      <c r="D1717">
        <v>78.890548706000004</v>
      </c>
      <c r="E1717">
        <v>50</v>
      </c>
      <c r="F1717">
        <v>49.973014831999997</v>
      </c>
      <c r="G1717">
        <v>1302.9859618999999</v>
      </c>
      <c r="H1717">
        <v>1290.5712891000001</v>
      </c>
      <c r="I1717">
        <v>1396.2305908000001</v>
      </c>
      <c r="J1717">
        <v>1376.2302245999999</v>
      </c>
      <c r="K1717">
        <v>0</v>
      </c>
      <c r="L1717">
        <v>2400</v>
      </c>
      <c r="M1717">
        <v>2400</v>
      </c>
      <c r="N1717">
        <v>0</v>
      </c>
    </row>
    <row r="1718" spans="1:14" x14ac:dyDescent="0.25">
      <c r="A1718">
        <v>1289.772882</v>
      </c>
      <c r="B1718" s="1">
        <f>DATE(2013,11,10) + TIME(18,32,57)</f>
        <v>41588.772881944446</v>
      </c>
      <c r="C1718">
        <v>80</v>
      </c>
      <c r="D1718">
        <v>78.825035095000004</v>
      </c>
      <c r="E1718">
        <v>50</v>
      </c>
      <c r="F1718">
        <v>49.973407745000003</v>
      </c>
      <c r="G1718">
        <v>1302.9617920000001</v>
      </c>
      <c r="H1718">
        <v>1290.5438231999999</v>
      </c>
      <c r="I1718">
        <v>1396.1711425999999</v>
      </c>
      <c r="J1718">
        <v>1376.1810303</v>
      </c>
      <c r="K1718">
        <v>0</v>
      </c>
      <c r="L1718">
        <v>2400</v>
      </c>
      <c r="M1718">
        <v>2400</v>
      </c>
      <c r="N1718">
        <v>0</v>
      </c>
    </row>
    <row r="1719" spans="1:14" x14ac:dyDescent="0.25">
      <c r="A1719">
        <v>1290.492626</v>
      </c>
      <c r="B1719" s="1">
        <f>DATE(2013,11,11) + TIME(11,49,22)</f>
        <v>41589.492615740739</v>
      </c>
      <c r="C1719">
        <v>80</v>
      </c>
      <c r="D1719">
        <v>78.755325317</v>
      </c>
      <c r="E1719">
        <v>50</v>
      </c>
      <c r="F1719">
        <v>49.973674774000003</v>
      </c>
      <c r="G1719">
        <v>1302.9356689000001</v>
      </c>
      <c r="H1719">
        <v>1290.5141602000001</v>
      </c>
      <c r="I1719">
        <v>1396.1110839999999</v>
      </c>
      <c r="J1719">
        <v>1376.1313477000001</v>
      </c>
      <c r="K1719">
        <v>0</v>
      </c>
      <c r="L1719">
        <v>2400</v>
      </c>
      <c r="M1719">
        <v>2400</v>
      </c>
      <c r="N1719">
        <v>0</v>
      </c>
    </row>
    <row r="1720" spans="1:14" x14ac:dyDescent="0.25">
      <c r="A1720">
        <v>1291.2415719999999</v>
      </c>
      <c r="B1720" s="1">
        <f>DATE(2013,11,12) + TIME(5,47,51)</f>
        <v>41590.241562499999</v>
      </c>
      <c r="C1720">
        <v>80</v>
      </c>
      <c r="D1720">
        <v>78.682518005000006</v>
      </c>
      <c r="E1720">
        <v>50</v>
      </c>
      <c r="F1720">
        <v>49.973850249999998</v>
      </c>
      <c r="G1720">
        <v>1302.9073486</v>
      </c>
      <c r="H1720">
        <v>1290.4820557</v>
      </c>
      <c r="I1720">
        <v>1396.0499268000001</v>
      </c>
      <c r="J1720">
        <v>1376.0809326000001</v>
      </c>
      <c r="K1720">
        <v>0</v>
      </c>
      <c r="L1720">
        <v>2400</v>
      </c>
      <c r="M1720">
        <v>2400</v>
      </c>
      <c r="N1720">
        <v>0</v>
      </c>
    </row>
    <row r="1721" spans="1:14" x14ac:dyDescent="0.25">
      <c r="A1721">
        <v>1292.0141369999999</v>
      </c>
      <c r="B1721" s="1">
        <f>DATE(2013,11,13) + TIME(0,20,21)</f>
        <v>41591.014131944445</v>
      </c>
      <c r="C1721">
        <v>80</v>
      </c>
      <c r="D1721">
        <v>78.607368468999994</v>
      </c>
      <c r="E1721">
        <v>50</v>
      </c>
      <c r="F1721">
        <v>49.973968505999999</v>
      </c>
      <c r="G1721">
        <v>1302.8776855000001</v>
      </c>
      <c r="H1721">
        <v>1290.4484863</v>
      </c>
      <c r="I1721">
        <v>1395.9903564000001</v>
      </c>
      <c r="J1721">
        <v>1376.0319824000001</v>
      </c>
      <c r="K1721">
        <v>0</v>
      </c>
      <c r="L1721">
        <v>2400</v>
      </c>
      <c r="M1721">
        <v>2400</v>
      </c>
      <c r="N1721">
        <v>0</v>
      </c>
    </row>
    <row r="1722" spans="1:14" x14ac:dyDescent="0.25">
      <c r="A1722">
        <v>1292.816253</v>
      </c>
      <c r="B1722" s="1">
        <f>DATE(2013,11,13) + TIME(19,35,24)</f>
        <v>41591.816250000003</v>
      </c>
      <c r="C1722">
        <v>80</v>
      </c>
      <c r="D1722">
        <v>78.529998778999996</v>
      </c>
      <c r="E1722">
        <v>50</v>
      </c>
      <c r="F1722">
        <v>49.974052428999997</v>
      </c>
      <c r="G1722">
        <v>1302.847168</v>
      </c>
      <c r="H1722">
        <v>1290.4136963000001</v>
      </c>
      <c r="I1722">
        <v>1395.9326172000001</v>
      </c>
      <c r="J1722">
        <v>1375.9846190999999</v>
      </c>
      <c r="K1722">
        <v>0</v>
      </c>
      <c r="L1722">
        <v>2400</v>
      </c>
      <c r="M1722">
        <v>2400</v>
      </c>
      <c r="N1722">
        <v>0</v>
      </c>
    </row>
    <row r="1723" spans="1:14" x14ac:dyDescent="0.25">
      <c r="A1723">
        <v>1293.6364410000001</v>
      </c>
      <c r="B1723" s="1">
        <f>DATE(2013,11,14) + TIME(15,16,28)</f>
        <v>41592.636435185188</v>
      </c>
      <c r="C1723">
        <v>80</v>
      </c>
      <c r="D1723">
        <v>78.451087951999995</v>
      </c>
      <c r="E1723">
        <v>50</v>
      </c>
      <c r="F1723">
        <v>49.974109650000003</v>
      </c>
      <c r="G1723">
        <v>1302.8151855000001</v>
      </c>
      <c r="H1723">
        <v>1290.3774414</v>
      </c>
      <c r="I1723">
        <v>1395.8763428</v>
      </c>
      <c r="J1723">
        <v>1375.9385986</v>
      </c>
      <c r="K1723">
        <v>0</v>
      </c>
      <c r="L1723">
        <v>2400</v>
      </c>
      <c r="M1723">
        <v>2400</v>
      </c>
      <c r="N1723">
        <v>0</v>
      </c>
    </row>
    <row r="1724" spans="1:14" x14ac:dyDescent="0.25">
      <c r="A1724">
        <v>1294.484721</v>
      </c>
      <c r="B1724" s="1">
        <f>DATE(2013,11,15) + TIME(11,37,59)</f>
        <v>41593.484710648147</v>
      </c>
      <c r="C1724">
        <v>80</v>
      </c>
      <c r="D1724">
        <v>78.370498656999999</v>
      </c>
      <c r="E1724">
        <v>50</v>
      </c>
      <c r="F1724">
        <v>49.974147797000001</v>
      </c>
      <c r="G1724">
        <v>1302.7825928</v>
      </c>
      <c r="H1724">
        <v>1290.3400879000001</v>
      </c>
      <c r="I1724">
        <v>1395.8220214999999</v>
      </c>
      <c r="J1724">
        <v>1375.8942870999999</v>
      </c>
      <c r="K1724">
        <v>0</v>
      </c>
      <c r="L1724">
        <v>2400</v>
      </c>
      <c r="M1724">
        <v>2400</v>
      </c>
      <c r="N1724">
        <v>0</v>
      </c>
    </row>
    <row r="1725" spans="1:14" x14ac:dyDescent="0.25">
      <c r="A1725">
        <v>1295.371484</v>
      </c>
      <c r="B1725" s="1">
        <f>DATE(2013,11,16) + TIME(8,54,56)</f>
        <v>41594.371481481481</v>
      </c>
      <c r="C1725">
        <v>80</v>
      </c>
      <c r="D1725">
        <v>78.287734985</v>
      </c>
      <c r="E1725">
        <v>50</v>
      </c>
      <c r="F1725">
        <v>49.974178314</v>
      </c>
      <c r="G1725">
        <v>1302.7486572</v>
      </c>
      <c r="H1725">
        <v>1290.3012695</v>
      </c>
      <c r="I1725">
        <v>1395.769043</v>
      </c>
      <c r="J1725">
        <v>1375.8510742000001</v>
      </c>
      <c r="K1725">
        <v>0</v>
      </c>
      <c r="L1725">
        <v>2400</v>
      </c>
      <c r="M1725">
        <v>2400</v>
      </c>
      <c r="N1725">
        <v>0</v>
      </c>
    </row>
    <row r="1726" spans="1:14" x14ac:dyDescent="0.25">
      <c r="A1726">
        <v>1296.3084220000001</v>
      </c>
      <c r="B1726" s="1">
        <f>DATE(2013,11,17) + TIME(7,24,7)</f>
        <v>41595.30841435185</v>
      </c>
      <c r="C1726">
        <v>80</v>
      </c>
      <c r="D1726">
        <v>78.202064514</v>
      </c>
      <c r="E1726">
        <v>50</v>
      </c>
      <c r="F1726">
        <v>49.974205017000003</v>
      </c>
      <c r="G1726">
        <v>1302.7130127</v>
      </c>
      <c r="H1726">
        <v>1290.260376</v>
      </c>
      <c r="I1726">
        <v>1395.7165527</v>
      </c>
      <c r="J1726">
        <v>1375.8083495999999</v>
      </c>
      <c r="K1726">
        <v>0</v>
      </c>
      <c r="L1726">
        <v>2400</v>
      </c>
      <c r="M1726">
        <v>2400</v>
      </c>
      <c r="N1726">
        <v>0</v>
      </c>
    </row>
    <row r="1727" spans="1:14" x14ac:dyDescent="0.25">
      <c r="A1727">
        <v>1297.3098440000001</v>
      </c>
      <c r="B1727" s="1">
        <f>DATE(2013,11,18) + TIME(7,26,10)</f>
        <v>41596.309837962966</v>
      </c>
      <c r="C1727">
        <v>80</v>
      </c>
      <c r="D1727">
        <v>78.112556458</v>
      </c>
      <c r="E1727">
        <v>50</v>
      </c>
      <c r="F1727">
        <v>49.974224091000004</v>
      </c>
      <c r="G1727">
        <v>1302.6751709</v>
      </c>
      <c r="H1727">
        <v>1290.2169189000001</v>
      </c>
      <c r="I1727">
        <v>1395.6640625</v>
      </c>
      <c r="J1727">
        <v>1375.7657471</v>
      </c>
      <c r="K1727">
        <v>0</v>
      </c>
      <c r="L1727">
        <v>2400</v>
      </c>
      <c r="M1727">
        <v>2400</v>
      </c>
      <c r="N1727">
        <v>0</v>
      </c>
    </row>
    <row r="1728" spans="1:14" x14ac:dyDescent="0.25">
      <c r="A1728">
        <v>1298.3734939999999</v>
      </c>
      <c r="B1728" s="1">
        <f>DATE(2013,11,19) + TIME(8,57,49)</f>
        <v>41597.373483796298</v>
      </c>
      <c r="C1728">
        <v>80</v>
      </c>
      <c r="D1728">
        <v>78.018821716000005</v>
      </c>
      <c r="E1728">
        <v>50</v>
      </c>
      <c r="F1728">
        <v>49.974239349000001</v>
      </c>
      <c r="G1728">
        <v>1302.6345214999999</v>
      </c>
      <c r="H1728">
        <v>1290.1700439000001</v>
      </c>
      <c r="I1728">
        <v>1395.6109618999999</v>
      </c>
      <c r="J1728">
        <v>1375.7226562000001</v>
      </c>
      <c r="K1728">
        <v>0</v>
      </c>
      <c r="L1728">
        <v>2400</v>
      </c>
      <c r="M1728">
        <v>2400</v>
      </c>
      <c r="N1728">
        <v>0</v>
      </c>
    </row>
    <row r="1729" spans="1:14" x14ac:dyDescent="0.25">
      <c r="A1729">
        <v>1299.488096</v>
      </c>
      <c r="B1729" s="1">
        <f>DATE(2013,11,20) + TIME(11,42,51)</f>
        <v>41598.48809027778</v>
      </c>
      <c r="C1729">
        <v>80</v>
      </c>
      <c r="D1729">
        <v>77.921188353999995</v>
      </c>
      <c r="E1729">
        <v>50</v>
      </c>
      <c r="F1729">
        <v>49.974258423000002</v>
      </c>
      <c r="G1729">
        <v>1302.5909423999999</v>
      </c>
      <c r="H1729">
        <v>1290.1198730000001</v>
      </c>
      <c r="I1729">
        <v>1395.5574951000001</v>
      </c>
      <c r="J1729">
        <v>1375.6794434000001</v>
      </c>
      <c r="K1729">
        <v>0</v>
      </c>
      <c r="L1729">
        <v>2400</v>
      </c>
      <c r="M1729">
        <v>2400</v>
      </c>
      <c r="N1729">
        <v>0</v>
      </c>
    </row>
    <row r="1730" spans="1:14" x14ac:dyDescent="0.25">
      <c r="A1730">
        <v>1300.619735</v>
      </c>
      <c r="B1730" s="1">
        <f>DATE(2013,11,21) + TIME(14,52,25)</f>
        <v>41599.619733796295</v>
      </c>
      <c r="C1730">
        <v>80</v>
      </c>
      <c r="D1730">
        <v>77.821273804</v>
      </c>
      <c r="E1730">
        <v>50</v>
      </c>
      <c r="F1730">
        <v>49.974269866999997</v>
      </c>
      <c r="G1730">
        <v>1302.5449219</v>
      </c>
      <c r="H1730">
        <v>1290.0667725000001</v>
      </c>
      <c r="I1730">
        <v>1395.5045166</v>
      </c>
      <c r="J1730">
        <v>1375.6365966999999</v>
      </c>
      <c r="K1730">
        <v>0</v>
      </c>
      <c r="L1730">
        <v>2400</v>
      </c>
      <c r="M1730">
        <v>2400</v>
      </c>
      <c r="N1730">
        <v>0</v>
      </c>
    </row>
    <row r="1731" spans="1:14" x14ac:dyDescent="0.25">
      <c r="A1731">
        <v>1301.7742020000001</v>
      </c>
      <c r="B1731" s="1">
        <f>DATE(2013,11,22) + TIME(18,34,51)</f>
        <v>41600.774201388886</v>
      </c>
      <c r="C1731">
        <v>80</v>
      </c>
      <c r="D1731">
        <v>77.720054626000007</v>
      </c>
      <c r="E1731">
        <v>50</v>
      </c>
      <c r="F1731">
        <v>49.974285125999998</v>
      </c>
      <c r="G1731">
        <v>1302.4976807</v>
      </c>
      <c r="H1731">
        <v>1290.0119629000001</v>
      </c>
      <c r="I1731">
        <v>1395.4533690999999</v>
      </c>
      <c r="J1731">
        <v>1375.5953368999999</v>
      </c>
      <c r="K1731">
        <v>0</v>
      </c>
      <c r="L1731">
        <v>2400</v>
      </c>
      <c r="M1731">
        <v>2400</v>
      </c>
      <c r="N1731">
        <v>0</v>
      </c>
    </row>
    <row r="1732" spans="1:14" x14ac:dyDescent="0.25">
      <c r="A1732">
        <v>1302.9655339999999</v>
      </c>
      <c r="B1732" s="1">
        <f>DATE(2013,11,23) + TIME(23,10,22)</f>
        <v>41601.965532407405</v>
      </c>
      <c r="C1732">
        <v>80</v>
      </c>
      <c r="D1732">
        <v>77.617401122999993</v>
      </c>
      <c r="E1732">
        <v>50</v>
      </c>
      <c r="F1732">
        <v>49.97429657</v>
      </c>
      <c r="G1732">
        <v>1302.4489745999999</v>
      </c>
      <c r="H1732">
        <v>1289.9553223</v>
      </c>
      <c r="I1732">
        <v>1395.4039307</v>
      </c>
      <c r="J1732">
        <v>1375.5554199000001</v>
      </c>
      <c r="K1732">
        <v>0</v>
      </c>
      <c r="L1732">
        <v>2400</v>
      </c>
      <c r="M1732">
        <v>2400</v>
      </c>
      <c r="N1732">
        <v>0</v>
      </c>
    </row>
    <row r="1733" spans="1:14" x14ac:dyDescent="0.25">
      <c r="A1733">
        <v>1304.20858</v>
      </c>
      <c r="B1733" s="1">
        <f>DATE(2013,11,25) + TIME(5,0,21)</f>
        <v>41603.20857638889</v>
      </c>
      <c r="C1733">
        <v>80</v>
      </c>
      <c r="D1733">
        <v>77.512580872000001</v>
      </c>
      <c r="E1733">
        <v>50</v>
      </c>
      <c r="F1733">
        <v>49.974311829000001</v>
      </c>
      <c r="G1733">
        <v>1302.3983154</v>
      </c>
      <c r="H1733">
        <v>1289.8959961</v>
      </c>
      <c r="I1733">
        <v>1395.3553466999999</v>
      </c>
      <c r="J1733">
        <v>1375.5162353999999</v>
      </c>
      <c r="K1733">
        <v>0</v>
      </c>
      <c r="L1733">
        <v>2400</v>
      </c>
      <c r="M1733">
        <v>2400</v>
      </c>
      <c r="N1733">
        <v>0</v>
      </c>
    </row>
    <row r="1734" spans="1:14" x14ac:dyDescent="0.25">
      <c r="A1734">
        <v>1305.5200970000001</v>
      </c>
      <c r="B1734" s="1">
        <f>DATE(2013,11,26) + TIME(12,28,56)</f>
        <v>41604.520092592589</v>
      </c>
      <c r="C1734">
        <v>80</v>
      </c>
      <c r="D1734">
        <v>77.404586792000003</v>
      </c>
      <c r="E1734">
        <v>50</v>
      </c>
      <c r="F1734">
        <v>49.974327086999999</v>
      </c>
      <c r="G1734">
        <v>1302.3447266000001</v>
      </c>
      <c r="H1734">
        <v>1289.8332519999999</v>
      </c>
      <c r="I1734">
        <v>1395.3070068</v>
      </c>
      <c r="J1734">
        <v>1375.4774170000001</v>
      </c>
      <c r="K1734">
        <v>0</v>
      </c>
      <c r="L1734">
        <v>2400</v>
      </c>
      <c r="M1734">
        <v>2400</v>
      </c>
      <c r="N1734">
        <v>0</v>
      </c>
    </row>
    <row r="1735" spans="1:14" x14ac:dyDescent="0.25">
      <c r="A1735">
        <v>1306.9086299999999</v>
      </c>
      <c r="B1735" s="1">
        <f>DATE(2013,11,27) + TIME(21,48,25)</f>
        <v>41605.908622685187</v>
      </c>
      <c r="C1735">
        <v>80</v>
      </c>
      <c r="D1735">
        <v>77.292533875000004</v>
      </c>
      <c r="E1735">
        <v>50</v>
      </c>
      <c r="F1735">
        <v>49.974342346</v>
      </c>
      <c r="G1735">
        <v>1302.2875977000001</v>
      </c>
      <c r="H1735">
        <v>1289.7658690999999</v>
      </c>
      <c r="I1735">
        <v>1395.2584228999999</v>
      </c>
      <c r="J1735">
        <v>1375.4382324000001</v>
      </c>
      <c r="K1735">
        <v>0</v>
      </c>
      <c r="L1735">
        <v>2400</v>
      </c>
      <c r="M1735">
        <v>2400</v>
      </c>
      <c r="N1735">
        <v>0</v>
      </c>
    </row>
    <row r="1736" spans="1:14" x14ac:dyDescent="0.25">
      <c r="A1736">
        <v>1308.357029</v>
      </c>
      <c r="B1736" s="1">
        <f>DATE(2013,11,29) + TIME(8,34,7)</f>
        <v>41607.357025462959</v>
      </c>
      <c r="C1736">
        <v>80</v>
      </c>
      <c r="D1736">
        <v>77.176521300999994</v>
      </c>
      <c r="E1736">
        <v>50</v>
      </c>
      <c r="F1736">
        <v>49.974361420000001</v>
      </c>
      <c r="G1736">
        <v>1302.2260742000001</v>
      </c>
      <c r="H1736">
        <v>1289.6933594</v>
      </c>
      <c r="I1736">
        <v>1395.2093506000001</v>
      </c>
      <c r="J1736">
        <v>1375.3988036999999</v>
      </c>
      <c r="K1736">
        <v>0</v>
      </c>
      <c r="L1736">
        <v>2400</v>
      </c>
      <c r="M1736">
        <v>2400</v>
      </c>
      <c r="N1736">
        <v>0</v>
      </c>
    </row>
    <row r="1737" spans="1:14" x14ac:dyDescent="0.25">
      <c r="A1737">
        <v>1309.8689549999999</v>
      </c>
      <c r="B1737" s="1">
        <f>DATE(2013,11,30) + TIME(20,51,17)</f>
        <v>41608.868946759256</v>
      </c>
      <c r="C1737">
        <v>80</v>
      </c>
      <c r="D1737">
        <v>77.056915282999995</v>
      </c>
      <c r="E1737">
        <v>50</v>
      </c>
      <c r="F1737">
        <v>49.974376677999999</v>
      </c>
      <c r="G1737">
        <v>1302.1610106999999</v>
      </c>
      <c r="H1737">
        <v>1289.6162108999999</v>
      </c>
      <c r="I1737">
        <v>1395.1605225000001</v>
      </c>
      <c r="J1737">
        <v>1375.3596190999999</v>
      </c>
      <c r="K1737">
        <v>0</v>
      </c>
      <c r="L1737">
        <v>2400</v>
      </c>
      <c r="M1737">
        <v>2400</v>
      </c>
      <c r="N1737">
        <v>0</v>
      </c>
    </row>
    <row r="1738" spans="1:14" x14ac:dyDescent="0.25">
      <c r="A1738">
        <v>1310</v>
      </c>
      <c r="B1738" s="1">
        <f>DATE(2013,12,1) + TIME(0,0,0)</f>
        <v>41609</v>
      </c>
      <c r="C1738">
        <v>80</v>
      </c>
      <c r="D1738">
        <v>77.031616210999999</v>
      </c>
      <c r="E1738">
        <v>50</v>
      </c>
      <c r="F1738">
        <v>49.974372864000003</v>
      </c>
      <c r="G1738">
        <v>1302.0917969</v>
      </c>
      <c r="H1738">
        <v>1289.5446777</v>
      </c>
      <c r="I1738">
        <v>1395.1120605000001</v>
      </c>
      <c r="J1738">
        <v>1375.3206786999999</v>
      </c>
      <c r="K1738">
        <v>0</v>
      </c>
      <c r="L1738">
        <v>2400</v>
      </c>
      <c r="M1738">
        <v>2400</v>
      </c>
      <c r="N1738">
        <v>0</v>
      </c>
    </row>
    <row r="1739" spans="1:14" x14ac:dyDescent="0.25">
      <c r="A1739">
        <v>1311.528446</v>
      </c>
      <c r="B1739" s="1">
        <f>DATE(2013,12,2) + TIME(12,40,57)</f>
        <v>41610.528437499997</v>
      </c>
      <c r="C1739">
        <v>80</v>
      </c>
      <c r="D1739">
        <v>76.919425963999998</v>
      </c>
      <c r="E1739">
        <v>50</v>
      </c>
      <c r="F1739">
        <v>49.974399566999999</v>
      </c>
      <c r="G1739">
        <v>1302.0853271000001</v>
      </c>
      <c r="H1739">
        <v>1289.5252685999999</v>
      </c>
      <c r="I1739">
        <v>1395.1076660000001</v>
      </c>
      <c r="J1739">
        <v>1375.3171387</v>
      </c>
      <c r="K1739">
        <v>0</v>
      </c>
      <c r="L1739">
        <v>2400</v>
      </c>
      <c r="M1739">
        <v>2400</v>
      </c>
      <c r="N1739">
        <v>0</v>
      </c>
    </row>
    <row r="1740" spans="1:14" x14ac:dyDescent="0.25">
      <c r="A1740">
        <v>1313.095971</v>
      </c>
      <c r="B1740" s="1">
        <f>DATE(2013,12,4) + TIME(2,18,11)</f>
        <v>41612.095960648148</v>
      </c>
      <c r="C1740">
        <v>80</v>
      </c>
      <c r="D1740">
        <v>76.800140381000006</v>
      </c>
      <c r="E1740">
        <v>50</v>
      </c>
      <c r="F1740">
        <v>49.974418640000003</v>
      </c>
      <c r="G1740">
        <v>1302.0144043</v>
      </c>
      <c r="H1740">
        <v>1289.4407959</v>
      </c>
      <c r="I1740">
        <v>1395.0610352000001</v>
      </c>
      <c r="J1740">
        <v>1375.2795410000001</v>
      </c>
      <c r="K1740">
        <v>0</v>
      </c>
      <c r="L1740">
        <v>2400</v>
      </c>
      <c r="M1740">
        <v>2400</v>
      </c>
      <c r="N1740">
        <v>0</v>
      </c>
    </row>
    <row r="1741" spans="1:14" x14ac:dyDescent="0.25">
      <c r="A1741">
        <v>1314.7183319999999</v>
      </c>
      <c r="B1741" s="1">
        <f>DATE(2013,12,5) + TIME(17,14,23)</f>
        <v>41613.718321759261</v>
      </c>
      <c r="C1741">
        <v>80</v>
      </c>
      <c r="D1741">
        <v>76.677070618000002</v>
      </c>
      <c r="E1741">
        <v>50</v>
      </c>
      <c r="F1741">
        <v>49.974437713999997</v>
      </c>
      <c r="G1741">
        <v>1301.9400635</v>
      </c>
      <c r="H1741">
        <v>1289.3513184000001</v>
      </c>
      <c r="I1741">
        <v>1395.0151367000001</v>
      </c>
      <c r="J1741">
        <v>1375.2426757999999</v>
      </c>
      <c r="K1741">
        <v>0</v>
      </c>
      <c r="L1741">
        <v>2400</v>
      </c>
      <c r="M1741">
        <v>2400</v>
      </c>
      <c r="N1741">
        <v>0</v>
      </c>
    </row>
    <row r="1742" spans="1:14" x14ac:dyDescent="0.25">
      <c r="A1742">
        <v>1316.4161859999999</v>
      </c>
      <c r="B1742" s="1">
        <f>DATE(2013,12,7) + TIME(9,59,18)</f>
        <v>41615.416180555556</v>
      </c>
      <c r="C1742">
        <v>80</v>
      </c>
      <c r="D1742">
        <v>76.550582886000001</v>
      </c>
      <c r="E1742">
        <v>50</v>
      </c>
      <c r="F1742">
        <v>49.974460602000001</v>
      </c>
      <c r="G1742">
        <v>1301.8615723</v>
      </c>
      <c r="H1742">
        <v>1289.2563477000001</v>
      </c>
      <c r="I1742">
        <v>1394.9696045000001</v>
      </c>
      <c r="J1742">
        <v>1375.2061768000001</v>
      </c>
      <c r="K1742">
        <v>0</v>
      </c>
      <c r="L1742">
        <v>2400</v>
      </c>
      <c r="M1742">
        <v>2400</v>
      </c>
      <c r="N1742">
        <v>0</v>
      </c>
    </row>
    <row r="1743" spans="1:14" x14ac:dyDescent="0.25">
      <c r="A1743">
        <v>1318.193127</v>
      </c>
      <c r="B1743" s="1">
        <f>DATE(2013,12,9) + TIME(4,38,6)</f>
        <v>41617.193124999998</v>
      </c>
      <c r="C1743">
        <v>80</v>
      </c>
      <c r="D1743">
        <v>76.420303344999994</v>
      </c>
      <c r="E1743">
        <v>50</v>
      </c>
      <c r="F1743">
        <v>49.974483489999997</v>
      </c>
      <c r="G1743">
        <v>1301.7777100000001</v>
      </c>
      <c r="H1743">
        <v>1289.1544189000001</v>
      </c>
      <c r="I1743">
        <v>1394.9239502</v>
      </c>
      <c r="J1743">
        <v>1375.1694336</v>
      </c>
      <c r="K1743">
        <v>0</v>
      </c>
      <c r="L1743">
        <v>2400</v>
      </c>
      <c r="M1743">
        <v>2400</v>
      </c>
      <c r="N1743">
        <v>0</v>
      </c>
    </row>
    <row r="1744" spans="1:14" x14ac:dyDescent="0.25">
      <c r="A1744">
        <v>1320.0049280000001</v>
      </c>
      <c r="B1744" s="1">
        <f>DATE(2013,12,11) + TIME(0,7,5)</f>
        <v>41619.004918981482</v>
      </c>
      <c r="C1744">
        <v>80</v>
      </c>
      <c r="D1744">
        <v>76.287162781000006</v>
      </c>
      <c r="E1744">
        <v>50</v>
      </c>
      <c r="F1744">
        <v>49.974506378000001</v>
      </c>
      <c r="G1744">
        <v>1301.6881103999999</v>
      </c>
      <c r="H1744">
        <v>1289.0449219</v>
      </c>
      <c r="I1744">
        <v>1394.8781738</v>
      </c>
      <c r="J1744">
        <v>1375.1325684000001</v>
      </c>
      <c r="K1744">
        <v>0</v>
      </c>
      <c r="L1744">
        <v>2400</v>
      </c>
      <c r="M1744">
        <v>2400</v>
      </c>
      <c r="N1744">
        <v>0</v>
      </c>
    </row>
    <row r="1745" spans="1:14" x14ac:dyDescent="0.25">
      <c r="A1745">
        <v>1321.856299</v>
      </c>
      <c r="B1745" s="1">
        <f>DATE(2013,12,12) + TIME(20,33,4)</f>
        <v>41620.856296296297</v>
      </c>
      <c r="C1745">
        <v>80</v>
      </c>
      <c r="D1745">
        <v>76.152587890999996</v>
      </c>
      <c r="E1745">
        <v>50</v>
      </c>
      <c r="F1745">
        <v>49.974533080999997</v>
      </c>
      <c r="G1745">
        <v>1301.5947266000001</v>
      </c>
      <c r="H1745">
        <v>1288.9300536999999</v>
      </c>
      <c r="I1745">
        <v>1394.833374</v>
      </c>
      <c r="J1745">
        <v>1375.0964355000001</v>
      </c>
      <c r="K1745">
        <v>0</v>
      </c>
      <c r="L1745">
        <v>2400</v>
      </c>
      <c r="M1745">
        <v>2400</v>
      </c>
      <c r="N1745">
        <v>0</v>
      </c>
    </row>
    <row r="1746" spans="1:14" x14ac:dyDescent="0.25">
      <c r="A1746">
        <v>1323.739108</v>
      </c>
      <c r="B1746" s="1">
        <f>DATE(2013,12,14) + TIME(17,44,18)</f>
        <v>41622.73909722222</v>
      </c>
      <c r="C1746">
        <v>80</v>
      </c>
      <c r="D1746">
        <v>76.017105103000006</v>
      </c>
      <c r="E1746">
        <v>50</v>
      </c>
      <c r="F1746">
        <v>49.974559784</v>
      </c>
      <c r="G1746">
        <v>1301.4969481999999</v>
      </c>
      <c r="H1746">
        <v>1288.8092041</v>
      </c>
      <c r="I1746">
        <v>1394.7894286999999</v>
      </c>
      <c r="J1746">
        <v>1375.0610352000001</v>
      </c>
      <c r="K1746">
        <v>0</v>
      </c>
      <c r="L1746">
        <v>2400</v>
      </c>
      <c r="M1746">
        <v>2400</v>
      </c>
      <c r="N1746">
        <v>0</v>
      </c>
    </row>
    <row r="1747" spans="1:14" x14ac:dyDescent="0.25">
      <c r="A1747">
        <v>1325.6500599999999</v>
      </c>
      <c r="B1747" s="1">
        <f>DATE(2013,12,16) + TIME(15,36,5)</f>
        <v>41624.650057870371</v>
      </c>
      <c r="C1747">
        <v>80</v>
      </c>
      <c r="D1747">
        <v>75.881195067999997</v>
      </c>
      <c r="E1747">
        <v>50</v>
      </c>
      <c r="F1747">
        <v>49.974586487000003</v>
      </c>
      <c r="G1747">
        <v>1301.3952637</v>
      </c>
      <c r="H1747">
        <v>1288.6827393000001</v>
      </c>
      <c r="I1747">
        <v>1394.7463379000001</v>
      </c>
      <c r="J1747">
        <v>1375.0263672000001</v>
      </c>
      <c r="K1747">
        <v>0</v>
      </c>
      <c r="L1747">
        <v>2400</v>
      </c>
      <c r="M1747">
        <v>2400</v>
      </c>
      <c r="N1747">
        <v>0</v>
      </c>
    </row>
    <row r="1748" spans="1:14" x14ac:dyDescent="0.25">
      <c r="A1748">
        <v>1327.5942299999999</v>
      </c>
      <c r="B1748" s="1">
        <f>DATE(2013,12,18) + TIME(14,15,41)</f>
        <v>41626.594224537039</v>
      </c>
      <c r="C1748">
        <v>80</v>
      </c>
      <c r="D1748">
        <v>75.744964600000003</v>
      </c>
      <c r="E1748">
        <v>50</v>
      </c>
      <c r="F1748">
        <v>49.974613189999999</v>
      </c>
      <c r="G1748">
        <v>1301.2894286999999</v>
      </c>
      <c r="H1748">
        <v>1288.5506591999999</v>
      </c>
      <c r="I1748">
        <v>1394.7043457</v>
      </c>
      <c r="J1748">
        <v>1374.9924315999999</v>
      </c>
      <c r="K1748">
        <v>0</v>
      </c>
      <c r="L1748">
        <v>2400</v>
      </c>
      <c r="M1748">
        <v>2400</v>
      </c>
      <c r="N1748">
        <v>0</v>
      </c>
    </row>
    <row r="1749" spans="1:14" x14ac:dyDescent="0.25">
      <c r="A1749">
        <v>1329.5771070000001</v>
      </c>
      <c r="B1749" s="1">
        <f>DATE(2013,12,20) + TIME(13,51,2)</f>
        <v>41628.577106481483</v>
      </c>
      <c r="C1749">
        <v>80</v>
      </c>
      <c r="D1749">
        <v>75.608184813999998</v>
      </c>
      <c r="E1749">
        <v>50</v>
      </c>
      <c r="F1749">
        <v>49.974639893000003</v>
      </c>
      <c r="G1749">
        <v>1301.1793213000001</v>
      </c>
      <c r="H1749">
        <v>1288.4121094</v>
      </c>
      <c r="I1749">
        <v>1394.6632079999999</v>
      </c>
      <c r="J1749">
        <v>1374.9591064000001</v>
      </c>
      <c r="K1749">
        <v>0</v>
      </c>
      <c r="L1749">
        <v>2400</v>
      </c>
      <c r="M1749">
        <v>2400</v>
      </c>
      <c r="N1749">
        <v>0</v>
      </c>
    </row>
    <row r="1750" spans="1:14" x14ac:dyDescent="0.25">
      <c r="A1750">
        <v>1331.603083</v>
      </c>
      <c r="B1750" s="1">
        <f>DATE(2013,12,22) + TIME(14,28,26)</f>
        <v>41630.603078703702</v>
      </c>
      <c r="C1750">
        <v>80</v>
      </c>
      <c r="D1750">
        <v>75.470542907999999</v>
      </c>
      <c r="E1750">
        <v>50</v>
      </c>
      <c r="F1750">
        <v>49.974670410000002</v>
      </c>
      <c r="G1750">
        <v>1301.0642089999999</v>
      </c>
      <c r="H1750">
        <v>1288.2668457</v>
      </c>
      <c r="I1750">
        <v>1394.6226807</v>
      </c>
      <c r="J1750">
        <v>1374.9262695</v>
      </c>
      <c r="K1750">
        <v>0</v>
      </c>
      <c r="L1750">
        <v>2400</v>
      </c>
      <c r="M1750">
        <v>2400</v>
      </c>
      <c r="N1750">
        <v>0</v>
      </c>
    </row>
    <row r="1751" spans="1:14" x14ac:dyDescent="0.25">
      <c r="A1751">
        <v>1333.6611869999999</v>
      </c>
      <c r="B1751" s="1">
        <f>DATE(2013,12,24) + TIME(15,52,6)</f>
        <v>41632.661180555559</v>
      </c>
      <c r="C1751">
        <v>80</v>
      </c>
      <c r="D1751">
        <v>75.332015991000006</v>
      </c>
      <c r="E1751">
        <v>50</v>
      </c>
      <c r="F1751">
        <v>49.974697112999998</v>
      </c>
      <c r="G1751">
        <v>1300.9438477000001</v>
      </c>
      <c r="H1751">
        <v>1288.1140137</v>
      </c>
      <c r="I1751">
        <v>1394.5826416</v>
      </c>
      <c r="J1751">
        <v>1374.8939209</v>
      </c>
      <c r="K1751">
        <v>0</v>
      </c>
      <c r="L1751">
        <v>2400</v>
      </c>
      <c r="M1751">
        <v>2400</v>
      </c>
      <c r="N1751">
        <v>0</v>
      </c>
    </row>
    <row r="1752" spans="1:14" x14ac:dyDescent="0.25">
      <c r="A1752">
        <v>1335.745883</v>
      </c>
      <c r="B1752" s="1">
        <f>DATE(2013,12,26) + TIME(17,54,4)</f>
        <v>41634.745879629627</v>
      </c>
      <c r="C1752">
        <v>80</v>
      </c>
      <c r="D1752">
        <v>75.192993164000001</v>
      </c>
      <c r="E1752">
        <v>50</v>
      </c>
      <c r="F1752">
        <v>49.974727631</v>
      </c>
      <c r="G1752">
        <v>1300.8184814000001</v>
      </c>
      <c r="H1752">
        <v>1287.9539795000001</v>
      </c>
      <c r="I1752">
        <v>1394.543457</v>
      </c>
      <c r="J1752">
        <v>1374.8620605000001</v>
      </c>
      <c r="K1752">
        <v>0</v>
      </c>
      <c r="L1752">
        <v>2400</v>
      </c>
      <c r="M1752">
        <v>2400</v>
      </c>
      <c r="N1752">
        <v>0</v>
      </c>
    </row>
    <row r="1753" spans="1:14" x14ac:dyDescent="0.25">
      <c r="A1753">
        <v>1337.8608919999999</v>
      </c>
      <c r="B1753" s="1">
        <f>DATE(2013,12,28) + TIME(20,39,41)</f>
        <v>41636.860891203702</v>
      </c>
      <c r="C1753">
        <v>80</v>
      </c>
      <c r="D1753">
        <v>75.053649902000004</v>
      </c>
      <c r="E1753">
        <v>50</v>
      </c>
      <c r="F1753">
        <v>49.974758147999999</v>
      </c>
      <c r="G1753">
        <v>1300.6883545000001</v>
      </c>
      <c r="H1753">
        <v>1287.7872314000001</v>
      </c>
      <c r="I1753">
        <v>1394.5048827999999</v>
      </c>
      <c r="J1753">
        <v>1374.8308105000001</v>
      </c>
      <c r="K1753">
        <v>0</v>
      </c>
      <c r="L1753">
        <v>2400</v>
      </c>
      <c r="M1753">
        <v>2400</v>
      </c>
      <c r="N1753">
        <v>0</v>
      </c>
    </row>
    <row r="1754" spans="1:14" x14ac:dyDescent="0.25">
      <c r="A1754">
        <v>1340.008491</v>
      </c>
      <c r="B1754" s="1">
        <f>DATE(2013,12,31) + TIME(0,12,13)</f>
        <v>41639.008483796293</v>
      </c>
      <c r="C1754">
        <v>80</v>
      </c>
      <c r="D1754">
        <v>74.913803100999999</v>
      </c>
      <c r="E1754">
        <v>50</v>
      </c>
      <c r="F1754">
        <v>49.974788666000002</v>
      </c>
      <c r="G1754">
        <v>1300.5531006000001</v>
      </c>
      <c r="H1754">
        <v>1287.6129149999999</v>
      </c>
      <c r="I1754">
        <v>1394.4671631000001</v>
      </c>
      <c r="J1754">
        <v>1374.8000488</v>
      </c>
      <c r="K1754">
        <v>0</v>
      </c>
      <c r="L1754">
        <v>2400</v>
      </c>
      <c r="M1754">
        <v>2400</v>
      </c>
      <c r="N1754">
        <v>0</v>
      </c>
    </row>
    <row r="1755" spans="1:14" x14ac:dyDescent="0.25">
      <c r="A1755">
        <v>1341</v>
      </c>
      <c r="B1755" s="1">
        <f>DATE(2014,1,1) + TIME(0,0,0)</f>
        <v>41640</v>
      </c>
      <c r="C1755">
        <v>80</v>
      </c>
      <c r="D1755">
        <v>74.808639525999993</v>
      </c>
      <c r="E1755">
        <v>50</v>
      </c>
      <c r="F1755">
        <v>49.974800109999997</v>
      </c>
      <c r="G1755">
        <v>1300.4149170000001</v>
      </c>
      <c r="H1755">
        <v>1287.4401855000001</v>
      </c>
      <c r="I1755">
        <v>1394.4294434000001</v>
      </c>
      <c r="J1755">
        <v>1374.7691649999999</v>
      </c>
      <c r="K1755">
        <v>0</v>
      </c>
      <c r="L1755">
        <v>2400</v>
      </c>
      <c r="M1755">
        <v>2400</v>
      </c>
      <c r="N1755">
        <v>0</v>
      </c>
    </row>
    <row r="1756" spans="1:14" x14ac:dyDescent="0.25">
      <c r="A1756">
        <v>1343.1675230000001</v>
      </c>
      <c r="B1756" s="1">
        <f>DATE(2014,1,3) + TIME(4,1,13)</f>
        <v>41642.167511574073</v>
      </c>
      <c r="C1756">
        <v>80</v>
      </c>
      <c r="D1756">
        <v>74.697708129999995</v>
      </c>
      <c r="E1756">
        <v>50</v>
      </c>
      <c r="F1756">
        <v>49.974834442000002</v>
      </c>
      <c r="G1756">
        <v>1300.3420410000001</v>
      </c>
      <c r="H1756">
        <v>1287.3364257999999</v>
      </c>
      <c r="I1756">
        <v>1394.4132079999999</v>
      </c>
      <c r="J1756">
        <v>1374.7559814000001</v>
      </c>
      <c r="K1756">
        <v>0</v>
      </c>
      <c r="L1756">
        <v>2400</v>
      </c>
      <c r="M1756">
        <v>2400</v>
      </c>
      <c r="N1756">
        <v>0</v>
      </c>
    </row>
    <row r="1757" spans="1:14" x14ac:dyDescent="0.25">
      <c r="A1757">
        <v>1345.3736699999999</v>
      </c>
      <c r="B1757" s="1">
        <f>DATE(2014,1,5) + TIME(8,58,5)</f>
        <v>41644.373668981483</v>
      </c>
      <c r="C1757">
        <v>80</v>
      </c>
      <c r="D1757">
        <v>74.565536499000004</v>
      </c>
      <c r="E1757">
        <v>50</v>
      </c>
      <c r="F1757">
        <v>49.974868774000001</v>
      </c>
      <c r="G1757">
        <v>1300.1979980000001</v>
      </c>
      <c r="H1757">
        <v>1287.1508789</v>
      </c>
      <c r="I1757">
        <v>1394.3773193</v>
      </c>
      <c r="J1757">
        <v>1374.7266846</v>
      </c>
      <c r="K1757">
        <v>0</v>
      </c>
      <c r="L1757">
        <v>2400</v>
      </c>
      <c r="M1757">
        <v>2400</v>
      </c>
      <c r="N1757">
        <v>0</v>
      </c>
    </row>
    <row r="1758" spans="1:14" x14ac:dyDescent="0.25">
      <c r="A1758">
        <v>1347.611161</v>
      </c>
      <c r="B1758" s="1">
        <f>DATE(2014,1,7) + TIME(14,40,4)</f>
        <v>41646.611157407409</v>
      </c>
      <c r="C1758">
        <v>80</v>
      </c>
      <c r="D1758">
        <v>74.426467896000005</v>
      </c>
      <c r="E1758">
        <v>50</v>
      </c>
      <c r="F1758">
        <v>49.974899292000003</v>
      </c>
      <c r="G1758">
        <v>1300.0457764</v>
      </c>
      <c r="H1758">
        <v>1286.9523925999999</v>
      </c>
      <c r="I1758">
        <v>1394.3417969</v>
      </c>
      <c r="J1758">
        <v>1374.6976318</v>
      </c>
      <c r="K1758">
        <v>0</v>
      </c>
      <c r="L1758">
        <v>2400</v>
      </c>
      <c r="M1758">
        <v>2400</v>
      </c>
      <c r="N1758">
        <v>0</v>
      </c>
    </row>
    <row r="1759" spans="1:14" x14ac:dyDescent="0.25">
      <c r="A1759">
        <v>1349.8851340000001</v>
      </c>
      <c r="B1759" s="1">
        <f>DATE(2014,1,9) + TIME(21,14,35)</f>
        <v>41648.885127314818</v>
      </c>
      <c r="C1759">
        <v>80</v>
      </c>
      <c r="D1759">
        <v>74.284599303999997</v>
      </c>
      <c r="E1759">
        <v>50</v>
      </c>
      <c r="F1759">
        <v>49.974933624000002</v>
      </c>
      <c r="G1759">
        <v>1299.8873291</v>
      </c>
      <c r="H1759">
        <v>1286.7442627</v>
      </c>
      <c r="I1759">
        <v>1394.3067627</v>
      </c>
      <c r="J1759">
        <v>1374.6689452999999</v>
      </c>
      <c r="K1759">
        <v>0</v>
      </c>
      <c r="L1759">
        <v>2400</v>
      </c>
      <c r="M1759">
        <v>2400</v>
      </c>
      <c r="N1759">
        <v>0</v>
      </c>
    </row>
    <row r="1760" spans="1:14" x14ac:dyDescent="0.25">
      <c r="A1760">
        <v>1352.2002110000001</v>
      </c>
      <c r="B1760" s="1">
        <f>DATE(2014,1,12) + TIME(4,48,18)</f>
        <v>41651.200208333335</v>
      </c>
      <c r="C1760">
        <v>80</v>
      </c>
      <c r="D1760">
        <v>74.140769958000007</v>
      </c>
      <c r="E1760">
        <v>50</v>
      </c>
      <c r="F1760">
        <v>49.974967956999997</v>
      </c>
      <c r="G1760">
        <v>1299.7222899999999</v>
      </c>
      <c r="H1760">
        <v>1286.5266113</v>
      </c>
      <c r="I1760">
        <v>1394.2722168</v>
      </c>
      <c r="J1760">
        <v>1374.640625</v>
      </c>
      <c r="K1760">
        <v>0</v>
      </c>
      <c r="L1760">
        <v>2400</v>
      </c>
      <c r="M1760">
        <v>2400</v>
      </c>
      <c r="N1760">
        <v>0</v>
      </c>
    </row>
    <row r="1761" spans="1:14" x14ac:dyDescent="0.25">
      <c r="A1761">
        <v>1354.5586330000001</v>
      </c>
      <c r="B1761" s="1">
        <f>DATE(2014,1,14) + TIME(13,24,25)</f>
        <v>41653.558622685188</v>
      </c>
      <c r="C1761">
        <v>80</v>
      </c>
      <c r="D1761">
        <v>73.994911193999997</v>
      </c>
      <c r="E1761">
        <v>50</v>
      </c>
      <c r="F1761">
        <v>49.975002289000003</v>
      </c>
      <c r="G1761">
        <v>1299.5505370999999</v>
      </c>
      <c r="H1761">
        <v>1286.2991943</v>
      </c>
      <c r="I1761">
        <v>1394.2379149999999</v>
      </c>
      <c r="J1761">
        <v>1374.6124268000001</v>
      </c>
      <c r="K1761">
        <v>0</v>
      </c>
      <c r="L1761">
        <v>2400</v>
      </c>
      <c r="M1761">
        <v>2400</v>
      </c>
      <c r="N1761">
        <v>0</v>
      </c>
    </row>
    <row r="1762" spans="1:14" x14ac:dyDescent="0.25">
      <c r="A1762">
        <v>1356.948026</v>
      </c>
      <c r="B1762" s="1">
        <f>DATE(2014,1,16) + TIME(22,45,9)</f>
        <v>41655.948020833333</v>
      </c>
      <c r="C1762">
        <v>80</v>
      </c>
      <c r="D1762">
        <v>73.847023010000001</v>
      </c>
      <c r="E1762">
        <v>50</v>
      </c>
      <c r="F1762">
        <v>49.975036621000001</v>
      </c>
      <c r="G1762">
        <v>1299.3718262</v>
      </c>
      <c r="H1762">
        <v>1286.0615233999999</v>
      </c>
      <c r="I1762">
        <v>1394.2039795000001</v>
      </c>
      <c r="J1762">
        <v>1374.5844727000001</v>
      </c>
      <c r="K1762">
        <v>0</v>
      </c>
      <c r="L1762">
        <v>2400</v>
      </c>
      <c r="M1762">
        <v>2400</v>
      </c>
      <c r="N1762">
        <v>0</v>
      </c>
    </row>
    <row r="1763" spans="1:14" x14ac:dyDescent="0.25">
      <c r="A1763">
        <v>1359.3623680000001</v>
      </c>
      <c r="B1763" s="1">
        <f>DATE(2014,1,19) + TIME(8,41,48)</f>
        <v>41658.362361111111</v>
      </c>
      <c r="C1763">
        <v>80</v>
      </c>
      <c r="D1763">
        <v>73.697418213000006</v>
      </c>
      <c r="E1763">
        <v>50</v>
      </c>
      <c r="F1763">
        <v>49.975070952999999</v>
      </c>
      <c r="G1763">
        <v>1299.1866454999999</v>
      </c>
      <c r="H1763">
        <v>1285.8144531</v>
      </c>
      <c r="I1763">
        <v>1394.1702881000001</v>
      </c>
      <c r="J1763">
        <v>1374.5567627</v>
      </c>
      <c r="K1763">
        <v>0</v>
      </c>
      <c r="L1763">
        <v>2400</v>
      </c>
      <c r="M1763">
        <v>2400</v>
      </c>
      <c r="N1763">
        <v>0</v>
      </c>
    </row>
    <row r="1764" spans="1:14" x14ac:dyDescent="0.25">
      <c r="A1764">
        <v>1361.8073019999999</v>
      </c>
      <c r="B1764" s="1">
        <f>DATE(2014,1,21) + TIME(19,22,30)</f>
        <v>41660.807291666664</v>
      </c>
      <c r="C1764">
        <v>80</v>
      </c>
      <c r="D1764">
        <v>73.546104431000003</v>
      </c>
      <c r="E1764">
        <v>50</v>
      </c>
      <c r="F1764">
        <v>49.975109099999997</v>
      </c>
      <c r="G1764">
        <v>1298.9954834</v>
      </c>
      <c r="H1764">
        <v>1285.5583495999999</v>
      </c>
      <c r="I1764">
        <v>1394.137207</v>
      </c>
      <c r="J1764">
        <v>1374.5294189000001</v>
      </c>
      <c r="K1764">
        <v>0</v>
      </c>
      <c r="L1764">
        <v>2400</v>
      </c>
      <c r="M1764">
        <v>2400</v>
      </c>
      <c r="N1764">
        <v>0</v>
      </c>
    </row>
    <row r="1765" spans="1:14" x14ac:dyDescent="0.25">
      <c r="A1765">
        <v>1364.287836</v>
      </c>
      <c r="B1765" s="1">
        <f>DATE(2014,1,24) + TIME(6,54,29)</f>
        <v>41663.287835648145</v>
      </c>
      <c r="C1765">
        <v>80</v>
      </c>
      <c r="D1765">
        <v>73.392654418999996</v>
      </c>
      <c r="E1765">
        <v>50</v>
      </c>
      <c r="F1765">
        <v>49.975143433</v>
      </c>
      <c r="G1765">
        <v>1298.7978516000001</v>
      </c>
      <c r="H1765">
        <v>1285.2926024999999</v>
      </c>
      <c r="I1765">
        <v>1394.1046143000001</v>
      </c>
      <c r="J1765">
        <v>1374.5024414</v>
      </c>
      <c r="K1765">
        <v>0</v>
      </c>
      <c r="L1765">
        <v>2400</v>
      </c>
      <c r="M1765">
        <v>2400</v>
      </c>
      <c r="N1765">
        <v>0</v>
      </c>
    </row>
    <row r="1766" spans="1:14" x14ac:dyDescent="0.25">
      <c r="A1766">
        <v>1366.8088769999999</v>
      </c>
      <c r="B1766" s="1">
        <f>DATE(2014,1,26) + TIME(19,24,46)</f>
        <v>41665.808865740742</v>
      </c>
      <c r="C1766">
        <v>80</v>
      </c>
      <c r="D1766">
        <v>73.236518860000004</v>
      </c>
      <c r="E1766">
        <v>50</v>
      </c>
      <c r="F1766">
        <v>49.975181579999997</v>
      </c>
      <c r="G1766">
        <v>1298.5932617000001</v>
      </c>
      <c r="H1766">
        <v>1285.0166016000001</v>
      </c>
      <c r="I1766">
        <v>1394.0721435999999</v>
      </c>
      <c r="J1766">
        <v>1374.4755858999999</v>
      </c>
      <c r="K1766">
        <v>0</v>
      </c>
      <c r="L1766">
        <v>2400</v>
      </c>
      <c r="M1766">
        <v>2400</v>
      </c>
      <c r="N1766">
        <v>0</v>
      </c>
    </row>
    <row r="1767" spans="1:14" x14ac:dyDescent="0.25">
      <c r="A1767">
        <v>1369.375274</v>
      </c>
      <c r="B1767" s="1">
        <f>DATE(2014,1,29) + TIME(9,0,23)</f>
        <v>41668.3752662037</v>
      </c>
      <c r="C1767">
        <v>80</v>
      </c>
      <c r="D1767">
        <v>73.077125549000002</v>
      </c>
      <c r="E1767">
        <v>50</v>
      </c>
      <c r="F1767">
        <v>49.975219727000002</v>
      </c>
      <c r="G1767">
        <v>1298.3812256000001</v>
      </c>
      <c r="H1767">
        <v>1284.7296143000001</v>
      </c>
      <c r="I1767">
        <v>1394.0400391000001</v>
      </c>
      <c r="J1767">
        <v>1374.4488524999999</v>
      </c>
      <c r="K1767">
        <v>0</v>
      </c>
      <c r="L1767">
        <v>2400</v>
      </c>
      <c r="M1767">
        <v>2400</v>
      </c>
      <c r="N1767">
        <v>0</v>
      </c>
    </row>
    <row r="1768" spans="1:14" x14ac:dyDescent="0.25">
      <c r="A1768">
        <v>1372</v>
      </c>
      <c r="B1768" s="1">
        <f>DATE(2014,2,1) + TIME(0,0,0)</f>
        <v>41671</v>
      </c>
      <c r="C1768">
        <v>80</v>
      </c>
      <c r="D1768">
        <v>72.913719177000004</v>
      </c>
      <c r="E1768">
        <v>50</v>
      </c>
      <c r="F1768">
        <v>49.975257874</v>
      </c>
      <c r="G1768">
        <v>1298.1612548999999</v>
      </c>
      <c r="H1768">
        <v>1284.4307861</v>
      </c>
      <c r="I1768">
        <v>1394.0079346</v>
      </c>
      <c r="J1768">
        <v>1374.4221190999999</v>
      </c>
      <c r="K1768">
        <v>0</v>
      </c>
      <c r="L1768">
        <v>2400</v>
      </c>
      <c r="M1768">
        <v>2400</v>
      </c>
      <c r="N1768">
        <v>0</v>
      </c>
    </row>
    <row r="1769" spans="1:14" x14ac:dyDescent="0.25">
      <c r="A1769">
        <v>1374.6166599999999</v>
      </c>
      <c r="B1769" s="1">
        <f>DATE(2014,2,3) + TIME(14,47,59)</f>
        <v>41673.616655092592</v>
      </c>
      <c r="C1769">
        <v>80</v>
      </c>
      <c r="D1769">
        <v>72.746414185000006</v>
      </c>
      <c r="E1769">
        <v>50</v>
      </c>
      <c r="F1769">
        <v>49.975296020999998</v>
      </c>
      <c r="G1769">
        <v>1297.9323730000001</v>
      </c>
      <c r="H1769">
        <v>1284.1191406</v>
      </c>
      <c r="I1769">
        <v>1393.9758300999999</v>
      </c>
      <c r="J1769">
        <v>1374.3953856999999</v>
      </c>
      <c r="K1769">
        <v>0</v>
      </c>
      <c r="L1769">
        <v>2400</v>
      </c>
      <c r="M1769">
        <v>2400</v>
      </c>
      <c r="N1769">
        <v>0</v>
      </c>
    </row>
    <row r="1770" spans="1:14" x14ac:dyDescent="0.25">
      <c r="A1770">
        <v>1377.328297</v>
      </c>
      <c r="B1770" s="1">
        <f>DATE(2014,2,6) + TIME(7,52,44)</f>
        <v>41676.328287037039</v>
      </c>
      <c r="C1770">
        <v>80</v>
      </c>
      <c r="D1770">
        <v>72.575614928999997</v>
      </c>
      <c r="E1770">
        <v>50</v>
      </c>
      <c r="F1770">
        <v>49.975334167</v>
      </c>
      <c r="G1770">
        <v>1297.6990966999999</v>
      </c>
      <c r="H1770">
        <v>1283.7999268000001</v>
      </c>
      <c r="I1770">
        <v>1393.9445800999999</v>
      </c>
      <c r="J1770">
        <v>1374.3692627</v>
      </c>
      <c r="K1770">
        <v>0</v>
      </c>
      <c r="L1770">
        <v>2400</v>
      </c>
      <c r="M1770">
        <v>2400</v>
      </c>
      <c r="N1770">
        <v>0</v>
      </c>
    </row>
    <row r="1771" spans="1:14" x14ac:dyDescent="0.25">
      <c r="A1771">
        <v>1380.0682429999999</v>
      </c>
      <c r="B1771" s="1">
        <f>DATE(2014,2,9) + TIME(1,38,16)</f>
        <v>41679.068240740744</v>
      </c>
      <c r="C1771">
        <v>80</v>
      </c>
      <c r="D1771">
        <v>72.398590088000006</v>
      </c>
      <c r="E1771">
        <v>50</v>
      </c>
      <c r="F1771">
        <v>49.975376128999997</v>
      </c>
      <c r="G1771">
        <v>1297.4541016000001</v>
      </c>
      <c r="H1771">
        <v>1283.4642334</v>
      </c>
      <c r="I1771">
        <v>1393.9127197</v>
      </c>
      <c r="J1771">
        <v>1374.3426514</v>
      </c>
      <c r="K1771">
        <v>0</v>
      </c>
      <c r="L1771">
        <v>2400</v>
      </c>
      <c r="M1771">
        <v>2400</v>
      </c>
      <c r="N1771">
        <v>0</v>
      </c>
    </row>
    <row r="1772" spans="1:14" x14ac:dyDescent="0.25">
      <c r="A1772">
        <v>1382.8429610000001</v>
      </c>
      <c r="B1772" s="1">
        <f>DATE(2014,2,11) + TIME(20,13,51)</f>
        <v>41681.842951388891</v>
      </c>
      <c r="C1772">
        <v>80</v>
      </c>
      <c r="D1772">
        <v>72.216522217000005</v>
      </c>
      <c r="E1772">
        <v>50</v>
      </c>
      <c r="F1772">
        <v>49.975414276000002</v>
      </c>
      <c r="G1772">
        <v>1297.2017822</v>
      </c>
      <c r="H1772">
        <v>1283.1170654</v>
      </c>
      <c r="I1772">
        <v>1393.8812256000001</v>
      </c>
      <c r="J1772">
        <v>1374.3162841999999</v>
      </c>
      <c r="K1772">
        <v>0</v>
      </c>
      <c r="L1772">
        <v>2400</v>
      </c>
      <c r="M1772">
        <v>2400</v>
      </c>
      <c r="N1772">
        <v>0</v>
      </c>
    </row>
    <row r="1773" spans="1:14" x14ac:dyDescent="0.25">
      <c r="A1773">
        <v>1385.658441</v>
      </c>
      <c r="B1773" s="1">
        <f>DATE(2014,2,14) + TIME(15,48,9)</f>
        <v>41684.658437500002</v>
      </c>
      <c r="C1773">
        <v>80</v>
      </c>
      <c r="D1773">
        <v>72.029029846</v>
      </c>
      <c r="E1773">
        <v>50</v>
      </c>
      <c r="F1773">
        <v>49.975456238</v>
      </c>
      <c r="G1773">
        <v>1296.9418945</v>
      </c>
      <c r="H1773">
        <v>1282.7585449000001</v>
      </c>
      <c r="I1773">
        <v>1393.8498535000001</v>
      </c>
      <c r="J1773">
        <v>1374.2899170000001</v>
      </c>
      <c r="K1773">
        <v>0</v>
      </c>
      <c r="L1773">
        <v>2400</v>
      </c>
      <c r="M1773">
        <v>2400</v>
      </c>
      <c r="N1773">
        <v>0</v>
      </c>
    </row>
    <row r="1774" spans="1:14" x14ac:dyDescent="0.25">
      <c r="A1774">
        <v>1388.520583</v>
      </c>
      <c r="B1774" s="1">
        <f>DATE(2014,2,17) + TIME(12,29,38)</f>
        <v>41687.520578703705</v>
      </c>
      <c r="C1774">
        <v>80</v>
      </c>
      <c r="D1774">
        <v>71.835319518999995</v>
      </c>
      <c r="E1774">
        <v>50</v>
      </c>
      <c r="F1774">
        <v>49.975494384999998</v>
      </c>
      <c r="G1774">
        <v>1296.6740723</v>
      </c>
      <c r="H1774">
        <v>1282.3878173999999</v>
      </c>
      <c r="I1774">
        <v>1393.8186035000001</v>
      </c>
      <c r="J1774">
        <v>1374.2636719</v>
      </c>
      <c r="K1774">
        <v>0</v>
      </c>
      <c r="L1774">
        <v>2400</v>
      </c>
      <c r="M1774">
        <v>2400</v>
      </c>
      <c r="N1774">
        <v>0</v>
      </c>
    </row>
    <row r="1775" spans="1:14" x14ac:dyDescent="0.25">
      <c r="A1775">
        <v>1391.4352940000001</v>
      </c>
      <c r="B1775" s="1">
        <f>DATE(2014,2,20) + TIME(10,26,49)</f>
        <v>41690.435289351852</v>
      </c>
      <c r="C1775">
        <v>80</v>
      </c>
      <c r="D1775">
        <v>71.634460449000002</v>
      </c>
      <c r="E1775">
        <v>50</v>
      </c>
      <c r="F1775">
        <v>49.975536345999998</v>
      </c>
      <c r="G1775">
        <v>1296.3977050999999</v>
      </c>
      <c r="H1775">
        <v>1282.0040283000001</v>
      </c>
      <c r="I1775">
        <v>1393.7873535000001</v>
      </c>
      <c r="J1775">
        <v>1374.2373047000001</v>
      </c>
      <c r="K1775">
        <v>0</v>
      </c>
      <c r="L1775">
        <v>2400</v>
      </c>
      <c r="M1775">
        <v>2400</v>
      </c>
      <c r="N1775">
        <v>0</v>
      </c>
    </row>
    <row r="1776" spans="1:14" x14ac:dyDescent="0.25">
      <c r="A1776">
        <v>1394.3905990000001</v>
      </c>
      <c r="B1776" s="1">
        <f>DATE(2014,2,23) + TIME(9,22,27)</f>
        <v>41693.390590277777</v>
      </c>
      <c r="C1776">
        <v>80</v>
      </c>
      <c r="D1776">
        <v>71.425720214999998</v>
      </c>
      <c r="E1776">
        <v>50</v>
      </c>
      <c r="F1776">
        <v>49.975578308000003</v>
      </c>
      <c r="G1776">
        <v>1296.1123047000001</v>
      </c>
      <c r="H1776">
        <v>1281.6065673999999</v>
      </c>
      <c r="I1776">
        <v>1393.7561035000001</v>
      </c>
      <c r="J1776">
        <v>1374.2108154</v>
      </c>
      <c r="K1776">
        <v>0</v>
      </c>
      <c r="L1776">
        <v>2400</v>
      </c>
      <c r="M1776">
        <v>2400</v>
      </c>
      <c r="N1776">
        <v>0</v>
      </c>
    </row>
    <row r="1777" spans="1:14" x14ac:dyDescent="0.25">
      <c r="A1777">
        <v>1397.376391</v>
      </c>
      <c r="B1777" s="1">
        <f>DATE(2014,2,26) + TIME(9,2,0)</f>
        <v>41696.376388888886</v>
      </c>
      <c r="C1777">
        <v>80</v>
      </c>
      <c r="D1777">
        <v>71.209075928000004</v>
      </c>
      <c r="E1777">
        <v>50</v>
      </c>
      <c r="F1777">
        <v>49.975624084000003</v>
      </c>
      <c r="G1777">
        <v>1295.8187256000001</v>
      </c>
      <c r="H1777">
        <v>1281.1966553</v>
      </c>
      <c r="I1777">
        <v>1393.7248535000001</v>
      </c>
      <c r="J1777">
        <v>1374.1843262</v>
      </c>
      <c r="K1777">
        <v>0</v>
      </c>
      <c r="L1777">
        <v>2400</v>
      </c>
      <c r="M1777">
        <v>2400</v>
      </c>
      <c r="N1777">
        <v>0</v>
      </c>
    </row>
    <row r="1778" spans="1:14" x14ac:dyDescent="0.25">
      <c r="A1778">
        <v>1400</v>
      </c>
      <c r="B1778" s="1">
        <f>DATE(2014,3,1) + TIME(0,0,0)</f>
        <v>41699</v>
      </c>
      <c r="C1778">
        <v>80</v>
      </c>
      <c r="D1778">
        <v>70.991287231000001</v>
      </c>
      <c r="E1778">
        <v>50</v>
      </c>
      <c r="F1778">
        <v>49.975658416999998</v>
      </c>
      <c r="G1778">
        <v>1295.5192870999999</v>
      </c>
      <c r="H1778">
        <v>1280.7790527</v>
      </c>
      <c r="I1778">
        <v>1393.6934814000001</v>
      </c>
      <c r="J1778">
        <v>1374.1578368999999</v>
      </c>
      <c r="K1778">
        <v>0</v>
      </c>
      <c r="L1778">
        <v>2400</v>
      </c>
      <c r="M1778">
        <v>2400</v>
      </c>
      <c r="N1778">
        <v>0</v>
      </c>
    </row>
    <row r="1779" spans="1:14" x14ac:dyDescent="0.25">
      <c r="A1779">
        <v>1403.023164</v>
      </c>
      <c r="B1779" s="1">
        <f>DATE(2014,3,4) + TIME(0,33,21)</f>
        <v>41702.023159722223</v>
      </c>
      <c r="C1779">
        <v>80</v>
      </c>
      <c r="D1779">
        <v>70.777458190999994</v>
      </c>
      <c r="E1779">
        <v>50</v>
      </c>
      <c r="F1779">
        <v>49.975700377999999</v>
      </c>
      <c r="G1779">
        <v>1295.2464600000001</v>
      </c>
      <c r="H1779">
        <v>1280.3918457</v>
      </c>
      <c r="I1779">
        <v>1393.666626</v>
      </c>
      <c r="J1779">
        <v>1374.1348877</v>
      </c>
      <c r="K1779">
        <v>0</v>
      </c>
      <c r="L1779">
        <v>2400</v>
      </c>
      <c r="M1779">
        <v>2400</v>
      </c>
      <c r="N1779">
        <v>0</v>
      </c>
    </row>
    <row r="1780" spans="1:14" x14ac:dyDescent="0.25">
      <c r="A1780">
        <v>1406.1343999999999</v>
      </c>
      <c r="B1780" s="1">
        <f>DATE(2014,3,7) + TIME(3,13,32)</f>
        <v>41705.134398148148</v>
      </c>
      <c r="C1780">
        <v>80</v>
      </c>
      <c r="D1780">
        <v>70.540878296000002</v>
      </c>
      <c r="E1780">
        <v>50</v>
      </c>
      <c r="F1780">
        <v>49.975746155000003</v>
      </c>
      <c r="G1780">
        <v>1294.9381103999999</v>
      </c>
      <c r="H1780">
        <v>1279.9586182</v>
      </c>
      <c r="I1780">
        <v>1393.6358643000001</v>
      </c>
      <c r="J1780">
        <v>1374.1086425999999</v>
      </c>
      <c r="K1780">
        <v>0</v>
      </c>
      <c r="L1780">
        <v>2400</v>
      </c>
      <c r="M1780">
        <v>2400</v>
      </c>
      <c r="N1780">
        <v>0</v>
      </c>
    </row>
    <row r="1781" spans="1:14" x14ac:dyDescent="0.25">
      <c r="A1781">
        <v>1409.300448</v>
      </c>
      <c r="B1781" s="1">
        <f>DATE(2014,3,10) + TIME(7,12,38)</f>
        <v>41708.300439814811</v>
      </c>
      <c r="C1781">
        <v>80</v>
      </c>
      <c r="D1781">
        <v>70.288772582999997</v>
      </c>
      <c r="E1781">
        <v>50</v>
      </c>
      <c r="F1781">
        <v>49.975788115999997</v>
      </c>
      <c r="G1781">
        <v>1294.6154785000001</v>
      </c>
      <c r="H1781">
        <v>1279.5032959</v>
      </c>
      <c r="I1781">
        <v>1393.6044922000001</v>
      </c>
      <c r="J1781">
        <v>1374.0819091999999</v>
      </c>
      <c r="K1781">
        <v>0</v>
      </c>
      <c r="L1781">
        <v>2400</v>
      </c>
      <c r="M1781">
        <v>2400</v>
      </c>
      <c r="N1781">
        <v>0</v>
      </c>
    </row>
    <row r="1782" spans="1:14" x14ac:dyDescent="0.25">
      <c r="A1782">
        <v>1412.5108700000001</v>
      </c>
      <c r="B1782" s="1">
        <f>DATE(2014,3,13) + TIME(12,15,39)</f>
        <v>41711.510868055557</v>
      </c>
      <c r="C1782">
        <v>80</v>
      </c>
      <c r="D1782">
        <v>70.024040221999996</v>
      </c>
      <c r="E1782">
        <v>50</v>
      </c>
      <c r="F1782">
        <v>49.975833893000001</v>
      </c>
      <c r="G1782">
        <v>1294.2830810999999</v>
      </c>
      <c r="H1782">
        <v>1279.0324707</v>
      </c>
      <c r="I1782">
        <v>1393.5729980000001</v>
      </c>
      <c r="J1782">
        <v>1374.0549315999999</v>
      </c>
      <c r="K1782">
        <v>0</v>
      </c>
      <c r="L1782">
        <v>2400</v>
      </c>
      <c r="M1782">
        <v>2400</v>
      </c>
      <c r="N1782">
        <v>0</v>
      </c>
    </row>
    <row r="1783" spans="1:14" x14ac:dyDescent="0.25">
      <c r="A1783">
        <v>1415.7729569999999</v>
      </c>
      <c r="B1783" s="1">
        <f>DATE(2014,3,16) + TIME(18,33,3)</f>
        <v>41714.772951388892</v>
      </c>
      <c r="C1783">
        <v>80</v>
      </c>
      <c r="D1783">
        <v>69.746742248999993</v>
      </c>
      <c r="E1783">
        <v>50</v>
      </c>
      <c r="F1783">
        <v>49.975879669000001</v>
      </c>
      <c r="G1783">
        <v>1293.9426269999999</v>
      </c>
      <c r="H1783">
        <v>1278.5484618999999</v>
      </c>
      <c r="I1783">
        <v>1393.5412598</v>
      </c>
      <c r="J1783">
        <v>1374.0277100000001</v>
      </c>
      <c r="K1783">
        <v>0</v>
      </c>
      <c r="L1783">
        <v>2400</v>
      </c>
      <c r="M1783">
        <v>2400</v>
      </c>
      <c r="N1783">
        <v>0</v>
      </c>
    </row>
    <row r="1784" spans="1:14" x14ac:dyDescent="0.25">
      <c r="A1784">
        <v>1419.0939820000001</v>
      </c>
      <c r="B1784" s="1">
        <f>DATE(2014,3,20) + TIME(2,15,20)</f>
        <v>41718.093981481485</v>
      </c>
      <c r="C1784">
        <v>80</v>
      </c>
      <c r="D1784">
        <v>69.455848693999997</v>
      </c>
      <c r="E1784">
        <v>50</v>
      </c>
      <c r="F1784">
        <v>49.975925445999998</v>
      </c>
      <c r="G1784">
        <v>1293.59375</v>
      </c>
      <c r="H1784">
        <v>1278.0510254000001</v>
      </c>
      <c r="I1784">
        <v>1393.5092772999999</v>
      </c>
      <c r="J1784">
        <v>1374.0002440999999</v>
      </c>
      <c r="K1784">
        <v>0</v>
      </c>
      <c r="L1784">
        <v>2400</v>
      </c>
      <c r="M1784">
        <v>2400</v>
      </c>
      <c r="N1784">
        <v>0</v>
      </c>
    </row>
    <row r="1785" spans="1:14" x14ac:dyDescent="0.25">
      <c r="A1785">
        <v>1422.4815329999999</v>
      </c>
      <c r="B1785" s="1">
        <f>DATE(2014,3,23) + TIME(11,33,24)</f>
        <v>41721.481527777774</v>
      </c>
      <c r="C1785">
        <v>80</v>
      </c>
      <c r="D1785">
        <v>69.150085449000002</v>
      </c>
      <c r="E1785">
        <v>50</v>
      </c>
      <c r="F1785">
        <v>49.975971221999998</v>
      </c>
      <c r="G1785">
        <v>1293.2359618999999</v>
      </c>
      <c r="H1785">
        <v>1277.5393065999999</v>
      </c>
      <c r="I1785">
        <v>1393.4770507999999</v>
      </c>
      <c r="J1785">
        <v>1373.9724120999999</v>
      </c>
      <c r="K1785">
        <v>0</v>
      </c>
      <c r="L1785">
        <v>2400</v>
      </c>
      <c r="M1785">
        <v>2400</v>
      </c>
      <c r="N1785">
        <v>0</v>
      </c>
    </row>
    <row r="1786" spans="1:14" x14ac:dyDescent="0.25">
      <c r="A1786">
        <v>1425.939216</v>
      </c>
      <c r="B1786" s="1">
        <f>DATE(2014,3,26) + TIME(22,32,28)</f>
        <v>41724.939212962963</v>
      </c>
      <c r="C1786">
        <v>80</v>
      </c>
      <c r="D1786">
        <v>68.828002929999997</v>
      </c>
      <c r="E1786">
        <v>50</v>
      </c>
      <c r="F1786">
        <v>49.976016997999999</v>
      </c>
      <c r="G1786">
        <v>1292.8687743999999</v>
      </c>
      <c r="H1786">
        <v>1277.0123291</v>
      </c>
      <c r="I1786">
        <v>1393.4443358999999</v>
      </c>
      <c r="J1786">
        <v>1373.9440918</v>
      </c>
      <c r="K1786">
        <v>0</v>
      </c>
      <c r="L1786">
        <v>2400</v>
      </c>
      <c r="M1786">
        <v>2400</v>
      </c>
      <c r="N1786">
        <v>0</v>
      </c>
    </row>
    <row r="1787" spans="1:14" x14ac:dyDescent="0.25">
      <c r="A1787">
        <v>1429.4501230000001</v>
      </c>
      <c r="B1787" s="1">
        <f>DATE(2014,3,30) + TIME(10,48,10)</f>
        <v>41728.450115740743</v>
      </c>
      <c r="C1787">
        <v>80</v>
      </c>
      <c r="D1787">
        <v>68.488815308</v>
      </c>
      <c r="E1787">
        <v>50</v>
      </c>
      <c r="F1787">
        <v>49.976062775000003</v>
      </c>
      <c r="G1787">
        <v>1292.4919434000001</v>
      </c>
      <c r="H1787">
        <v>1276.4700928</v>
      </c>
      <c r="I1787">
        <v>1393.4111327999999</v>
      </c>
      <c r="J1787">
        <v>1373.9152832</v>
      </c>
      <c r="K1787">
        <v>0</v>
      </c>
      <c r="L1787">
        <v>2400</v>
      </c>
      <c r="M1787">
        <v>2400</v>
      </c>
      <c r="N1787">
        <v>0</v>
      </c>
    </row>
    <row r="1788" spans="1:14" x14ac:dyDescent="0.25">
      <c r="A1788">
        <v>1431</v>
      </c>
      <c r="B1788" s="1">
        <f>DATE(2014,4,1) + TIME(0,0,0)</f>
        <v>41730</v>
      </c>
      <c r="C1788">
        <v>80</v>
      </c>
      <c r="D1788">
        <v>68.198364257999998</v>
      </c>
      <c r="E1788">
        <v>50</v>
      </c>
      <c r="F1788">
        <v>49.976081848</v>
      </c>
      <c r="G1788">
        <v>1292.1179199000001</v>
      </c>
      <c r="H1788">
        <v>1275.9477539</v>
      </c>
      <c r="I1788">
        <v>1393.3769531</v>
      </c>
      <c r="J1788">
        <v>1373.8854980000001</v>
      </c>
      <c r="K1788">
        <v>0</v>
      </c>
      <c r="L1788">
        <v>2400</v>
      </c>
      <c r="M1788">
        <v>2400</v>
      </c>
      <c r="N1788">
        <v>0</v>
      </c>
    </row>
    <row r="1789" spans="1:14" x14ac:dyDescent="0.25">
      <c r="A1789">
        <v>1434.573367</v>
      </c>
      <c r="B1789" s="1">
        <f>DATE(2014,4,4) + TIME(13,45,38)</f>
        <v>41733.57335648148</v>
      </c>
      <c r="C1789">
        <v>80</v>
      </c>
      <c r="D1789">
        <v>67.947105407999999</v>
      </c>
      <c r="E1789">
        <v>50</v>
      </c>
      <c r="F1789">
        <v>49.976131439</v>
      </c>
      <c r="G1789">
        <v>1291.9177245999999</v>
      </c>
      <c r="H1789">
        <v>1275.6296387</v>
      </c>
      <c r="I1789">
        <v>1393.3629149999999</v>
      </c>
      <c r="J1789">
        <v>1373.8732910000001</v>
      </c>
      <c r="K1789">
        <v>0</v>
      </c>
      <c r="L1789">
        <v>2400</v>
      </c>
      <c r="M1789">
        <v>2400</v>
      </c>
      <c r="N1789">
        <v>0</v>
      </c>
    </row>
    <row r="1790" spans="1:14" x14ac:dyDescent="0.25">
      <c r="A1790">
        <v>1438.2530180000001</v>
      </c>
      <c r="B1790" s="1">
        <f>DATE(2014,4,8) + TIME(6,4,20)</f>
        <v>41737.253009259257</v>
      </c>
      <c r="C1790">
        <v>80</v>
      </c>
      <c r="D1790">
        <v>67.586380004999995</v>
      </c>
      <c r="E1790">
        <v>50</v>
      </c>
      <c r="F1790">
        <v>49.976181029999999</v>
      </c>
      <c r="G1790">
        <v>1291.5404053</v>
      </c>
      <c r="H1790">
        <v>1275.090332</v>
      </c>
      <c r="I1790">
        <v>1393.3288574000001</v>
      </c>
      <c r="J1790">
        <v>1373.8435059000001</v>
      </c>
      <c r="K1790">
        <v>0</v>
      </c>
      <c r="L1790">
        <v>2400</v>
      </c>
      <c r="M1790">
        <v>2400</v>
      </c>
      <c r="N1790">
        <v>0</v>
      </c>
    </row>
    <row r="1791" spans="1:14" x14ac:dyDescent="0.25">
      <c r="A1791">
        <v>1442.018331</v>
      </c>
      <c r="B1791" s="1">
        <f>DATE(2014,4,12) + TIME(0,26,23)</f>
        <v>41741.018321759257</v>
      </c>
      <c r="C1791">
        <v>80</v>
      </c>
      <c r="D1791">
        <v>67.186950683999996</v>
      </c>
      <c r="E1791">
        <v>50</v>
      </c>
      <c r="F1791">
        <v>49.976230620999999</v>
      </c>
      <c r="G1791">
        <v>1291.1384277</v>
      </c>
      <c r="H1791">
        <v>1274.5064697</v>
      </c>
      <c r="I1791">
        <v>1393.2939452999999</v>
      </c>
      <c r="J1791">
        <v>1373.8129882999999</v>
      </c>
      <c r="K1791">
        <v>0</v>
      </c>
      <c r="L1791">
        <v>2400</v>
      </c>
      <c r="M1791">
        <v>2400</v>
      </c>
      <c r="N1791">
        <v>0</v>
      </c>
    </row>
    <row r="1792" spans="1:14" x14ac:dyDescent="0.25">
      <c r="A1792">
        <v>1445.880774</v>
      </c>
      <c r="B1792" s="1">
        <f>DATE(2014,4,15) + TIME(21,8,18)</f>
        <v>41744.88076388889</v>
      </c>
      <c r="C1792">
        <v>80</v>
      </c>
      <c r="D1792">
        <v>66.762718200999998</v>
      </c>
      <c r="E1792">
        <v>50</v>
      </c>
      <c r="F1792">
        <v>49.976280211999999</v>
      </c>
      <c r="G1792">
        <v>1290.7242432</v>
      </c>
      <c r="H1792">
        <v>1273.9014893000001</v>
      </c>
      <c r="I1792">
        <v>1393.2581786999999</v>
      </c>
      <c r="J1792">
        <v>1373.7816161999999</v>
      </c>
      <c r="K1792">
        <v>0</v>
      </c>
      <c r="L1792">
        <v>2400</v>
      </c>
      <c r="M1792">
        <v>2400</v>
      </c>
      <c r="N1792">
        <v>0</v>
      </c>
    </row>
    <row r="1793" spans="1:14" x14ac:dyDescent="0.25">
      <c r="A1793">
        <v>1449.822938</v>
      </c>
      <c r="B1793" s="1">
        <f>DATE(2014,4,19) + TIME(19,45,1)</f>
        <v>41748.822928240741</v>
      </c>
      <c r="C1793">
        <v>80</v>
      </c>
      <c r="D1793">
        <v>66.314598083000007</v>
      </c>
      <c r="E1793">
        <v>50</v>
      </c>
      <c r="F1793">
        <v>49.976333617999998</v>
      </c>
      <c r="G1793">
        <v>1290.2993164</v>
      </c>
      <c r="H1793">
        <v>1273.2785644999999</v>
      </c>
      <c r="I1793">
        <v>1393.2216797000001</v>
      </c>
      <c r="J1793">
        <v>1373.7493896000001</v>
      </c>
      <c r="K1793">
        <v>0</v>
      </c>
      <c r="L1793">
        <v>2400</v>
      </c>
      <c r="M1793">
        <v>2400</v>
      </c>
      <c r="N1793">
        <v>0</v>
      </c>
    </row>
    <row r="1794" spans="1:14" x14ac:dyDescent="0.25">
      <c r="A1794">
        <v>1453.855335</v>
      </c>
      <c r="B1794" s="1">
        <f>DATE(2014,4,23) + TIME(20,31,40)</f>
        <v>41752.855324074073</v>
      </c>
      <c r="C1794">
        <v>80</v>
      </c>
      <c r="D1794">
        <v>65.843933105000005</v>
      </c>
      <c r="E1794">
        <v>50</v>
      </c>
      <c r="F1794">
        <v>49.976383208999998</v>
      </c>
      <c r="G1794">
        <v>1289.8663329999999</v>
      </c>
      <c r="H1794">
        <v>1272.6413574000001</v>
      </c>
      <c r="I1794">
        <v>1393.1843262</v>
      </c>
      <c r="J1794">
        <v>1373.7164307</v>
      </c>
      <c r="K1794">
        <v>0</v>
      </c>
      <c r="L1794">
        <v>2400</v>
      </c>
      <c r="M1794">
        <v>2400</v>
      </c>
      <c r="N1794">
        <v>0</v>
      </c>
    </row>
    <row r="1795" spans="1:14" x14ac:dyDescent="0.25">
      <c r="A1795">
        <v>1457.991638</v>
      </c>
      <c r="B1795" s="1">
        <f>DATE(2014,4,27) + TIME(23,47,57)</f>
        <v>41756.991631944446</v>
      </c>
      <c r="C1795">
        <v>80</v>
      </c>
      <c r="D1795">
        <v>65.349304199000002</v>
      </c>
      <c r="E1795">
        <v>50</v>
      </c>
      <c r="F1795">
        <v>49.976436614999997</v>
      </c>
      <c r="G1795">
        <v>1289.4251709</v>
      </c>
      <c r="H1795">
        <v>1271.989624</v>
      </c>
      <c r="I1795">
        <v>1393.1459961</v>
      </c>
      <c r="J1795">
        <v>1373.6824951000001</v>
      </c>
      <c r="K1795">
        <v>0</v>
      </c>
      <c r="L1795">
        <v>2400</v>
      </c>
      <c r="M1795">
        <v>2400</v>
      </c>
      <c r="N1795">
        <v>0</v>
      </c>
    </row>
    <row r="1796" spans="1:14" x14ac:dyDescent="0.25">
      <c r="A1796">
        <v>1461</v>
      </c>
      <c r="B1796" s="1">
        <f>DATE(2014,5,1) + TIME(0,0,0)</f>
        <v>41760</v>
      </c>
      <c r="C1796">
        <v>80</v>
      </c>
      <c r="D1796">
        <v>64.858863830999994</v>
      </c>
      <c r="E1796">
        <v>50</v>
      </c>
      <c r="F1796">
        <v>49.976474762000002</v>
      </c>
      <c r="G1796">
        <v>1288.9785156</v>
      </c>
      <c r="H1796">
        <v>1271.3358154</v>
      </c>
      <c r="I1796">
        <v>1393.1064452999999</v>
      </c>
      <c r="J1796">
        <v>1373.6473389</v>
      </c>
      <c r="K1796">
        <v>0</v>
      </c>
      <c r="L1796">
        <v>2400</v>
      </c>
      <c r="M1796">
        <v>2400</v>
      </c>
      <c r="N1796">
        <v>0</v>
      </c>
    </row>
    <row r="1797" spans="1:14" x14ac:dyDescent="0.25">
      <c r="A1797">
        <v>1461.0000010000001</v>
      </c>
      <c r="B1797" s="1">
        <f>DATE(2014,5,1) + TIME(0,0,0)</f>
        <v>41760</v>
      </c>
      <c r="C1797">
        <v>80</v>
      </c>
      <c r="D1797">
        <v>64.859024047999995</v>
      </c>
      <c r="E1797">
        <v>50</v>
      </c>
      <c r="F1797">
        <v>49.976364136000001</v>
      </c>
      <c r="G1797">
        <v>1308.0953368999999</v>
      </c>
      <c r="H1797">
        <v>1289.9952393000001</v>
      </c>
      <c r="I1797">
        <v>1372.7728271000001</v>
      </c>
      <c r="J1797">
        <v>1353.8913574000001</v>
      </c>
      <c r="K1797">
        <v>2400</v>
      </c>
      <c r="L1797">
        <v>0</v>
      </c>
      <c r="M1797">
        <v>0</v>
      </c>
      <c r="N1797">
        <v>2400</v>
      </c>
    </row>
    <row r="1798" spans="1:14" x14ac:dyDescent="0.25">
      <c r="A1798">
        <v>1461.000004</v>
      </c>
      <c r="B1798" s="1">
        <f>DATE(2014,5,1) + TIME(0,0,0)</f>
        <v>41760</v>
      </c>
      <c r="C1798">
        <v>80</v>
      </c>
      <c r="D1798">
        <v>64.859436035000002</v>
      </c>
      <c r="E1798">
        <v>50</v>
      </c>
      <c r="F1798">
        <v>49.976070403999998</v>
      </c>
      <c r="G1798">
        <v>1310.4597168</v>
      </c>
      <c r="H1798">
        <v>1292.6187743999999</v>
      </c>
      <c r="I1798">
        <v>1370.4403076000001</v>
      </c>
      <c r="J1798">
        <v>1351.5581055</v>
      </c>
      <c r="K1798">
        <v>2400</v>
      </c>
      <c r="L1798">
        <v>0</v>
      </c>
      <c r="M1798">
        <v>0</v>
      </c>
      <c r="N1798">
        <v>2400</v>
      </c>
    </row>
    <row r="1799" spans="1:14" x14ac:dyDescent="0.25">
      <c r="A1799">
        <v>1461.0000130000001</v>
      </c>
      <c r="B1799" s="1">
        <f>DATE(2014,5,1) + TIME(0,0,1)</f>
        <v>41760.000011574077</v>
      </c>
      <c r="C1799">
        <v>80</v>
      </c>
      <c r="D1799">
        <v>64.860366821</v>
      </c>
      <c r="E1799">
        <v>50</v>
      </c>
      <c r="F1799">
        <v>49.975410461000003</v>
      </c>
      <c r="G1799">
        <v>1315.6400146000001</v>
      </c>
      <c r="H1799">
        <v>1298.1444091999999</v>
      </c>
      <c r="I1799">
        <v>1365.2080077999999</v>
      </c>
      <c r="J1799">
        <v>1346.3249512</v>
      </c>
      <c r="K1799">
        <v>2400</v>
      </c>
      <c r="L1799">
        <v>0</v>
      </c>
      <c r="M1799">
        <v>0</v>
      </c>
      <c r="N1799">
        <v>2400</v>
      </c>
    </row>
    <row r="1800" spans="1:14" x14ac:dyDescent="0.25">
      <c r="A1800">
        <v>1461.0000399999999</v>
      </c>
      <c r="B1800" s="1">
        <f>DATE(2014,5,1) + TIME(0,0,3)</f>
        <v>41760.000034722223</v>
      </c>
      <c r="C1800">
        <v>80</v>
      </c>
      <c r="D1800">
        <v>64.862075806000007</v>
      </c>
      <c r="E1800">
        <v>50</v>
      </c>
      <c r="F1800">
        <v>49.974308014000002</v>
      </c>
      <c r="G1800">
        <v>1324.0565185999999</v>
      </c>
      <c r="H1800">
        <v>1306.7019043</v>
      </c>
      <c r="I1800">
        <v>1356.4643555</v>
      </c>
      <c r="J1800">
        <v>1337.5820312000001</v>
      </c>
      <c r="K1800">
        <v>2400</v>
      </c>
      <c r="L1800">
        <v>0</v>
      </c>
      <c r="M1800">
        <v>0</v>
      </c>
      <c r="N1800">
        <v>2400</v>
      </c>
    </row>
    <row r="1801" spans="1:14" x14ac:dyDescent="0.25">
      <c r="A1801">
        <v>1461.000121</v>
      </c>
      <c r="B1801" s="1">
        <f>DATE(2014,5,1) + TIME(0,0,10)</f>
        <v>41760.000115740739</v>
      </c>
      <c r="C1801">
        <v>80</v>
      </c>
      <c r="D1801">
        <v>64.865119934000006</v>
      </c>
      <c r="E1801">
        <v>50</v>
      </c>
      <c r="F1801">
        <v>49.972953795999999</v>
      </c>
      <c r="G1801">
        <v>1334.1866454999999</v>
      </c>
      <c r="H1801">
        <v>1316.7205810999999</v>
      </c>
      <c r="I1801">
        <v>1345.7912598</v>
      </c>
      <c r="J1801">
        <v>1326.9133300999999</v>
      </c>
      <c r="K1801">
        <v>2400</v>
      </c>
      <c r="L1801">
        <v>0</v>
      </c>
      <c r="M1801">
        <v>0</v>
      </c>
      <c r="N1801">
        <v>2400</v>
      </c>
    </row>
    <row r="1802" spans="1:14" x14ac:dyDescent="0.25">
      <c r="A1802">
        <v>1461.000364</v>
      </c>
      <c r="B1802" s="1">
        <f>DATE(2014,5,1) + TIME(0,0,31)</f>
        <v>41760.000358796293</v>
      </c>
      <c r="C1802">
        <v>80</v>
      </c>
      <c r="D1802">
        <v>64.871635436999995</v>
      </c>
      <c r="E1802">
        <v>50</v>
      </c>
      <c r="F1802">
        <v>49.971546173</v>
      </c>
      <c r="G1802">
        <v>1344.6960449000001</v>
      </c>
      <c r="H1802">
        <v>1327.0703125</v>
      </c>
      <c r="I1802">
        <v>1334.8043213000001</v>
      </c>
      <c r="J1802">
        <v>1315.9348144999999</v>
      </c>
      <c r="K1802">
        <v>2400</v>
      </c>
      <c r="L1802">
        <v>0</v>
      </c>
      <c r="M1802">
        <v>0</v>
      </c>
      <c r="N1802">
        <v>2400</v>
      </c>
    </row>
    <row r="1803" spans="1:14" x14ac:dyDescent="0.25">
      <c r="A1803">
        <v>1461.0010930000001</v>
      </c>
      <c r="B1803" s="1">
        <f>DATE(2014,5,1) + TIME(0,1,34)</f>
        <v>41760.001087962963</v>
      </c>
      <c r="C1803">
        <v>80</v>
      </c>
      <c r="D1803">
        <v>64.888587951999995</v>
      </c>
      <c r="E1803">
        <v>50</v>
      </c>
      <c r="F1803">
        <v>49.970088959000002</v>
      </c>
      <c r="G1803">
        <v>1355.4954834</v>
      </c>
      <c r="H1803">
        <v>1337.6877440999999</v>
      </c>
      <c r="I1803">
        <v>1323.824707</v>
      </c>
      <c r="J1803">
        <v>1304.9636230000001</v>
      </c>
      <c r="K1803">
        <v>2400</v>
      </c>
      <c r="L1803">
        <v>0</v>
      </c>
      <c r="M1803">
        <v>0</v>
      </c>
      <c r="N1803">
        <v>2400</v>
      </c>
    </row>
    <row r="1804" spans="1:14" x14ac:dyDescent="0.25">
      <c r="A1804">
        <v>1461.0032799999999</v>
      </c>
      <c r="B1804" s="1">
        <f>DATE(2014,5,1) + TIME(0,4,43)</f>
        <v>41760.003275462965</v>
      </c>
      <c r="C1804">
        <v>80</v>
      </c>
      <c r="D1804">
        <v>64.937133789000001</v>
      </c>
      <c r="E1804">
        <v>50</v>
      </c>
      <c r="F1804">
        <v>49.968463898000003</v>
      </c>
      <c r="G1804">
        <v>1366.8751221</v>
      </c>
      <c r="H1804">
        <v>1348.8479004000001</v>
      </c>
      <c r="I1804">
        <v>1312.7663574000001</v>
      </c>
      <c r="J1804">
        <v>1293.8834228999999</v>
      </c>
      <c r="K1804">
        <v>2400</v>
      </c>
      <c r="L1804">
        <v>0</v>
      </c>
      <c r="M1804">
        <v>0</v>
      </c>
      <c r="N1804">
        <v>2400</v>
      </c>
    </row>
    <row r="1805" spans="1:14" x14ac:dyDescent="0.25">
      <c r="A1805">
        <v>1461.0098410000001</v>
      </c>
      <c r="B1805" s="1">
        <f>DATE(2014,5,1) + TIME(0,14,10)</f>
        <v>41760.009837962964</v>
      </c>
      <c r="C1805">
        <v>80</v>
      </c>
      <c r="D1805">
        <v>65.080177307</v>
      </c>
      <c r="E1805">
        <v>50</v>
      </c>
      <c r="F1805">
        <v>49.966411591000004</v>
      </c>
      <c r="G1805">
        <v>1378.2526855000001</v>
      </c>
      <c r="H1805">
        <v>1360.0395507999999</v>
      </c>
      <c r="I1805">
        <v>1301.9670410000001</v>
      </c>
      <c r="J1805">
        <v>1283.0128173999999</v>
      </c>
      <c r="K1805">
        <v>2400</v>
      </c>
      <c r="L1805">
        <v>0</v>
      </c>
      <c r="M1805">
        <v>0</v>
      </c>
      <c r="N1805">
        <v>2400</v>
      </c>
    </row>
    <row r="1806" spans="1:14" x14ac:dyDescent="0.25">
      <c r="A1806">
        <v>1461.029524</v>
      </c>
      <c r="B1806" s="1">
        <f>DATE(2014,5,1) + TIME(0,42,30)</f>
        <v>41760.029513888891</v>
      </c>
      <c r="C1806">
        <v>80</v>
      </c>
      <c r="D1806">
        <v>65.497024535999998</v>
      </c>
      <c r="E1806">
        <v>50</v>
      </c>
      <c r="F1806">
        <v>49.963279724000003</v>
      </c>
      <c r="G1806">
        <v>1387.2850341999999</v>
      </c>
      <c r="H1806">
        <v>1369.0534668</v>
      </c>
      <c r="I1806">
        <v>1293.456543</v>
      </c>
      <c r="J1806">
        <v>1274.4389647999999</v>
      </c>
      <c r="K1806">
        <v>2400</v>
      </c>
      <c r="L1806">
        <v>0</v>
      </c>
      <c r="M1806">
        <v>0</v>
      </c>
      <c r="N1806">
        <v>2400</v>
      </c>
    </row>
    <row r="1807" spans="1:14" x14ac:dyDescent="0.25">
      <c r="A1807">
        <v>1461.0570540000001</v>
      </c>
      <c r="B1807" s="1">
        <f>DATE(2014,5,1) + TIME(1,22,9)</f>
        <v>41760.05704861111</v>
      </c>
      <c r="C1807">
        <v>80</v>
      </c>
      <c r="D1807">
        <v>66.057502747000001</v>
      </c>
      <c r="E1807">
        <v>50</v>
      </c>
      <c r="F1807">
        <v>49.960018157999997</v>
      </c>
      <c r="G1807">
        <v>1390.9373779</v>
      </c>
      <c r="H1807">
        <v>1372.8142089999999</v>
      </c>
      <c r="I1807">
        <v>1290.2385254000001</v>
      </c>
      <c r="J1807">
        <v>1271.1993408000001</v>
      </c>
      <c r="K1807">
        <v>2400</v>
      </c>
      <c r="L1807">
        <v>0</v>
      </c>
      <c r="M1807">
        <v>0</v>
      </c>
      <c r="N1807">
        <v>2400</v>
      </c>
    </row>
    <row r="1808" spans="1:14" x14ac:dyDescent="0.25">
      <c r="A1808">
        <v>1461.085255</v>
      </c>
      <c r="B1808" s="1">
        <f>DATE(2014,5,1) + TIME(2,2,46)</f>
        <v>41760.08525462963</v>
      </c>
      <c r="C1808">
        <v>80</v>
      </c>
      <c r="D1808">
        <v>66.609062195000007</v>
      </c>
      <c r="E1808">
        <v>50</v>
      </c>
      <c r="F1808">
        <v>49.956993103000002</v>
      </c>
      <c r="G1808">
        <v>1392.1536865</v>
      </c>
      <c r="H1808">
        <v>1374.1566161999999</v>
      </c>
      <c r="I1808">
        <v>1289.3107910000001</v>
      </c>
      <c r="J1808">
        <v>1270.2651367000001</v>
      </c>
      <c r="K1808">
        <v>2400</v>
      </c>
      <c r="L1808">
        <v>0</v>
      </c>
      <c r="M1808">
        <v>0</v>
      </c>
      <c r="N1808">
        <v>2400</v>
      </c>
    </row>
    <row r="1809" spans="1:14" x14ac:dyDescent="0.25">
      <c r="A1809">
        <v>1461.1140640000001</v>
      </c>
      <c r="B1809" s="1">
        <f>DATE(2014,5,1) + TIME(2,44,15)</f>
        <v>41760.114062499997</v>
      </c>
      <c r="C1809">
        <v>80</v>
      </c>
      <c r="D1809">
        <v>67.149887085000003</v>
      </c>
      <c r="E1809">
        <v>50</v>
      </c>
      <c r="F1809">
        <v>49.954021453999999</v>
      </c>
      <c r="G1809">
        <v>1392.5225829999999</v>
      </c>
      <c r="H1809">
        <v>1374.6546631000001</v>
      </c>
      <c r="I1809">
        <v>1289.0756836</v>
      </c>
      <c r="J1809">
        <v>1270.027832</v>
      </c>
      <c r="K1809">
        <v>2400</v>
      </c>
      <c r="L1809">
        <v>0</v>
      </c>
      <c r="M1809">
        <v>0</v>
      </c>
      <c r="N1809">
        <v>2400</v>
      </c>
    </row>
    <row r="1810" spans="1:14" x14ac:dyDescent="0.25">
      <c r="A1810">
        <v>1461.1434850000001</v>
      </c>
      <c r="B1810" s="1">
        <f>DATE(2014,5,1) + TIME(3,26,37)</f>
        <v>41760.143483796295</v>
      </c>
      <c r="C1810">
        <v>80</v>
      </c>
      <c r="D1810">
        <v>67.679550171000002</v>
      </c>
      <c r="E1810">
        <v>50</v>
      </c>
      <c r="F1810">
        <v>49.951042174999998</v>
      </c>
      <c r="G1810">
        <v>1392.5668945</v>
      </c>
      <c r="H1810">
        <v>1374.8256836</v>
      </c>
      <c r="I1810">
        <v>1289.0430908000001</v>
      </c>
      <c r="J1810">
        <v>1269.9943848</v>
      </c>
      <c r="K1810">
        <v>2400</v>
      </c>
      <c r="L1810">
        <v>0</v>
      </c>
      <c r="M1810">
        <v>0</v>
      </c>
      <c r="N1810">
        <v>2400</v>
      </c>
    </row>
    <row r="1811" spans="1:14" x14ac:dyDescent="0.25">
      <c r="A1811">
        <v>1461.1735389999999</v>
      </c>
      <c r="B1811" s="1">
        <f>DATE(2014,5,1) + TIME(4,9,53)</f>
        <v>41760.173530092594</v>
      </c>
      <c r="C1811">
        <v>80</v>
      </c>
      <c r="D1811">
        <v>68.197952271000005</v>
      </c>
      <c r="E1811">
        <v>50</v>
      </c>
      <c r="F1811">
        <v>49.948036193999997</v>
      </c>
      <c r="G1811">
        <v>1392.4792480000001</v>
      </c>
      <c r="H1811">
        <v>1374.8609618999999</v>
      </c>
      <c r="I1811">
        <v>1289.0600586</v>
      </c>
      <c r="J1811">
        <v>1270.0109863</v>
      </c>
      <c r="K1811">
        <v>2400</v>
      </c>
      <c r="L1811">
        <v>0</v>
      </c>
      <c r="M1811">
        <v>0</v>
      </c>
      <c r="N1811">
        <v>2400</v>
      </c>
    </row>
    <row r="1812" spans="1:14" x14ac:dyDescent="0.25">
      <c r="A1812">
        <v>1461.204256</v>
      </c>
      <c r="B1812" s="1">
        <f>DATE(2014,5,1) + TIME(4,54,7)</f>
        <v>41760.204247685186</v>
      </c>
      <c r="C1812">
        <v>80</v>
      </c>
      <c r="D1812">
        <v>68.705131531000006</v>
      </c>
      <c r="E1812">
        <v>50</v>
      </c>
      <c r="F1812">
        <v>49.944992065000001</v>
      </c>
      <c r="G1812">
        <v>1392.3364257999999</v>
      </c>
      <c r="H1812">
        <v>1374.8370361</v>
      </c>
      <c r="I1812">
        <v>1289.0819091999999</v>
      </c>
      <c r="J1812">
        <v>1270.0324707</v>
      </c>
      <c r="K1812">
        <v>2400</v>
      </c>
      <c r="L1812">
        <v>0</v>
      </c>
      <c r="M1812">
        <v>0</v>
      </c>
      <c r="N1812">
        <v>2400</v>
      </c>
    </row>
    <row r="1813" spans="1:14" x14ac:dyDescent="0.25">
      <c r="A1813">
        <v>1461.235676</v>
      </c>
      <c r="B1813" s="1">
        <f>DATE(2014,5,1) + TIME(5,39,22)</f>
        <v>41760.235671296294</v>
      </c>
      <c r="C1813">
        <v>80</v>
      </c>
      <c r="D1813">
        <v>69.201232910000002</v>
      </c>
      <c r="E1813">
        <v>50</v>
      </c>
      <c r="F1813">
        <v>49.941909789999997</v>
      </c>
      <c r="G1813">
        <v>1392.1708983999999</v>
      </c>
      <c r="H1813">
        <v>1374.786499</v>
      </c>
      <c r="I1813">
        <v>1289.0982666</v>
      </c>
      <c r="J1813">
        <v>1270.0485839999999</v>
      </c>
      <c r="K1813">
        <v>2400</v>
      </c>
      <c r="L1813">
        <v>0</v>
      </c>
      <c r="M1813">
        <v>0</v>
      </c>
      <c r="N1813">
        <v>2400</v>
      </c>
    </row>
    <row r="1814" spans="1:14" x14ac:dyDescent="0.25">
      <c r="A1814">
        <v>1461.2678390000001</v>
      </c>
      <c r="B1814" s="1">
        <f>DATE(2014,5,1) + TIME(6,25,41)</f>
        <v>41760.267835648148</v>
      </c>
      <c r="C1814">
        <v>80</v>
      </c>
      <c r="D1814">
        <v>69.686347960999996</v>
      </c>
      <c r="E1814">
        <v>50</v>
      </c>
      <c r="F1814">
        <v>49.938789368000002</v>
      </c>
      <c r="G1814">
        <v>1391.9971923999999</v>
      </c>
      <c r="H1814">
        <v>1374.7236327999999</v>
      </c>
      <c r="I1814">
        <v>1289.1087646000001</v>
      </c>
      <c r="J1814">
        <v>1270.0588379000001</v>
      </c>
      <c r="K1814">
        <v>2400</v>
      </c>
      <c r="L1814">
        <v>0</v>
      </c>
      <c r="M1814">
        <v>0</v>
      </c>
      <c r="N1814">
        <v>2400</v>
      </c>
    </row>
    <row r="1815" spans="1:14" x14ac:dyDescent="0.25">
      <c r="A1815">
        <v>1461.3007889999999</v>
      </c>
      <c r="B1815" s="1">
        <f>DATE(2014,5,1) + TIME(7,13,8)</f>
        <v>41760.300787037035</v>
      </c>
      <c r="C1815">
        <v>80</v>
      </c>
      <c r="D1815">
        <v>70.160446167000003</v>
      </c>
      <c r="E1815">
        <v>50</v>
      </c>
      <c r="F1815">
        <v>49.935619354000004</v>
      </c>
      <c r="G1815">
        <v>1391.8221435999999</v>
      </c>
      <c r="H1815">
        <v>1374.6556396000001</v>
      </c>
      <c r="I1815">
        <v>1289.1148682</v>
      </c>
      <c r="J1815">
        <v>1270.0648193</v>
      </c>
      <c r="K1815">
        <v>2400</v>
      </c>
      <c r="L1815">
        <v>0</v>
      </c>
      <c r="M1815">
        <v>0</v>
      </c>
      <c r="N1815">
        <v>2400</v>
      </c>
    </row>
    <row r="1816" spans="1:14" x14ac:dyDescent="0.25">
      <c r="A1816">
        <v>1461.334572</v>
      </c>
      <c r="B1816" s="1">
        <f>DATE(2014,5,1) + TIME(8,1,46)</f>
        <v>41760.334560185183</v>
      </c>
      <c r="C1816">
        <v>80</v>
      </c>
      <c r="D1816">
        <v>70.623489379999995</v>
      </c>
      <c r="E1816">
        <v>50</v>
      </c>
      <c r="F1816">
        <v>49.932407378999997</v>
      </c>
      <c r="G1816">
        <v>1391.6489257999999</v>
      </c>
      <c r="H1816">
        <v>1374.5858154</v>
      </c>
      <c r="I1816">
        <v>1289.1184082</v>
      </c>
      <c r="J1816">
        <v>1270.0679932</v>
      </c>
      <c r="K1816">
        <v>2400</v>
      </c>
      <c r="L1816">
        <v>0</v>
      </c>
      <c r="M1816">
        <v>0</v>
      </c>
      <c r="N1816">
        <v>2400</v>
      </c>
    </row>
    <row r="1817" spans="1:14" x14ac:dyDescent="0.25">
      <c r="A1817">
        <v>1461.369238</v>
      </c>
      <c r="B1817" s="1">
        <f>DATE(2014,5,1) + TIME(8,51,42)</f>
        <v>41760.36923611111</v>
      </c>
      <c r="C1817">
        <v>80</v>
      </c>
      <c r="D1817">
        <v>71.075767517000003</v>
      </c>
      <c r="E1817">
        <v>50</v>
      </c>
      <c r="F1817">
        <v>49.929141997999999</v>
      </c>
      <c r="G1817">
        <v>1391.4792480000001</v>
      </c>
      <c r="H1817">
        <v>1374.5157471</v>
      </c>
      <c r="I1817">
        <v>1289.1202393000001</v>
      </c>
      <c r="J1817">
        <v>1270.0695800999999</v>
      </c>
      <c r="K1817">
        <v>2400</v>
      </c>
      <c r="L1817">
        <v>0</v>
      </c>
      <c r="M1817">
        <v>0</v>
      </c>
      <c r="N1817">
        <v>2400</v>
      </c>
    </row>
    <row r="1818" spans="1:14" x14ac:dyDescent="0.25">
      <c r="A1818">
        <v>1461.4048439999999</v>
      </c>
      <c r="B1818" s="1">
        <f>DATE(2014,5,1) + TIME(9,42,58)</f>
        <v>41760.40483796296</v>
      </c>
      <c r="C1818">
        <v>80</v>
      </c>
      <c r="D1818">
        <v>71.517333984000004</v>
      </c>
      <c r="E1818">
        <v>50</v>
      </c>
      <c r="F1818">
        <v>49.925819396999998</v>
      </c>
      <c r="G1818">
        <v>1391.3134766000001</v>
      </c>
      <c r="H1818">
        <v>1374.4464111</v>
      </c>
      <c r="I1818">
        <v>1289.1210937999999</v>
      </c>
      <c r="J1818">
        <v>1270.0701904</v>
      </c>
      <c r="K1818">
        <v>2400</v>
      </c>
      <c r="L1818">
        <v>0</v>
      </c>
      <c r="M1818">
        <v>0</v>
      </c>
      <c r="N1818">
        <v>2400</v>
      </c>
    </row>
    <row r="1819" spans="1:14" x14ac:dyDescent="0.25">
      <c r="A1819">
        <v>1461.441448</v>
      </c>
      <c r="B1819" s="1">
        <f>DATE(2014,5,1) + TIME(10,35,41)</f>
        <v>41760.441446759258</v>
      </c>
      <c r="C1819">
        <v>80</v>
      </c>
      <c r="D1819">
        <v>71.948234557999996</v>
      </c>
      <c r="E1819">
        <v>50</v>
      </c>
      <c r="F1819">
        <v>49.922439574999999</v>
      </c>
      <c r="G1819">
        <v>1391.1520995999999</v>
      </c>
      <c r="H1819">
        <v>1374.3780518000001</v>
      </c>
      <c r="I1819">
        <v>1289.121582</v>
      </c>
      <c r="J1819">
        <v>1270.0703125</v>
      </c>
      <c r="K1819">
        <v>2400</v>
      </c>
      <c r="L1819">
        <v>0</v>
      </c>
      <c r="M1819">
        <v>0</v>
      </c>
      <c r="N1819">
        <v>2400</v>
      </c>
    </row>
    <row r="1820" spans="1:14" x14ac:dyDescent="0.25">
      <c r="A1820">
        <v>1461.4791170000001</v>
      </c>
      <c r="B1820" s="1">
        <f>DATE(2014,5,1) + TIME(11,29,55)</f>
        <v>41760.479108796295</v>
      </c>
      <c r="C1820">
        <v>80</v>
      </c>
      <c r="D1820">
        <v>72.368522643999995</v>
      </c>
      <c r="E1820">
        <v>50</v>
      </c>
      <c r="F1820">
        <v>49.918998717999997</v>
      </c>
      <c r="G1820">
        <v>1390.9951172000001</v>
      </c>
      <c r="H1820">
        <v>1374.3107910000001</v>
      </c>
      <c r="I1820">
        <v>1289.121582</v>
      </c>
      <c r="J1820">
        <v>1270.0700684000001</v>
      </c>
      <c r="K1820">
        <v>2400</v>
      </c>
      <c r="L1820">
        <v>0</v>
      </c>
      <c r="M1820">
        <v>0</v>
      </c>
      <c r="N1820">
        <v>2400</v>
      </c>
    </row>
    <row r="1821" spans="1:14" x14ac:dyDescent="0.25">
      <c r="A1821">
        <v>1461.5179230000001</v>
      </c>
      <c r="B1821" s="1">
        <f>DATE(2014,5,1) + TIME(12,25,48)</f>
        <v>41760.517916666664</v>
      </c>
      <c r="C1821">
        <v>80</v>
      </c>
      <c r="D1821">
        <v>72.778236389</v>
      </c>
      <c r="E1821">
        <v>50</v>
      </c>
      <c r="F1821">
        <v>49.915489196999999</v>
      </c>
      <c r="G1821">
        <v>1390.8424072</v>
      </c>
      <c r="H1821">
        <v>1374.244751</v>
      </c>
      <c r="I1821">
        <v>1289.1214600000001</v>
      </c>
      <c r="J1821">
        <v>1270.0697021000001</v>
      </c>
      <c r="K1821">
        <v>2400</v>
      </c>
      <c r="L1821">
        <v>0</v>
      </c>
      <c r="M1821">
        <v>0</v>
      </c>
      <c r="N1821">
        <v>2400</v>
      </c>
    </row>
    <row r="1822" spans="1:14" x14ac:dyDescent="0.25">
      <c r="A1822">
        <v>1461.557961</v>
      </c>
      <c r="B1822" s="1">
        <f>DATE(2014,5,1) + TIME(13,23,27)</f>
        <v>41760.557951388888</v>
      </c>
      <c r="C1822">
        <v>80</v>
      </c>
      <c r="D1822">
        <v>73.177543639999996</v>
      </c>
      <c r="E1822">
        <v>50</v>
      </c>
      <c r="F1822">
        <v>49.911907196000001</v>
      </c>
      <c r="G1822">
        <v>1390.6938477000001</v>
      </c>
      <c r="H1822">
        <v>1374.1799315999999</v>
      </c>
      <c r="I1822">
        <v>1289.1213379000001</v>
      </c>
      <c r="J1822">
        <v>1270.0690918</v>
      </c>
      <c r="K1822">
        <v>2400</v>
      </c>
      <c r="L1822">
        <v>0</v>
      </c>
      <c r="M1822">
        <v>0</v>
      </c>
      <c r="N1822">
        <v>2400</v>
      </c>
    </row>
    <row r="1823" spans="1:14" x14ac:dyDescent="0.25">
      <c r="A1823">
        <v>1461.599299</v>
      </c>
      <c r="B1823" s="1">
        <f>DATE(2014,5,1) + TIME(14,22,59)</f>
        <v>41760.599293981482</v>
      </c>
      <c r="C1823">
        <v>80</v>
      </c>
      <c r="D1823">
        <v>73.566284179999997</v>
      </c>
      <c r="E1823">
        <v>50</v>
      </c>
      <c r="F1823">
        <v>49.908245086999997</v>
      </c>
      <c r="G1823">
        <v>1390.5491943</v>
      </c>
      <c r="H1823">
        <v>1374.1160889</v>
      </c>
      <c r="I1823">
        <v>1289.1209716999999</v>
      </c>
      <c r="J1823">
        <v>1270.0684814000001</v>
      </c>
      <c r="K1823">
        <v>2400</v>
      </c>
      <c r="L1823">
        <v>0</v>
      </c>
      <c r="M1823">
        <v>0</v>
      </c>
      <c r="N1823">
        <v>2400</v>
      </c>
    </row>
    <row r="1824" spans="1:14" x14ac:dyDescent="0.25">
      <c r="A1824">
        <v>1461.6420350000001</v>
      </c>
      <c r="B1824" s="1">
        <f>DATE(2014,5,1) + TIME(15,24,31)</f>
        <v>41760.642025462963</v>
      </c>
      <c r="C1824">
        <v>80</v>
      </c>
      <c r="D1824">
        <v>73.944465636999993</v>
      </c>
      <c r="E1824">
        <v>50</v>
      </c>
      <c r="F1824">
        <v>49.904502868999998</v>
      </c>
      <c r="G1824">
        <v>1390.4083252</v>
      </c>
      <c r="H1824">
        <v>1374.0533447</v>
      </c>
      <c r="I1824">
        <v>1289.1206055</v>
      </c>
      <c r="J1824">
        <v>1270.0678711</v>
      </c>
      <c r="K1824">
        <v>2400</v>
      </c>
      <c r="L1824">
        <v>0</v>
      </c>
      <c r="M1824">
        <v>0</v>
      </c>
      <c r="N1824">
        <v>2400</v>
      </c>
    </row>
    <row r="1825" spans="1:14" x14ac:dyDescent="0.25">
      <c r="A1825">
        <v>1461.6862719999999</v>
      </c>
      <c r="B1825" s="1">
        <f>DATE(2014,5,1) + TIME(16,28,13)</f>
        <v>41760.686261574076</v>
      </c>
      <c r="C1825">
        <v>80</v>
      </c>
      <c r="D1825">
        <v>74.312080382999994</v>
      </c>
      <c r="E1825">
        <v>50</v>
      </c>
      <c r="F1825">
        <v>49.900665283000002</v>
      </c>
      <c r="G1825">
        <v>1390.2709961</v>
      </c>
      <c r="H1825">
        <v>1373.9914550999999</v>
      </c>
      <c r="I1825">
        <v>1289.1202393000001</v>
      </c>
      <c r="J1825">
        <v>1270.0671387</v>
      </c>
      <c r="K1825">
        <v>2400</v>
      </c>
      <c r="L1825">
        <v>0</v>
      </c>
      <c r="M1825">
        <v>0</v>
      </c>
      <c r="N1825">
        <v>2400</v>
      </c>
    </row>
    <row r="1826" spans="1:14" x14ac:dyDescent="0.25">
      <c r="A1826">
        <v>1461.7321280000001</v>
      </c>
      <c r="B1826" s="1">
        <f>DATE(2014,5,1) + TIME(17,34,15)</f>
        <v>41760.732118055559</v>
      </c>
      <c r="C1826">
        <v>80</v>
      </c>
      <c r="D1826">
        <v>74.669113159000005</v>
      </c>
      <c r="E1826">
        <v>50</v>
      </c>
      <c r="F1826">
        <v>49.896728516000003</v>
      </c>
      <c r="G1826">
        <v>1390.1370850000001</v>
      </c>
      <c r="H1826">
        <v>1373.9304199000001</v>
      </c>
      <c r="I1826">
        <v>1289.119751</v>
      </c>
      <c r="J1826">
        <v>1270.0662841999999</v>
      </c>
      <c r="K1826">
        <v>2400</v>
      </c>
      <c r="L1826">
        <v>0</v>
      </c>
      <c r="M1826">
        <v>0</v>
      </c>
      <c r="N1826">
        <v>2400</v>
      </c>
    </row>
    <row r="1827" spans="1:14" x14ac:dyDescent="0.25">
      <c r="A1827">
        <v>1461.7797330000001</v>
      </c>
      <c r="B1827" s="1">
        <f>DATE(2014,5,1) + TIME(18,42,48)</f>
        <v>41760.779722222222</v>
      </c>
      <c r="C1827">
        <v>80</v>
      </c>
      <c r="D1827">
        <v>75.015525818</v>
      </c>
      <c r="E1827">
        <v>50</v>
      </c>
      <c r="F1827">
        <v>49.892688751000001</v>
      </c>
      <c r="G1827">
        <v>1390.0063477000001</v>
      </c>
      <c r="H1827">
        <v>1373.8701172000001</v>
      </c>
      <c r="I1827">
        <v>1289.1192627</v>
      </c>
      <c r="J1827">
        <v>1270.0654297000001</v>
      </c>
      <c r="K1827">
        <v>2400</v>
      </c>
      <c r="L1827">
        <v>0</v>
      </c>
      <c r="M1827">
        <v>0</v>
      </c>
      <c r="N1827">
        <v>2400</v>
      </c>
    </row>
    <row r="1828" spans="1:14" x14ac:dyDescent="0.25">
      <c r="A1828">
        <v>1461.829232</v>
      </c>
      <c r="B1828" s="1">
        <f>DATE(2014,5,1) + TIME(19,54,5)</f>
        <v>41760.829224537039</v>
      </c>
      <c r="C1828">
        <v>80</v>
      </c>
      <c r="D1828">
        <v>75.351058960000003</v>
      </c>
      <c r="E1828">
        <v>50</v>
      </c>
      <c r="F1828">
        <v>49.888530731000003</v>
      </c>
      <c r="G1828">
        <v>1389.8786620999999</v>
      </c>
      <c r="H1828">
        <v>1373.8103027</v>
      </c>
      <c r="I1828">
        <v>1289.1186522999999</v>
      </c>
      <c r="J1828">
        <v>1270.0644531</v>
      </c>
      <c r="K1828">
        <v>2400</v>
      </c>
      <c r="L1828">
        <v>0</v>
      </c>
      <c r="M1828">
        <v>0</v>
      </c>
      <c r="N1828">
        <v>2400</v>
      </c>
    </row>
    <row r="1829" spans="1:14" x14ac:dyDescent="0.25">
      <c r="A1829">
        <v>1461.880789</v>
      </c>
      <c r="B1829" s="1">
        <f>DATE(2014,5,1) + TIME(21,8,20)</f>
        <v>41760.880787037036</v>
      </c>
      <c r="C1829">
        <v>80</v>
      </c>
      <c r="D1829">
        <v>75.675895690999994</v>
      </c>
      <c r="E1829">
        <v>50</v>
      </c>
      <c r="F1829">
        <v>49.884246826000002</v>
      </c>
      <c r="G1829">
        <v>1389.7537841999999</v>
      </c>
      <c r="H1829">
        <v>1373.7510986</v>
      </c>
      <c r="I1829">
        <v>1289.1180420000001</v>
      </c>
      <c r="J1829">
        <v>1270.0634766000001</v>
      </c>
      <c r="K1829">
        <v>2400</v>
      </c>
      <c r="L1829">
        <v>0</v>
      </c>
      <c r="M1829">
        <v>0</v>
      </c>
      <c r="N1829">
        <v>2400</v>
      </c>
    </row>
    <row r="1830" spans="1:14" x14ac:dyDescent="0.25">
      <c r="A1830">
        <v>1461.934589</v>
      </c>
      <c r="B1830" s="1">
        <f>DATE(2014,5,1) + TIME(22,25,48)</f>
        <v>41760.934583333335</v>
      </c>
      <c r="C1830">
        <v>80</v>
      </c>
      <c r="D1830">
        <v>75.989982604999994</v>
      </c>
      <c r="E1830">
        <v>50</v>
      </c>
      <c r="F1830">
        <v>49.879821776999997</v>
      </c>
      <c r="G1830">
        <v>1389.6315918</v>
      </c>
      <c r="H1830">
        <v>1373.6922606999999</v>
      </c>
      <c r="I1830">
        <v>1289.1174315999999</v>
      </c>
      <c r="J1830">
        <v>1270.0625</v>
      </c>
      <c r="K1830">
        <v>2400</v>
      </c>
      <c r="L1830">
        <v>0</v>
      </c>
      <c r="M1830">
        <v>0</v>
      </c>
      <c r="N1830">
        <v>2400</v>
      </c>
    </row>
    <row r="1831" spans="1:14" x14ac:dyDescent="0.25">
      <c r="A1831">
        <v>1461.9908419999999</v>
      </c>
      <c r="B1831" s="1">
        <f>DATE(2014,5,1) + TIME(23,46,48)</f>
        <v>41760.990833333337</v>
      </c>
      <c r="C1831">
        <v>80</v>
      </c>
      <c r="D1831">
        <v>76.293258667000003</v>
      </c>
      <c r="E1831">
        <v>50</v>
      </c>
      <c r="F1831">
        <v>49.875251769999998</v>
      </c>
      <c r="G1831">
        <v>1389.5118408000001</v>
      </c>
      <c r="H1831">
        <v>1373.6335449000001</v>
      </c>
      <c r="I1831">
        <v>1289.1166992000001</v>
      </c>
      <c r="J1831">
        <v>1270.0614014</v>
      </c>
      <c r="K1831">
        <v>2400</v>
      </c>
      <c r="L1831">
        <v>0</v>
      </c>
      <c r="M1831">
        <v>0</v>
      </c>
      <c r="N1831">
        <v>2400</v>
      </c>
    </row>
    <row r="1832" spans="1:14" x14ac:dyDescent="0.25">
      <c r="A1832">
        <v>1462.0498219999999</v>
      </c>
      <c r="B1832" s="1">
        <f>DATE(2014,5,2) + TIME(1,11,44)</f>
        <v>41761.049814814818</v>
      </c>
      <c r="C1832">
        <v>80</v>
      </c>
      <c r="D1832">
        <v>76.585807799999998</v>
      </c>
      <c r="E1832">
        <v>50</v>
      </c>
      <c r="F1832">
        <v>49.870506286999998</v>
      </c>
      <c r="G1832">
        <v>1389.3941649999999</v>
      </c>
      <c r="H1832">
        <v>1373.5750731999999</v>
      </c>
      <c r="I1832">
        <v>1289.1159668</v>
      </c>
      <c r="J1832">
        <v>1270.0601807</v>
      </c>
      <c r="K1832">
        <v>2400</v>
      </c>
      <c r="L1832">
        <v>0</v>
      </c>
      <c r="M1832">
        <v>0</v>
      </c>
      <c r="N1832">
        <v>2400</v>
      </c>
    </row>
    <row r="1833" spans="1:14" x14ac:dyDescent="0.25">
      <c r="A1833">
        <v>1462.111787</v>
      </c>
      <c r="B1833" s="1">
        <f>DATE(2014,5,2) + TIME(2,40,58)</f>
        <v>41761.11178240741</v>
      </c>
      <c r="C1833">
        <v>80</v>
      </c>
      <c r="D1833">
        <v>76.867431640999996</v>
      </c>
      <c r="E1833">
        <v>50</v>
      </c>
      <c r="F1833">
        <v>49.865581511999999</v>
      </c>
      <c r="G1833">
        <v>1389.2786865</v>
      </c>
      <c r="H1833">
        <v>1373.5166016000001</v>
      </c>
      <c r="I1833">
        <v>1289.1152344</v>
      </c>
      <c r="J1833">
        <v>1270.0589600000001</v>
      </c>
      <c r="K1833">
        <v>2400</v>
      </c>
      <c r="L1833">
        <v>0</v>
      </c>
      <c r="M1833">
        <v>0</v>
      </c>
      <c r="N1833">
        <v>2400</v>
      </c>
    </row>
    <row r="1834" spans="1:14" x14ac:dyDescent="0.25">
      <c r="A1834">
        <v>1462.177048</v>
      </c>
      <c r="B1834" s="1">
        <f>DATE(2014,5,2) + TIME(4,14,56)</f>
        <v>41761.177037037036</v>
      </c>
      <c r="C1834">
        <v>80</v>
      </c>
      <c r="D1834">
        <v>77.138000488000003</v>
      </c>
      <c r="E1834">
        <v>50</v>
      </c>
      <c r="F1834">
        <v>49.860454558999997</v>
      </c>
      <c r="G1834">
        <v>1389.1650391000001</v>
      </c>
      <c r="H1834">
        <v>1373.4580077999999</v>
      </c>
      <c r="I1834">
        <v>1289.1143798999999</v>
      </c>
      <c r="J1834">
        <v>1270.0577393000001</v>
      </c>
      <c r="K1834">
        <v>2400</v>
      </c>
      <c r="L1834">
        <v>0</v>
      </c>
      <c r="M1834">
        <v>0</v>
      </c>
      <c r="N1834">
        <v>2400</v>
      </c>
    </row>
    <row r="1835" spans="1:14" x14ac:dyDescent="0.25">
      <c r="A1835">
        <v>1462.2459779999999</v>
      </c>
      <c r="B1835" s="1">
        <f>DATE(2014,5,2) + TIME(5,54,12)</f>
        <v>41761.245972222219</v>
      </c>
      <c r="C1835">
        <v>80</v>
      </c>
      <c r="D1835">
        <v>77.397399902000004</v>
      </c>
      <c r="E1835">
        <v>50</v>
      </c>
      <c r="F1835">
        <v>49.855098724000001</v>
      </c>
      <c r="G1835">
        <v>1389.0531006000001</v>
      </c>
      <c r="H1835">
        <v>1373.3991699000001</v>
      </c>
      <c r="I1835">
        <v>1289.1134033000001</v>
      </c>
      <c r="J1835">
        <v>1270.0563964999999</v>
      </c>
      <c r="K1835">
        <v>2400</v>
      </c>
      <c r="L1835">
        <v>0</v>
      </c>
      <c r="M1835">
        <v>0</v>
      </c>
      <c r="N1835">
        <v>2400</v>
      </c>
    </row>
    <row r="1836" spans="1:14" x14ac:dyDescent="0.25">
      <c r="A1836">
        <v>1462.3190159999999</v>
      </c>
      <c r="B1836" s="1">
        <f>DATE(2014,5,2) + TIME(7,39,23)</f>
        <v>41761.319016203706</v>
      </c>
      <c r="C1836">
        <v>80</v>
      </c>
      <c r="D1836">
        <v>77.645515442000004</v>
      </c>
      <c r="E1836">
        <v>50</v>
      </c>
      <c r="F1836">
        <v>49.849491119</v>
      </c>
      <c r="G1836">
        <v>1388.9425048999999</v>
      </c>
      <c r="H1836">
        <v>1373.3399658000001</v>
      </c>
      <c r="I1836">
        <v>1289.1124268000001</v>
      </c>
      <c r="J1836">
        <v>1270.0549315999999</v>
      </c>
      <c r="K1836">
        <v>2400</v>
      </c>
      <c r="L1836">
        <v>0</v>
      </c>
      <c r="M1836">
        <v>0</v>
      </c>
      <c r="N1836">
        <v>2400</v>
      </c>
    </row>
    <row r="1837" spans="1:14" x14ac:dyDescent="0.25">
      <c r="A1837">
        <v>1462.3966720000001</v>
      </c>
      <c r="B1837" s="1">
        <f>DATE(2014,5,2) + TIME(9,31,12)</f>
        <v>41761.396666666667</v>
      </c>
      <c r="C1837">
        <v>80</v>
      </c>
      <c r="D1837">
        <v>77.882209778000004</v>
      </c>
      <c r="E1837">
        <v>50</v>
      </c>
      <c r="F1837">
        <v>49.843605042</v>
      </c>
      <c r="G1837">
        <v>1388.8332519999999</v>
      </c>
      <c r="H1837">
        <v>1373.2801514</v>
      </c>
      <c r="I1837">
        <v>1289.1114502</v>
      </c>
      <c r="J1837">
        <v>1270.0533447</v>
      </c>
      <c r="K1837">
        <v>2400</v>
      </c>
      <c r="L1837">
        <v>0</v>
      </c>
      <c r="M1837">
        <v>0</v>
      </c>
      <c r="N1837">
        <v>2400</v>
      </c>
    </row>
    <row r="1838" spans="1:14" x14ac:dyDescent="0.25">
      <c r="A1838">
        <v>1462.4795630000001</v>
      </c>
      <c r="B1838" s="1">
        <f>DATE(2014,5,2) + TIME(11,30,34)</f>
        <v>41761.479560185187</v>
      </c>
      <c r="C1838">
        <v>80</v>
      </c>
      <c r="D1838">
        <v>78.107322693</v>
      </c>
      <c r="E1838">
        <v>50</v>
      </c>
      <c r="F1838">
        <v>49.837394713999998</v>
      </c>
      <c r="G1838">
        <v>1388.7248535000001</v>
      </c>
      <c r="H1838">
        <v>1373.2196045000001</v>
      </c>
      <c r="I1838">
        <v>1289.1103516000001</v>
      </c>
      <c r="J1838">
        <v>1270.0517577999999</v>
      </c>
      <c r="K1838">
        <v>2400</v>
      </c>
      <c r="L1838">
        <v>0</v>
      </c>
      <c r="M1838">
        <v>0</v>
      </c>
      <c r="N1838">
        <v>2400</v>
      </c>
    </row>
    <row r="1839" spans="1:14" x14ac:dyDescent="0.25">
      <c r="A1839">
        <v>1462.5684490000001</v>
      </c>
      <c r="B1839" s="1">
        <f>DATE(2014,5,2) + TIME(13,38,33)</f>
        <v>41761.568437499998</v>
      </c>
      <c r="C1839">
        <v>80</v>
      </c>
      <c r="D1839">
        <v>78.320732117000006</v>
      </c>
      <c r="E1839">
        <v>50</v>
      </c>
      <c r="F1839">
        <v>49.830821991000001</v>
      </c>
      <c r="G1839">
        <v>1388.6171875</v>
      </c>
      <c r="H1839">
        <v>1373.1579589999999</v>
      </c>
      <c r="I1839">
        <v>1289.1091309000001</v>
      </c>
      <c r="J1839">
        <v>1270.0500488</v>
      </c>
      <c r="K1839">
        <v>2400</v>
      </c>
      <c r="L1839">
        <v>0</v>
      </c>
      <c r="M1839">
        <v>0</v>
      </c>
      <c r="N1839">
        <v>2400</v>
      </c>
    </row>
    <row r="1840" spans="1:14" x14ac:dyDescent="0.25">
      <c r="A1840">
        <v>1462.6642489999999</v>
      </c>
      <c r="B1840" s="1">
        <f>DATE(2014,5,2) + TIME(15,56,31)</f>
        <v>41761.664247685185</v>
      </c>
      <c r="C1840">
        <v>80</v>
      </c>
      <c r="D1840">
        <v>78.522262573000006</v>
      </c>
      <c r="E1840">
        <v>50</v>
      </c>
      <c r="F1840">
        <v>49.823833466000004</v>
      </c>
      <c r="G1840">
        <v>1388.5098877</v>
      </c>
      <c r="H1840">
        <v>1373.0952147999999</v>
      </c>
      <c r="I1840">
        <v>1289.1079102000001</v>
      </c>
      <c r="J1840">
        <v>1270.0480957</v>
      </c>
      <c r="K1840">
        <v>2400</v>
      </c>
      <c r="L1840">
        <v>0</v>
      </c>
      <c r="M1840">
        <v>0</v>
      </c>
      <c r="N1840">
        <v>2400</v>
      </c>
    </row>
    <row r="1841" spans="1:14" x14ac:dyDescent="0.25">
      <c r="A1841">
        <v>1462.7681030000001</v>
      </c>
      <c r="B1841" s="1">
        <f>DATE(2014,5,2) + TIME(18,26,4)</f>
        <v>41761.768101851849</v>
      </c>
      <c r="C1841">
        <v>80</v>
      </c>
      <c r="D1841">
        <v>78.711738585999996</v>
      </c>
      <c r="E1841">
        <v>50</v>
      </c>
      <c r="F1841">
        <v>49.816356659</v>
      </c>
      <c r="G1841">
        <v>1388.4027100000001</v>
      </c>
      <c r="H1841">
        <v>1373.0310059000001</v>
      </c>
      <c r="I1841">
        <v>1289.1064452999999</v>
      </c>
      <c r="J1841">
        <v>1270.0461425999999</v>
      </c>
      <c r="K1841">
        <v>2400</v>
      </c>
      <c r="L1841">
        <v>0</v>
      </c>
      <c r="M1841">
        <v>0</v>
      </c>
      <c r="N1841">
        <v>2400</v>
      </c>
    </row>
    <row r="1842" spans="1:14" x14ac:dyDescent="0.25">
      <c r="A1842">
        <v>1462.8814620000001</v>
      </c>
      <c r="B1842" s="1">
        <f>DATE(2014,5,2) + TIME(21,9,18)</f>
        <v>41761.881458333337</v>
      </c>
      <c r="C1842">
        <v>80</v>
      </c>
      <c r="D1842">
        <v>78.888954162999994</v>
      </c>
      <c r="E1842">
        <v>50</v>
      </c>
      <c r="F1842">
        <v>49.808319091999998</v>
      </c>
      <c r="G1842">
        <v>1388.2951660000001</v>
      </c>
      <c r="H1842">
        <v>1372.9649658000001</v>
      </c>
      <c r="I1842">
        <v>1289.1049805</v>
      </c>
      <c r="J1842">
        <v>1270.0439452999999</v>
      </c>
      <c r="K1842">
        <v>2400</v>
      </c>
      <c r="L1842">
        <v>0</v>
      </c>
      <c r="M1842">
        <v>0</v>
      </c>
      <c r="N1842">
        <v>2400</v>
      </c>
    </row>
    <row r="1843" spans="1:14" x14ac:dyDescent="0.25">
      <c r="A1843">
        <v>1462.998143</v>
      </c>
      <c r="B1843" s="1">
        <f>DATE(2014,5,2) + TIME(23,57,19)</f>
        <v>41761.998136574075</v>
      </c>
      <c r="C1843">
        <v>80</v>
      </c>
      <c r="D1843">
        <v>79.044624329000001</v>
      </c>
      <c r="E1843">
        <v>50</v>
      </c>
      <c r="F1843">
        <v>49.800102234000001</v>
      </c>
      <c r="G1843">
        <v>1388.1920166</v>
      </c>
      <c r="H1843">
        <v>1372.8994141000001</v>
      </c>
      <c r="I1843">
        <v>1289.1032714999999</v>
      </c>
      <c r="J1843">
        <v>1270.041626</v>
      </c>
      <c r="K1843">
        <v>2400</v>
      </c>
      <c r="L1843">
        <v>0</v>
      </c>
      <c r="M1843">
        <v>0</v>
      </c>
      <c r="N1843">
        <v>2400</v>
      </c>
    </row>
    <row r="1844" spans="1:14" x14ac:dyDescent="0.25">
      <c r="A1844">
        <v>1463.115121</v>
      </c>
      <c r="B1844" s="1">
        <f>DATE(2014,5,3) + TIME(2,45,46)</f>
        <v>41762.115115740744</v>
      </c>
      <c r="C1844">
        <v>80</v>
      </c>
      <c r="D1844">
        <v>79.177787781000006</v>
      </c>
      <c r="E1844">
        <v>50</v>
      </c>
      <c r="F1844">
        <v>49.791896819999998</v>
      </c>
      <c r="G1844">
        <v>1388.0952147999999</v>
      </c>
      <c r="H1844">
        <v>1372.8363036999999</v>
      </c>
      <c r="I1844">
        <v>1289.1015625</v>
      </c>
      <c r="J1844">
        <v>1270.0391846</v>
      </c>
      <c r="K1844">
        <v>2400</v>
      </c>
      <c r="L1844">
        <v>0</v>
      </c>
      <c r="M1844">
        <v>0</v>
      </c>
      <c r="N1844">
        <v>2400</v>
      </c>
    </row>
    <row r="1845" spans="1:14" x14ac:dyDescent="0.25">
      <c r="A1845">
        <v>1463.2328769999999</v>
      </c>
      <c r="B1845" s="1">
        <f>DATE(2014,5,3) + TIME(5,35,20)</f>
        <v>41762.232870370368</v>
      </c>
      <c r="C1845">
        <v>80</v>
      </c>
      <c r="D1845">
        <v>79.292060852000006</v>
      </c>
      <c r="E1845">
        <v>50</v>
      </c>
      <c r="F1845">
        <v>49.783668517999999</v>
      </c>
      <c r="G1845">
        <v>1388.0043945</v>
      </c>
      <c r="H1845">
        <v>1372.7757568</v>
      </c>
      <c r="I1845">
        <v>1289.0997314000001</v>
      </c>
      <c r="J1845">
        <v>1270.0367432</v>
      </c>
      <c r="K1845">
        <v>2400</v>
      </c>
      <c r="L1845">
        <v>0</v>
      </c>
      <c r="M1845">
        <v>0</v>
      </c>
      <c r="N1845">
        <v>2400</v>
      </c>
    </row>
    <row r="1846" spans="1:14" x14ac:dyDescent="0.25">
      <c r="A1846">
        <v>1463.351727</v>
      </c>
      <c r="B1846" s="1">
        <f>DATE(2014,5,3) + TIME(8,26,29)</f>
        <v>41762.351724537039</v>
      </c>
      <c r="C1846">
        <v>80</v>
      </c>
      <c r="D1846">
        <v>79.390274047999995</v>
      </c>
      <c r="E1846">
        <v>50</v>
      </c>
      <c r="F1846">
        <v>49.775402069000002</v>
      </c>
      <c r="G1846">
        <v>1387.9183350000001</v>
      </c>
      <c r="H1846">
        <v>1372.7174072</v>
      </c>
      <c r="I1846">
        <v>1289.0979004000001</v>
      </c>
      <c r="J1846">
        <v>1270.0343018000001</v>
      </c>
      <c r="K1846">
        <v>2400</v>
      </c>
      <c r="L1846">
        <v>0</v>
      </c>
      <c r="M1846">
        <v>0</v>
      </c>
      <c r="N1846">
        <v>2400</v>
      </c>
    </row>
    <row r="1847" spans="1:14" x14ac:dyDescent="0.25">
      <c r="A1847">
        <v>1463.4719789999999</v>
      </c>
      <c r="B1847" s="1">
        <f>DATE(2014,5,3) + TIME(11,19,38)</f>
        <v>41762.471967592595</v>
      </c>
      <c r="C1847">
        <v>80</v>
      </c>
      <c r="D1847">
        <v>79.474746703999998</v>
      </c>
      <c r="E1847">
        <v>50</v>
      </c>
      <c r="F1847">
        <v>49.767078400000003</v>
      </c>
      <c r="G1847">
        <v>1387.8366699000001</v>
      </c>
      <c r="H1847">
        <v>1372.6610106999999</v>
      </c>
      <c r="I1847">
        <v>1289.0960693</v>
      </c>
      <c r="J1847">
        <v>1270.0317382999999</v>
      </c>
      <c r="K1847">
        <v>2400</v>
      </c>
      <c r="L1847">
        <v>0</v>
      </c>
      <c r="M1847">
        <v>0</v>
      </c>
      <c r="N1847">
        <v>2400</v>
      </c>
    </row>
    <row r="1848" spans="1:14" x14ac:dyDescent="0.25">
      <c r="A1848">
        <v>1463.593963</v>
      </c>
      <c r="B1848" s="1">
        <f>DATE(2014,5,3) + TIME(14,15,18)</f>
        <v>41762.593958333331</v>
      </c>
      <c r="C1848">
        <v>80</v>
      </c>
      <c r="D1848">
        <v>79.547462463000002</v>
      </c>
      <c r="E1848">
        <v>50</v>
      </c>
      <c r="F1848">
        <v>49.758678435999997</v>
      </c>
      <c r="G1848">
        <v>1387.7586670000001</v>
      </c>
      <c r="H1848">
        <v>1372.6062012</v>
      </c>
      <c r="I1848">
        <v>1289.0942382999999</v>
      </c>
      <c r="J1848">
        <v>1270.0292969</v>
      </c>
      <c r="K1848">
        <v>2400</v>
      </c>
      <c r="L1848">
        <v>0</v>
      </c>
      <c r="M1848">
        <v>0</v>
      </c>
      <c r="N1848">
        <v>2400</v>
      </c>
    </row>
    <row r="1849" spans="1:14" x14ac:dyDescent="0.25">
      <c r="A1849">
        <v>1463.717987</v>
      </c>
      <c r="B1849" s="1">
        <f>DATE(2014,5,3) + TIME(17,13,54)</f>
        <v>41762.717986111114</v>
      </c>
      <c r="C1849">
        <v>80</v>
      </c>
      <c r="D1849">
        <v>79.610046386999997</v>
      </c>
      <c r="E1849">
        <v>50</v>
      </c>
      <c r="F1849">
        <v>49.750179291000002</v>
      </c>
      <c r="G1849">
        <v>1387.6838379000001</v>
      </c>
      <c r="H1849">
        <v>1372.5528564000001</v>
      </c>
      <c r="I1849">
        <v>1289.0924072</v>
      </c>
      <c r="J1849">
        <v>1270.0267334</v>
      </c>
      <c r="K1849">
        <v>2400</v>
      </c>
      <c r="L1849">
        <v>0</v>
      </c>
      <c r="M1849">
        <v>0</v>
      </c>
      <c r="N1849">
        <v>2400</v>
      </c>
    </row>
    <row r="1850" spans="1:14" x14ac:dyDescent="0.25">
      <c r="A1850">
        <v>1463.8443299999999</v>
      </c>
      <c r="B1850" s="1">
        <f>DATE(2014,5,3) + TIME(20,15,50)</f>
        <v>41762.844328703701</v>
      </c>
      <c r="C1850">
        <v>80</v>
      </c>
      <c r="D1850">
        <v>79.663879394999995</v>
      </c>
      <c r="E1850">
        <v>50</v>
      </c>
      <c r="F1850">
        <v>49.741565704000003</v>
      </c>
      <c r="G1850">
        <v>1387.6116943</v>
      </c>
      <c r="H1850">
        <v>1372.5008545000001</v>
      </c>
      <c r="I1850">
        <v>1289.0904541</v>
      </c>
      <c r="J1850">
        <v>1270.0241699000001</v>
      </c>
      <c r="K1850">
        <v>2400</v>
      </c>
      <c r="L1850">
        <v>0</v>
      </c>
      <c r="M1850">
        <v>0</v>
      </c>
      <c r="N1850">
        <v>2400</v>
      </c>
    </row>
    <row r="1851" spans="1:14" x14ac:dyDescent="0.25">
      <c r="A1851">
        <v>1463.973315</v>
      </c>
      <c r="B1851" s="1">
        <f>DATE(2014,5,3) + TIME(23,21,34)</f>
        <v>41762.973310185182</v>
      </c>
      <c r="C1851">
        <v>80</v>
      </c>
      <c r="D1851">
        <v>79.710151671999995</v>
      </c>
      <c r="E1851">
        <v>50</v>
      </c>
      <c r="F1851">
        <v>49.732822417999998</v>
      </c>
      <c r="G1851">
        <v>1387.5419922000001</v>
      </c>
      <c r="H1851">
        <v>1372.4498291</v>
      </c>
      <c r="I1851">
        <v>1289.088501</v>
      </c>
      <c r="J1851">
        <v>1270.0214844</v>
      </c>
      <c r="K1851">
        <v>2400</v>
      </c>
      <c r="L1851">
        <v>0</v>
      </c>
      <c r="M1851">
        <v>0</v>
      </c>
      <c r="N1851">
        <v>2400</v>
      </c>
    </row>
    <row r="1852" spans="1:14" x14ac:dyDescent="0.25">
      <c r="A1852">
        <v>1464.1052790000001</v>
      </c>
      <c r="B1852" s="1">
        <f>DATE(2014,5,4) + TIME(2,31,36)</f>
        <v>41763.10527777778</v>
      </c>
      <c r="C1852">
        <v>80</v>
      </c>
      <c r="D1852">
        <v>79.749877929999997</v>
      </c>
      <c r="E1852">
        <v>50</v>
      </c>
      <c r="F1852">
        <v>49.723922729000002</v>
      </c>
      <c r="G1852">
        <v>1387.4743652</v>
      </c>
      <c r="H1852">
        <v>1372.3997803</v>
      </c>
      <c r="I1852">
        <v>1289.0865478999999</v>
      </c>
      <c r="J1852">
        <v>1270.0186768000001</v>
      </c>
      <c r="K1852">
        <v>2400</v>
      </c>
      <c r="L1852">
        <v>0</v>
      </c>
      <c r="M1852">
        <v>0</v>
      </c>
      <c r="N1852">
        <v>2400</v>
      </c>
    </row>
    <row r="1853" spans="1:14" x14ac:dyDescent="0.25">
      <c r="A1853">
        <v>1464.2405799999999</v>
      </c>
      <c r="B1853" s="1">
        <f>DATE(2014,5,4) + TIME(5,46,26)</f>
        <v>41763.240578703706</v>
      </c>
      <c r="C1853">
        <v>80</v>
      </c>
      <c r="D1853">
        <v>79.783927917</v>
      </c>
      <c r="E1853">
        <v>50</v>
      </c>
      <c r="F1853">
        <v>49.714851379000002</v>
      </c>
      <c r="G1853">
        <v>1387.4083252</v>
      </c>
      <c r="H1853">
        <v>1372.3504639</v>
      </c>
      <c r="I1853">
        <v>1289.0844727000001</v>
      </c>
      <c r="J1853">
        <v>1270.0159911999999</v>
      </c>
      <c r="K1853">
        <v>2400</v>
      </c>
      <c r="L1853">
        <v>0</v>
      </c>
      <c r="M1853">
        <v>0</v>
      </c>
      <c r="N1853">
        <v>2400</v>
      </c>
    </row>
    <row r="1854" spans="1:14" x14ac:dyDescent="0.25">
      <c r="A1854">
        <v>1464.3796050000001</v>
      </c>
      <c r="B1854" s="1">
        <f>DATE(2014,5,4) + TIME(9,6,37)</f>
        <v>41763.379594907405</v>
      </c>
      <c r="C1854">
        <v>80</v>
      </c>
      <c r="D1854">
        <v>79.813056946000003</v>
      </c>
      <c r="E1854">
        <v>50</v>
      </c>
      <c r="F1854">
        <v>49.705585480000003</v>
      </c>
      <c r="G1854">
        <v>1387.3438721</v>
      </c>
      <c r="H1854">
        <v>1372.3018798999999</v>
      </c>
      <c r="I1854">
        <v>1289.0822754000001</v>
      </c>
      <c r="J1854">
        <v>1270.0130615</v>
      </c>
      <c r="K1854">
        <v>2400</v>
      </c>
      <c r="L1854">
        <v>0</v>
      </c>
      <c r="M1854">
        <v>0</v>
      </c>
      <c r="N1854">
        <v>2400</v>
      </c>
    </row>
    <row r="1855" spans="1:14" x14ac:dyDescent="0.25">
      <c r="A1855">
        <v>1464.522774</v>
      </c>
      <c r="B1855" s="1">
        <f>DATE(2014,5,4) + TIME(12,32,47)</f>
        <v>41763.522766203707</v>
      </c>
      <c r="C1855">
        <v>80</v>
      </c>
      <c r="D1855">
        <v>79.837928771999998</v>
      </c>
      <c r="E1855">
        <v>50</v>
      </c>
      <c r="F1855">
        <v>49.696098327999998</v>
      </c>
      <c r="G1855">
        <v>1387.2805175999999</v>
      </c>
      <c r="H1855">
        <v>1372.2537841999999</v>
      </c>
      <c r="I1855">
        <v>1289.0802002</v>
      </c>
      <c r="J1855">
        <v>1270.0101318</v>
      </c>
      <c r="K1855">
        <v>2400</v>
      </c>
      <c r="L1855">
        <v>0</v>
      </c>
      <c r="M1855">
        <v>0</v>
      </c>
      <c r="N1855">
        <v>2400</v>
      </c>
    </row>
    <row r="1856" spans="1:14" x14ac:dyDescent="0.25">
      <c r="A1856">
        <v>1464.67055</v>
      </c>
      <c r="B1856" s="1">
        <f>DATE(2014,5,4) + TIME(16,5,35)</f>
        <v>41763.670543981483</v>
      </c>
      <c r="C1856">
        <v>80</v>
      </c>
      <c r="D1856">
        <v>79.859100342000005</v>
      </c>
      <c r="E1856">
        <v>50</v>
      </c>
      <c r="F1856">
        <v>49.686367035000004</v>
      </c>
      <c r="G1856">
        <v>1387.2182617000001</v>
      </c>
      <c r="H1856">
        <v>1372.2059326000001</v>
      </c>
      <c r="I1856">
        <v>1289.0778809000001</v>
      </c>
      <c r="J1856">
        <v>1270.0070800999999</v>
      </c>
      <c r="K1856">
        <v>2400</v>
      </c>
      <c r="L1856">
        <v>0</v>
      </c>
      <c r="M1856">
        <v>0</v>
      </c>
      <c r="N1856">
        <v>2400</v>
      </c>
    </row>
    <row r="1857" spans="1:14" x14ac:dyDescent="0.25">
      <c r="A1857">
        <v>1464.8234440000001</v>
      </c>
      <c r="B1857" s="1">
        <f>DATE(2014,5,4) + TIME(19,45,45)</f>
        <v>41763.823437500003</v>
      </c>
      <c r="C1857">
        <v>80</v>
      </c>
      <c r="D1857">
        <v>79.877075195000003</v>
      </c>
      <c r="E1857">
        <v>50</v>
      </c>
      <c r="F1857">
        <v>49.676361084</v>
      </c>
      <c r="G1857">
        <v>1387.1566161999999</v>
      </c>
      <c r="H1857">
        <v>1372.1584473</v>
      </c>
      <c r="I1857">
        <v>1289.0755615</v>
      </c>
      <c r="J1857">
        <v>1270.0039062000001</v>
      </c>
      <c r="K1857">
        <v>2400</v>
      </c>
      <c r="L1857">
        <v>0</v>
      </c>
      <c r="M1857">
        <v>0</v>
      </c>
      <c r="N1857">
        <v>2400</v>
      </c>
    </row>
    <row r="1858" spans="1:14" x14ac:dyDescent="0.25">
      <c r="A1858">
        <v>1464.982053</v>
      </c>
      <c r="B1858" s="1">
        <f>DATE(2014,5,4) + TIME(23,34,9)</f>
        <v>41763.982048611113</v>
      </c>
      <c r="C1858">
        <v>80</v>
      </c>
      <c r="D1858">
        <v>79.892280579000001</v>
      </c>
      <c r="E1858">
        <v>50</v>
      </c>
      <c r="F1858">
        <v>49.666046143000003</v>
      </c>
      <c r="G1858">
        <v>1387.0955810999999</v>
      </c>
      <c r="H1858">
        <v>1372.1110839999999</v>
      </c>
      <c r="I1858">
        <v>1289.0732422000001</v>
      </c>
      <c r="J1858">
        <v>1270.0007324000001</v>
      </c>
      <c r="K1858">
        <v>2400</v>
      </c>
      <c r="L1858">
        <v>0</v>
      </c>
      <c r="M1858">
        <v>0</v>
      </c>
      <c r="N1858">
        <v>2400</v>
      </c>
    </row>
    <row r="1859" spans="1:14" x14ac:dyDescent="0.25">
      <c r="A1859">
        <v>1465.1470939999999</v>
      </c>
      <c r="B1859" s="1">
        <f>DATE(2014,5,5) + TIME(3,31,48)</f>
        <v>41764.147083333337</v>
      </c>
      <c r="C1859">
        <v>80</v>
      </c>
      <c r="D1859">
        <v>79.905097960999996</v>
      </c>
      <c r="E1859">
        <v>50</v>
      </c>
      <c r="F1859">
        <v>49.655384064000003</v>
      </c>
      <c r="G1859">
        <v>1387.0347899999999</v>
      </c>
      <c r="H1859">
        <v>1372.0637207</v>
      </c>
      <c r="I1859">
        <v>1289.0706786999999</v>
      </c>
      <c r="J1859">
        <v>1269.9973144999999</v>
      </c>
      <c r="K1859">
        <v>2400</v>
      </c>
      <c r="L1859">
        <v>0</v>
      </c>
      <c r="M1859">
        <v>0</v>
      </c>
      <c r="N1859">
        <v>2400</v>
      </c>
    </row>
    <row r="1860" spans="1:14" x14ac:dyDescent="0.25">
      <c r="A1860">
        <v>1465.319221</v>
      </c>
      <c r="B1860" s="1">
        <f>DATE(2014,5,5) + TIME(7,39,40)</f>
        <v>41764.319212962961</v>
      </c>
      <c r="C1860">
        <v>80</v>
      </c>
      <c r="D1860">
        <v>79.915863036999994</v>
      </c>
      <c r="E1860">
        <v>50</v>
      </c>
      <c r="F1860">
        <v>49.644340515000003</v>
      </c>
      <c r="G1860">
        <v>1386.9741211</v>
      </c>
      <c r="H1860">
        <v>1372.0162353999999</v>
      </c>
      <c r="I1860">
        <v>1289.0681152</v>
      </c>
      <c r="J1860">
        <v>1269.9937743999999</v>
      </c>
      <c r="K1860">
        <v>2400</v>
      </c>
      <c r="L1860">
        <v>0</v>
      </c>
      <c r="M1860">
        <v>0</v>
      </c>
      <c r="N1860">
        <v>2400</v>
      </c>
    </row>
    <row r="1861" spans="1:14" x14ac:dyDescent="0.25">
      <c r="A1861">
        <v>1465.4980129999999</v>
      </c>
      <c r="B1861" s="1">
        <f>DATE(2014,5,5) + TIME(11,57,8)</f>
        <v>41764.49800925926</v>
      </c>
      <c r="C1861">
        <v>80</v>
      </c>
      <c r="D1861">
        <v>79.924797057999996</v>
      </c>
      <c r="E1861">
        <v>50</v>
      </c>
      <c r="F1861">
        <v>49.632934570000003</v>
      </c>
      <c r="G1861">
        <v>1386.9133300999999</v>
      </c>
      <c r="H1861">
        <v>1371.9685059000001</v>
      </c>
      <c r="I1861">
        <v>1289.0653076000001</v>
      </c>
      <c r="J1861">
        <v>1269.9901123</v>
      </c>
      <c r="K1861">
        <v>2400</v>
      </c>
      <c r="L1861">
        <v>0</v>
      </c>
      <c r="M1861">
        <v>0</v>
      </c>
      <c r="N1861">
        <v>2400</v>
      </c>
    </row>
    <row r="1862" spans="1:14" x14ac:dyDescent="0.25">
      <c r="A1862">
        <v>1465.683014</v>
      </c>
      <c r="B1862" s="1">
        <f>DATE(2014,5,5) + TIME(16,23,32)</f>
        <v>41764.683009259257</v>
      </c>
      <c r="C1862">
        <v>80</v>
      </c>
      <c r="D1862">
        <v>79.932151794000006</v>
      </c>
      <c r="E1862">
        <v>50</v>
      </c>
      <c r="F1862">
        <v>49.621192932</v>
      </c>
      <c r="G1862">
        <v>1386.8526611</v>
      </c>
      <c r="H1862">
        <v>1371.9206543</v>
      </c>
      <c r="I1862">
        <v>1289.0625</v>
      </c>
      <c r="J1862">
        <v>1269.9863281</v>
      </c>
      <c r="K1862">
        <v>2400</v>
      </c>
      <c r="L1862">
        <v>0</v>
      </c>
      <c r="M1862">
        <v>0</v>
      </c>
      <c r="N1862">
        <v>2400</v>
      </c>
    </row>
    <row r="1863" spans="1:14" x14ac:dyDescent="0.25">
      <c r="A1863">
        <v>1465.874908</v>
      </c>
      <c r="B1863" s="1">
        <f>DATE(2014,5,5) + TIME(20,59,52)</f>
        <v>41764.874907407408</v>
      </c>
      <c r="C1863">
        <v>80</v>
      </c>
      <c r="D1863">
        <v>79.938179016000007</v>
      </c>
      <c r="E1863">
        <v>50</v>
      </c>
      <c r="F1863">
        <v>49.609077454000001</v>
      </c>
      <c r="G1863">
        <v>1386.7922363</v>
      </c>
      <c r="H1863">
        <v>1371.8729248</v>
      </c>
      <c r="I1863">
        <v>1289.0595702999999</v>
      </c>
      <c r="J1863">
        <v>1269.9824219</v>
      </c>
      <c r="K1863">
        <v>2400</v>
      </c>
      <c r="L1863">
        <v>0</v>
      </c>
      <c r="M1863">
        <v>0</v>
      </c>
      <c r="N1863">
        <v>2400</v>
      </c>
    </row>
    <row r="1864" spans="1:14" x14ac:dyDescent="0.25">
      <c r="A1864">
        <v>1466.07447</v>
      </c>
      <c r="B1864" s="1">
        <f>DATE(2014,5,6) + TIME(1,47,14)</f>
        <v>41765.074467592596</v>
      </c>
      <c r="C1864">
        <v>80</v>
      </c>
      <c r="D1864">
        <v>79.943107604999994</v>
      </c>
      <c r="E1864">
        <v>50</v>
      </c>
      <c r="F1864">
        <v>49.596549988</v>
      </c>
      <c r="G1864">
        <v>1386.7318115</v>
      </c>
      <c r="H1864">
        <v>1371.8250731999999</v>
      </c>
      <c r="I1864">
        <v>1289.0565185999999</v>
      </c>
      <c r="J1864">
        <v>1269.9782714999999</v>
      </c>
      <c r="K1864">
        <v>2400</v>
      </c>
      <c r="L1864">
        <v>0</v>
      </c>
      <c r="M1864">
        <v>0</v>
      </c>
      <c r="N1864">
        <v>2400</v>
      </c>
    </row>
    <row r="1865" spans="1:14" x14ac:dyDescent="0.25">
      <c r="A1865">
        <v>1466.2825600000001</v>
      </c>
      <c r="B1865" s="1">
        <f>DATE(2014,5,6) + TIME(6,46,53)</f>
        <v>41765.282557870371</v>
      </c>
      <c r="C1865">
        <v>80</v>
      </c>
      <c r="D1865">
        <v>79.947113036999994</v>
      </c>
      <c r="E1865">
        <v>50</v>
      </c>
      <c r="F1865">
        <v>49.583564758000001</v>
      </c>
      <c r="G1865">
        <v>1386.6712646000001</v>
      </c>
      <c r="H1865">
        <v>1371.7770995999999</v>
      </c>
      <c r="I1865">
        <v>1289.0532227000001</v>
      </c>
      <c r="J1865">
        <v>1269.973999</v>
      </c>
      <c r="K1865">
        <v>2400</v>
      </c>
      <c r="L1865">
        <v>0</v>
      </c>
      <c r="M1865">
        <v>0</v>
      </c>
      <c r="N1865">
        <v>2400</v>
      </c>
    </row>
    <row r="1866" spans="1:14" x14ac:dyDescent="0.25">
      <c r="A1866">
        <v>1466.500037</v>
      </c>
      <c r="B1866" s="1">
        <f>DATE(2014,5,6) + TIME(12,0,3)</f>
        <v>41765.500034722223</v>
      </c>
      <c r="C1866">
        <v>80</v>
      </c>
      <c r="D1866">
        <v>79.950363159000005</v>
      </c>
      <c r="E1866">
        <v>50</v>
      </c>
      <c r="F1866">
        <v>49.570083617999998</v>
      </c>
      <c r="G1866">
        <v>1386.6104736</v>
      </c>
      <c r="H1866">
        <v>1371.7287598</v>
      </c>
      <c r="I1866">
        <v>1289.0499268000001</v>
      </c>
      <c r="J1866">
        <v>1269.9694824000001</v>
      </c>
      <c r="K1866">
        <v>2400</v>
      </c>
      <c r="L1866">
        <v>0</v>
      </c>
      <c r="M1866">
        <v>0</v>
      </c>
      <c r="N1866">
        <v>2400</v>
      </c>
    </row>
    <row r="1867" spans="1:14" x14ac:dyDescent="0.25">
      <c r="A1867">
        <v>1466.727987</v>
      </c>
      <c r="B1867" s="1">
        <f>DATE(2014,5,6) + TIME(17,28,18)</f>
        <v>41765.727986111109</v>
      </c>
      <c r="C1867">
        <v>80</v>
      </c>
      <c r="D1867">
        <v>79.952980041999993</v>
      </c>
      <c r="E1867">
        <v>50</v>
      </c>
      <c r="F1867">
        <v>49.556041718000003</v>
      </c>
      <c r="G1867">
        <v>1386.5490723</v>
      </c>
      <c r="H1867">
        <v>1371.6800536999999</v>
      </c>
      <c r="I1867">
        <v>1289.0463867000001</v>
      </c>
      <c r="J1867">
        <v>1269.9648437999999</v>
      </c>
      <c r="K1867">
        <v>2400</v>
      </c>
      <c r="L1867">
        <v>0</v>
      </c>
      <c r="M1867">
        <v>0</v>
      </c>
      <c r="N1867">
        <v>2400</v>
      </c>
    </row>
    <row r="1868" spans="1:14" x14ac:dyDescent="0.25">
      <c r="A1868">
        <v>1466.9676669999999</v>
      </c>
      <c r="B1868" s="1">
        <f>DATE(2014,5,6) + TIME(23,13,26)</f>
        <v>41765.967662037037</v>
      </c>
      <c r="C1868">
        <v>80</v>
      </c>
      <c r="D1868">
        <v>79.955085753999995</v>
      </c>
      <c r="E1868">
        <v>50</v>
      </c>
      <c r="F1868">
        <v>49.541385650999999</v>
      </c>
      <c r="G1868">
        <v>1386.4869385</v>
      </c>
      <c r="H1868">
        <v>1371.6307373</v>
      </c>
      <c r="I1868">
        <v>1289.0427245999999</v>
      </c>
      <c r="J1868">
        <v>1269.9599608999999</v>
      </c>
      <c r="K1868">
        <v>2400</v>
      </c>
      <c r="L1868">
        <v>0</v>
      </c>
      <c r="M1868">
        <v>0</v>
      </c>
      <c r="N1868">
        <v>2400</v>
      </c>
    </row>
    <row r="1869" spans="1:14" x14ac:dyDescent="0.25">
      <c r="A1869">
        <v>1467.2086810000001</v>
      </c>
      <c r="B1869" s="1">
        <f>DATE(2014,5,7) + TIME(5,0,30)</f>
        <v>41766.208680555559</v>
      </c>
      <c r="C1869">
        <v>80</v>
      </c>
      <c r="D1869">
        <v>79.956710814999994</v>
      </c>
      <c r="E1869">
        <v>50</v>
      </c>
      <c r="F1869">
        <v>49.526599883999999</v>
      </c>
      <c r="G1869">
        <v>1386.4238281</v>
      </c>
      <c r="H1869">
        <v>1371.5806885</v>
      </c>
      <c r="I1869">
        <v>1289.0388184000001</v>
      </c>
      <c r="J1869">
        <v>1269.9548339999999</v>
      </c>
      <c r="K1869">
        <v>2400</v>
      </c>
      <c r="L1869">
        <v>0</v>
      </c>
      <c r="M1869">
        <v>0</v>
      </c>
      <c r="N1869">
        <v>2400</v>
      </c>
    </row>
    <row r="1870" spans="1:14" x14ac:dyDescent="0.25">
      <c r="A1870">
        <v>1467.4516470000001</v>
      </c>
      <c r="B1870" s="1">
        <f>DATE(2014,5,7) + TIME(10,50,22)</f>
        <v>41766.451643518521</v>
      </c>
      <c r="C1870">
        <v>80</v>
      </c>
      <c r="D1870">
        <v>79.957962035999998</v>
      </c>
      <c r="E1870">
        <v>50</v>
      </c>
      <c r="F1870">
        <v>49.511676788000003</v>
      </c>
      <c r="G1870">
        <v>1386.3626709</v>
      </c>
      <c r="H1870">
        <v>1371.5319824000001</v>
      </c>
      <c r="I1870">
        <v>1289.0349120999999</v>
      </c>
      <c r="J1870">
        <v>1269.9495850000001</v>
      </c>
      <c r="K1870">
        <v>2400</v>
      </c>
      <c r="L1870">
        <v>0</v>
      </c>
      <c r="M1870">
        <v>0</v>
      </c>
      <c r="N1870">
        <v>2400</v>
      </c>
    </row>
    <row r="1871" spans="1:14" x14ac:dyDescent="0.25">
      <c r="A1871">
        <v>1467.6972900000001</v>
      </c>
      <c r="B1871" s="1">
        <f>DATE(2014,5,7) + TIME(16,44,5)</f>
        <v>41766.697280092594</v>
      </c>
      <c r="C1871">
        <v>80</v>
      </c>
      <c r="D1871">
        <v>79.958946228000002</v>
      </c>
      <c r="E1871">
        <v>50</v>
      </c>
      <c r="F1871">
        <v>49.496597289999997</v>
      </c>
      <c r="G1871">
        <v>1386.3028564000001</v>
      </c>
      <c r="H1871">
        <v>1371.4846190999999</v>
      </c>
      <c r="I1871">
        <v>1289.0308838000001</v>
      </c>
      <c r="J1871">
        <v>1269.9444579999999</v>
      </c>
      <c r="K1871">
        <v>2400</v>
      </c>
      <c r="L1871">
        <v>0</v>
      </c>
      <c r="M1871">
        <v>0</v>
      </c>
      <c r="N1871">
        <v>2400</v>
      </c>
    </row>
    <row r="1872" spans="1:14" x14ac:dyDescent="0.25">
      <c r="A1872">
        <v>1467.9463310000001</v>
      </c>
      <c r="B1872" s="1">
        <f>DATE(2014,5,7) + TIME(22,42,42)</f>
        <v>41766.946319444447</v>
      </c>
      <c r="C1872">
        <v>80</v>
      </c>
      <c r="D1872">
        <v>79.959709167</v>
      </c>
      <c r="E1872">
        <v>50</v>
      </c>
      <c r="F1872">
        <v>49.481346129999999</v>
      </c>
      <c r="G1872">
        <v>1386.2442627</v>
      </c>
      <c r="H1872">
        <v>1371.4382324000001</v>
      </c>
      <c r="I1872">
        <v>1289.0268555</v>
      </c>
      <c r="J1872">
        <v>1269.9390868999999</v>
      </c>
      <c r="K1872">
        <v>2400</v>
      </c>
      <c r="L1872">
        <v>0</v>
      </c>
      <c r="M1872">
        <v>0</v>
      </c>
      <c r="N1872">
        <v>2400</v>
      </c>
    </row>
    <row r="1873" spans="1:14" x14ac:dyDescent="0.25">
      <c r="A1873">
        <v>1468.199496</v>
      </c>
      <c r="B1873" s="1">
        <f>DATE(2014,5,8) + TIME(4,47,16)</f>
        <v>41767.199490740742</v>
      </c>
      <c r="C1873">
        <v>80</v>
      </c>
      <c r="D1873">
        <v>79.960319518999995</v>
      </c>
      <c r="E1873">
        <v>50</v>
      </c>
      <c r="F1873">
        <v>49.465892791999998</v>
      </c>
      <c r="G1873">
        <v>1386.1866454999999</v>
      </c>
      <c r="H1873">
        <v>1371.3925781</v>
      </c>
      <c r="I1873">
        <v>1289.0228271000001</v>
      </c>
      <c r="J1873">
        <v>1269.9337158000001</v>
      </c>
      <c r="K1873">
        <v>2400</v>
      </c>
      <c r="L1873">
        <v>0</v>
      </c>
      <c r="M1873">
        <v>0</v>
      </c>
      <c r="N1873">
        <v>2400</v>
      </c>
    </row>
    <row r="1874" spans="1:14" x14ac:dyDescent="0.25">
      <c r="A1874">
        <v>1468.457531</v>
      </c>
      <c r="B1874" s="1">
        <f>DATE(2014,5,8) + TIME(10,58,50)</f>
        <v>41767.45752314815</v>
      </c>
      <c r="C1874">
        <v>80</v>
      </c>
      <c r="D1874">
        <v>79.960792541999993</v>
      </c>
      <c r="E1874">
        <v>50</v>
      </c>
      <c r="F1874">
        <v>49.450202941999997</v>
      </c>
      <c r="G1874">
        <v>1386.1298827999999</v>
      </c>
      <c r="H1874">
        <v>1371.3476562000001</v>
      </c>
      <c r="I1874">
        <v>1289.0186768000001</v>
      </c>
      <c r="J1874">
        <v>1269.9282227000001</v>
      </c>
      <c r="K1874">
        <v>2400</v>
      </c>
      <c r="L1874">
        <v>0</v>
      </c>
      <c r="M1874">
        <v>0</v>
      </c>
      <c r="N1874">
        <v>2400</v>
      </c>
    </row>
    <row r="1875" spans="1:14" x14ac:dyDescent="0.25">
      <c r="A1875">
        <v>1468.7212219999999</v>
      </c>
      <c r="B1875" s="1">
        <f>DATE(2014,5,8) + TIME(17,18,33)</f>
        <v>41767.721215277779</v>
      </c>
      <c r="C1875">
        <v>80</v>
      </c>
      <c r="D1875">
        <v>79.961181640999996</v>
      </c>
      <c r="E1875">
        <v>50</v>
      </c>
      <c r="F1875">
        <v>49.434249878000003</v>
      </c>
      <c r="G1875">
        <v>1386.0736084</v>
      </c>
      <c r="H1875">
        <v>1371.3031006000001</v>
      </c>
      <c r="I1875">
        <v>1289.0144043</v>
      </c>
      <c r="J1875">
        <v>1269.9226074000001</v>
      </c>
      <c r="K1875">
        <v>2400</v>
      </c>
      <c r="L1875">
        <v>0</v>
      </c>
      <c r="M1875">
        <v>0</v>
      </c>
      <c r="N1875">
        <v>2400</v>
      </c>
    </row>
    <row r="1876" spans="1:14" x14ac:dyDescent="0.25">
      <c r="A1876">
        <v>1468.9914060000001</v>
      </c>
      <c r="B1876" s="1">
        <f>DATE(2014,5,8) + TIME(23,47,37)</f>
        <v>41767.991400462961</v>
      </c>
      <c r="C1876">
        <v>80</v>
      </c>
      <c r="D1876">
        <v>79.961486816000004</v>
      </c>
      <c r="E1876">
        <v>50</v>
      </c>
      <c r="F1876">
        <v>49.417984009000001</v>
      </c>
      <c r="G1876">
        <v>1386.0177002</v>
      </c>
      <c r="H1876">
        <v>1371.2590332</v>
      </c>
      <c r="I1876">
        <v>1289.0101318</v>
      </c>
      <c r="J1876">
        <v>1269.9169922000001</v>
      </c>
      <c r="K1876">
        <v>2400</v>
      </c>
      <c r="L1876">
        <v>0</v>
      </c>
      <c r="M1876">
        <v>0</v>
      </c>
      <c r="N1876">
        <v>2400</v>
      </c>
    </row>
    <row r="1877" spans="1:14" x14ac:dyDescent="0.25">
      <c r="A1877">
        <v>1469.2689929999999</v>
      </c>
      <c r="B1877" s="1">
        <f>DATE(2014,5,9) + TIME(6,27,21)</f>
        <v>41768.268993055557</v>
      </c>
      <c r="C1877">
        <v>80</v>
      </c>
      <c r="D1877">
        <v>79.961730957</v>
      </c>
      <c r="E1877">
        <v>50</v>
      </c>
      <c r="F1877">
        <v>49.401374816999997</v>
      </c>
      <c r="G1877">
        <v>1385.9620361</v>
      </c>
      <c r="H1877">
        <v>1371.2150879000001</v>
      </c>
      <c r="I1877">
        <v>1289.0056152</v>
      </c>
      <c r="J1877">
        <v>1269.9111327999999</v>
      </c>
      <c r="K1877">
        <v>2400</v>
      </c>
      <c r="L1877">
        <v>0</v>
      </c>
      <c r="M1877">
        <v>0</v>
      </c>
      <c r="N1877">
        <v>2400</v>
      </c>
    </row>
    <row r="1878" spans="1:14" x14ac:dyDescent="0.25">
      <c r="A1878">
        <v>1469.5551069999999</v>
      </c>
      <c r="B1878" s="1">
        <f>DATE(2014,5,9) + TIME(13,19,21)</f>
        <v>41768.555104166669</v>
      </c>
      <c r="C1878">
        <v>80</v>
      </c>
      <c r="D1878">
        <v>79.961929321</v>
      </c>
      <c r="E1878">
        <v>50</v>
      </c>
      <c r="F1878">
        <v>49.384357452000003</v>
      </c>
      <c r="G1878">
        <v>1385.9063721</v>
      </c>
      <c r="H1878">
        <v>1371.1712646000001</v>
      </c>
      <c r="I1878">
        <v>1289.0010986</v>
      </c>
      <c r="J1878">
        <v>1269.9050293</v>
      </c>
      <c r="K1878">
        <v>2400</v>
      </c>
      <c r="L1878">
        <v>0</v>
      </c>
      <c r="M1878">
        <v>0</v>
      </c>
      <c r="N1878">
        <v>2400</v>
      </c>
    </row>
    <row r="1879" spans="1:14" x14ac:dyDescent="0.25">
      <c r="A1879">
        <v>1469.8489830000001</v>
      </c>
      <c r="B1879" s="1">
        <f>DATE(2014,5,9) + TIME(20,22,32)</f>
        <v>41768.848981481482</v>
      </c>
      <c r="C1879">
        <v>80</v>
      </c>
      <c r="D1879">
        <v>79.962089539000004</v>
      </c>
      <c r="E1879">
        <v>50</v>
      </c>
      <c r="F1879">
        <v>49.366966247999997</v>
      </c>
      <c r="G1879">
        <v>1385.8504639</v>
      </c>
      <c r="H1879">
        <v>1371.1273193</v>
      </c>
      <c r="I1879">
        <v>1288.9963379000001</v>
      </c>
      <c r="J1879">
        <v>1269.8988036999999</v>
      </c>
      <c r="K1879">
        <v>2400</v>
      </c>
      <c r="L1879">
        <v>0</v>
      </c>
      <c r="M1879">
        <v>0</v>
      </c>
      <c r="N1879">
        <v>2400</v>
      </c>
    </row>
    <row r="1880" spans="1:14" x14ac:dyDescent="0.25">
      <c r="A1880">
        <v>1470.1485190000001</v>
      </c>
      <c r="B1880" s="1">
        <f>DATE(2014,5,10) + TIME(3,33,52)</f>
        <v>41769.148518518516</v>
      </c>
      <c r="C1880">
        <v>80</v>
      </c>
      <c r="D1880">
        <v>79.962219238000003</v>
      </c>
      <c r="E1880">
        <v>50</v>
      </c>
      <c r="F1880">
        <v>49.349288940000001</v>
      </c>
      <c r="G1880">
        <v>1385.7946777</v>
      </c>
      <c r="H1880">
        <v>1371.083374</v>
      </c>
      <c r="I1880">
        <v>1288.9915771000001</v>
      </c>
      <c r="J1880">
        <v>1269.8924560999999</v>
      </c>
      <c r="K1880">
        <v>2400</v>
      </c>
      <c r="L1880">
        <v>0</v>
      </c>
      <c r="M1880">
        <v>0</v>
      </c>
      <c r="N1880">
        <v>2400</v>
      </c>
    </row>
    <row r="1881" spans="1:14" x14ac:dyDescent="0.25">
      <c r="A1881">
        <v>1470.4545109999999</v>
      </c>
      <c r="B1881" s="1">
        <f>DATE(2014,5,10) + TIME(10,54,29)</f>
        <v>41769.454502314817</v>
      </c>
      <c r="C1881">
        <v>80</v>
      </c>
      <c r="D1881">
        <v>79.962318420000003</v>
      </c>
      <c r="E1881">
        <v>50</v>
      </c>
      <c r="F1881">
        <v>49.331298828000001</v>
      </c>
      <c r="G1881">
        <v>1385.7392577999999</v>
      </c>
      <c r="H1881">
        <v>1371.0397949000001</v>
      </c>
      <c r="I1881">
        <v>1288.9865723</v>
      </c>
      <c r="J1881">
        <v>1269.8858643000001</v>
      </c>
      <c r="K1881">
        <v>2400</v>
      </c>
      <c r="L1881">
        <v>0</v>
      </c>
      <c r="M1881">
        <v>0</v>
      </c>
      <c r="N1881">
        <v>2400</v>
      </c>
    </row>
    <row r="1882" spans="1:14" x14ac:dyDescent="0.25">
      <c r="A1882">
        <v>1470.76776</v>
      </c>
      <c r="B1882" s="1">
        <f>DATE(2014,5,10) + TIME(18,25,34)</f>
        <v>41769.767754629633</v>
      </c>
      <c r="C1882">
        <v>80</v>
      </c>
      <c r="D1882">
        <v>79.962402343999997</v>
      </c>
      <c r="E1882">
        <v>50</v>
      </c>
      <c r="F1882">
        <v>49.312965392999999</v>
      </c>
      <c r="G1882">
        <v>1385.6842041</v>
      </c>
      <c r="H1882">
        <v>1370.996582</v>
      </c>
      <c r="I1882">
        <v>1288.9815673999999</v>
      </c>
      <c r="J1882">
        <v>1269.8792725000001</v>
      </c>
      <c r="K1882">
        <v>2400</v>
      </c>
      <c r="L1882">
        <v>0</v>
      </c>
      <c r="M1882">
        <v>0</v>
      </c>
      <c r="N1882">
        <v>2400</v>
      </c>
    </row>
    <row r="1883" spans="1:14" x14ac:dyDescent="0.25">
      <c r="A1883">
        <v>1471.0891389999999</v>
      </c>
      <c r="B1883" s="1">
        <f>DATE(2014,5,11) + TIME(2,8,21)</f>
        <v>41770.089131944442</v>
      </c>
      <c r="C1883">
        <v>80</v>
      </c>
      <c r="D1883">
        <v>79.962471007999994</v>
      </c>
      <c r="E1883">
        <v>50</v>
      </c>
      <c r="F1883">
        <v>49.294250488000003</v>
      </c>
      <c r="G1883">
        <v>1385.6292725000001</v>
      </c>
      <c r="H1883">
        <v>1370.9534911999999</v>
      </c>
      <c r="I1883">
        <v>1288.9763184000001</v>
      </c>
      <c r="J1883">
        <v>1269.8724365</v>
      </c>
      <c r="K1883">
        <v>2400</v>
      </c>
      <c r="L1883">
        <v>0</v>
      </c>
      <c r="M1883">
        <v>0</v>
      </c>
      <c r="N1883">
        <v>2400</v>
      </c>
    </row>
    <row r="1884" spans="1:14" x14ac:dyDescent="0.25">
      <c r="A1884">
        <v>1471.4196059999999</v>
      </c>
      <c r="B1884" s="1">
        <f>DATE(2014,5,11) + TIME(10,4,13)</f>
        <v>41770.419594907406</v>
      </c>
      <c r="C1884">
        <v>80</v>
      </c>
      <c r="D1884">
        <v>79.962516785000005</v>
      </c>
      <c r="E1884">
        <v>50</v>
      </c>
      <c r="F1884">
        <v>49.275112151999998</v>
      </c>
      <c r="G1884">
        <v>1385.5742187999999</v>
      </c>
      <c r="H1884">
        <v>1370.9104004000001</v>
      </c>
      <c r="I1884">
        <v>1288.9709473</v>
      </c>
      <c r="J1884">
        <v>1269.8653564000001</v>
      </c>
      <c r="K1884">
        <v>2400</v>
      </c>
      <c r="L1884">
        <v>0</v>
      </c>
      <c r="M1884">
        <v>0</v>
      </c>
      <c r="N1884">
        <v>2400</v>
      </c>
    </row>
    <row r="1885" spans="1:14" x14ac:dyDescent="0.25">
      <c r="A1885">
        <v>1471.7602240000001</v>
      </c>
      <c r="B1885" s="1">
        <f>DATE(2014,5,11) + TIME(18,14,43)</f>
        <v>41770.76021990741</v>
      </c>
      <c r="C1885">
        <v>80</v>
      </c>
      <c r="D1885">
        <v>79.962562560999999</v>
      </c>
      <c r="E1885">
        <v>50</v>
      </c>
      <c r="F1885">
        <v>49.255500793000003</v>
      </c>
      <c r="G1885">
        <v>1385.5191649999999</v>
      </c>
      <c r="H1885">
        <v>1370.8673096</v>
      </c>
      <c r="I1885">
        <v>1288.9654541</v>
      </c>
      <c r="J1885">
        <v>1269.8581543</v>
      </c>
      <c r="K1885">
        <v>2400</v>
      </c>
      <c r="L1885">
        <v>0</v>
      </c>
      <c r="M1885">
        <v>0</v>
      </c>
      <c r="N1885">
        <v>2400</v>
      </c>
    </row>
    <row r="1886" spans="1:14" x14ac:dyDescent="0.25">
      <c r="A1886">
        <v>1472.112302</v>
      </c>
      <c r="B1886" s="1">
        <f>DATE(2014,5,12) + TIME(2,41,42)</f>
        <v>41771.112291666665</v>
      </c>
      <c r="C1886">
        <v>80</v>
      </c>
      <c r="D1886">
        <v>79.962593079000001</v>
      </c>
      <c r="E1886">
        <v>50</v>
      </c>
      <c r="F1886">
        <v>49.235363006999997</v>
      </c>
      <c r="G1886">
        <v>1385.4638672000001</v>
      </c>
      <c r="H1886">
        <v>1370.8239745999999</v>
      </c>
      <c r="I1886">
        <v>1288.9598389</v>
      </c>
      <c r="J1886">
        <v>1269.8507079999999</v>
      </c>
      <c r="K1886">
        <v>2400</v>
      </c>
      <c r="L1886">
        <v>0</v>
      </c>
      <c r="M1886">
        <v>0</v>
      </c>
      <c r="N1886">
        <v>2400</v>
      </c>
    </row>
    <row r="1887" spans="1:14" x14ac:dyDescent="0.25">
      <c r="A1887">
        <v>1472.4772009999999</v>
      </c>
      <c r="B1887" s="1">
        <f>DATE(2014,5,12) + TIME(11,27,10)</f>
        <v>41771.477199074077</v>
      </c>
      <c r="C1887">
        <v>80</v>
      </c>
      <c r="D1887">
        <v>79.962615967000005</v>
      </c>
      <c r="E1887">
        <v>50</v>
      </c>
      <c r="F1887">
        <v>49.214626312</v>
      </c>
      <c r="G1887">
        <v>1385.4080810999999</v>
      </c>
      <c r="H1887">
        <v>1370.7803954999999</v>
      </c>
      <c r="I1887">
        <v>1288.9539795000001</v>
      </c>
      <c r="J1887">
        <v>1269.8428954999999</v>
      </c>
      <c r="K1887">
        <v>2400</v>
      </c>
      <c r="L1887">
        <v>0</v>
      </c>
      <c r="M1887">
        <v>0</v>
      </c>
      <c r="N1887">
        <v>2400</v>
      </c>
    </row>
    <row r="1888" spans="1:14" x14ac:dyDescent="0.25">
      <c r="A1888">
        <v>1472.856352</v>
      </c>
      <c r="B1888" s="1">
        <f>DATE(2014,5,12) + TIME(20,33,8)</f>
        <v>41771.856342592589</v>
      </c>
      <c r="C1888">
        <v>80</v>
      </c>
      <c r="D1888">
        <v>79.962631225999999</v>
      </c>
      <c r="E1888">
        <v>50</v>
      </c>
      <c r="F1888">
        <v>49.193233489999997</v>
      </c>
      <c r="G1888">
        <v>1385.3516846</v>
      </c>
      <c r="H1888">
        <v>1370.7363281</v>
      </c>
      <c r="I1888">
        <v>1288.947876</v>
      </c>
      <c r="J1888">
        <v>1269.8349608999999</v>
      </c>
      <c r="K1888">
        <v>2400</v>
      </c>
      <c r="L1888">
        <v>0</v>
      </c>
      <c r="M1888">
        <v>0</v>
      </c>
      <c r="N1888">
        <v>2400</v>
      </c>
    </row>
    <row r="1889" spans="1:14" x14ac:dyDescent="0.25">
      <c r="A1889">
        <v>1473.240591</v>
      </c>
      <c r="B1889" s="1">
        <f>DATE(2014,5,13) + TIME(5,46,27)</f>
        <v>41772.240590277775</v>
      </c>
      <c r="C1889">
        <v>80</v>
      </c>
      <c r="D1889">
        <v>79.962646484000004</v>
      </c>
      <c r="E1889">
        <v>50</v>
      </c>
      <c r="F1889">
        <v>49.171516418000003</v>
      </c>
      <c r="G1889">
        <v>1385.2945557</v>
      </c>
      <c r="H1889">
        <v>1370.6917725000001</v>
      </c>
      <c r="I1889">
        <v>1288.9415283000001</v>
      </c>
      <c r="J1889">
        <v>1269.8266602000001</v>
      </c>
      <c r="K1889">
        <v>2400</v>
      </c>
      <c r="L1889">
        <v>0</v>
      </c>
      <c r="M1889">
        <v>0</v>
      </c>
      <c r="N1889">
        <v>2400</v>
      </c>
    </row>
    <row r="1890" spans="1:14" x14ac:dyDescent="0.25">
      <c r="A1890">
        <v>1473.6283269999999</v>
      </c>
      <c r="B1890" s="1">
        <f>DATE(2014,5,13) + TIME(15,4,47)</f>
        <v>41772.628321759257</v>
      </c>
      <c r="C1890">
        <v>80</v>
      </c>
      <c r="D1890">
        <v>79.962646484000004</v>
      </c>
      <c r="E1890">
        <v>50</v>
      </c>
      <c r="F1890">
        <v>49.149585723999998</v>
      </c>
      <c r="G1890">
        <v>1385.2381591999999</v>
      </c>
      <c r="H1890">
        <v>1370.6477050999999</v>
      </c>
      <c r="I1890">
        <v>1288.9350586</v>
      </c>
      <c r="J1890">
        <v>1269.8181152</v>
      </c>
      <c r="K1890">
        <v>2400</v>
      </c>
      <c r="L1890">
        <v>0</v>
      </c>
      <c r="M1890">
        <v>0</v>
      </c>
      <c r="N1890">
        <v>2400</v>
      </c>
    </row>
    <row r="1891" spans="1:14" x14ac:dyDescent="0.25">
      <c r="A1891">
        <v>1474.020669</v>
      </c>
      <c r="B1891" s="1">
        <f>DATE(2014,5,14) + TIME(0,29,45)</f>
        <v>41773.02065972222</v>
      </c>
      <c r="C1891">
        <v>80</v>
      </c>
      <c r="D1891">
        <v>79.962646484000004</v>
      </c>
      <c r="E1891">
        <v>50</v>
      </c>
      <c r="F1891">
        <v>49.127426147000001</v>
      </c>
      <c r="G1891">
        <v>1385.1826172000001</v>
      </c>
      <c r="H1891">
        <v>1370.6044922000001</v>
      </c>
      <c r="I1891">
        <v>1288.9284668</v>
      </c>
      <c r="J1891">
        <v>1269.8095702999999</v>
      </c>
      <c r="K1891">
        <v>2400</v>
      </c>
      <c r="L1891">
        <v>0</v>
      </c>
      <c r="M1891">
        <v>0</v>
      </c>
      <c r="N1891">
        <v>2400</v>
      </c>
    </row>
    <row r="1892" spans="1:14" x14ac:dyDescent="0.25">
      <c r="A1892">
        <v>1474.418733</v>
      </c>
      <c r="B1892" s="1">
        <f>DATE(2014,5,14) + TIME(10,2,58)</f>
        <v>41773.418726851851</v>
      </c>
      <c r="C1892">
        <v>80</v>
      </c>
      <c r="D1892">
        <v>79.962646484000004</v>
      </c>
      <c r="E1892">
        <v>50</v>
      </c>
      <c r="F1892">
        <v>49.105018616000002</v>
      </c>
      <c r="G1892">
        <v>1385.1276855000001</v>
      </c>
      <c r="H1892">
        <v>1370.5616454999999</v>
      </c>
      <c r="I1892">
        <v>1288.921875</v>
      </c>
      <c r="J1892">
        <v>1269.8009033000001</v>
      </c>
      <c r="K1892">
        <v>2400</v>
      </c>
      <c r="L1892">
        <v>0</v>
      </c>
      <c r="M1892">
        <v>0</v>
      </c>
      <c r="N1892">
        <v>2400</v>
      </c>
    </row>
    <row r="1893" spans="1:14" x14ac:dyDescent="0.25">
      <c r="A1893">
        <v>1474.8236609999999</v>
      </c>
      <c r="B1893" s="1">
        <f>DATE(2014,5,14) + TIME(19,46,4)</f>
        <v>41773.823657407411</v>
      </c>
      <c r="C1893">
        <v>80</v>
      </c>
      <c r="D1893">
        <v>79.962638854999994</v>
      </c>
      <c r="E1893">
        <v>50</v>
      </c>
      <c r="F1893">
        <v>49.082328795999999</v>
      </c>
      <c r="G1893">
        <v>1385.0733643000001</v>
      </c>
      <c r="H1893">
        <v>1370.5194091999999</v>
      </c>
      <c r="I1893">
        <v>1288.9151611</v>
      </c>
      <c r="J1893">
        <v>1269.7921143000001</v>
      </c>
      <c r="K1893">
        <v>2400</v>
      </c>
      <c r="L1893">
        <v>0</v>
      </c>
      <c r="M1893">
        <v>0</v>
      </c>
      <c r="N1893">
        <v>2400</v>
      </c>
    </row>
    <row r="1894" spans="1:14" x14ac:dyDescent="0.25">
      <c r="A1894">
        <v>1475.2366460000001</v>
      </c>
      <c r="B1894" s="1">
        <f>DATE(2014,5,15) + TIME(5,40,46)</f>
        <v>41774.236643518518</v>
      </c>
      <c r="C1894">
        <v>80</v>
      </c>
      <c r="D1894">
        <v>79.962631225999999</v>
      </c>
      <c r="E1894">
        <v>50</v>
      </c>
      <c r="F1894">
        <v>49.059310912999997</v>
      </c>
      <c r="G1894">
        <v>1385.0192870999999</v>
      </c>
      <c r="H1894">
        <v>1370.4772949000001</v>
      </c>
      <c r="I1894">
        <v>1288.9082031</v>
      </c>
      <c r="J1894">
        <v>1269.7830810999999</v>
      </c>
      <c r="K1894">
        <v>2400</v>
      </c>
      <c r="L1894">
        <v>0</v>
      </c>
      <c r="M1894">
        <v>0</v>
      </c>
      <c r="N1894">
        <v>2400</v>
      </c>
    </row>
    <row r="1895" spans="1:14" x14ac:dyDescent="0.25">
      <c r="A1895">
        <v>1475.658964</v>
      </c>
      <c r="B1895" s="1">
        <f>DATE(2014,5,15) + TIME(15,48,54)</f>
        <v>41774.658958333333</v>
      </c>
      <c r="C1895">
        <v>80</v>
      </c>
      <c r="D1895">
        <v>79.962623596</v>
      </c>
      <c r="E1895">
        <v>50</v>
      </c>
      <c r="F1895">
        <v>49.035915375000002</v>
      </c>
      <c r="G1895">
        <v>1384.9654541</v>
      </c>
      <c r="H1895">
        <v>1370.4354248</v>
      </c>
      <c r="I1895">
        <v>1288.9012451000001</v>
      </c>
      <c r="J1895">
        <v>1269.7738036999999</v>
      </c>
      <c r="K1895">
        <v>2400</v>
      </c>
      <c r="L1895">
        <v>0</v>
      </c>
      <c r="M1895">
        <v>0</v>
      </c>
      <c r="N1895">
        <v>2400</v>
      </c>
    </row>
    <row r="1896" spans="1:14" x14ac:dyDescent="0.25">
      <c r="A1896">
        <v>1476.091993</v>
      </c>
      <c r="B1896" s="1">
        <f>DATE(2014,5,16) + TIME(2,12,28)</f>
        <v>41775.091990740744</v>
      </c>
      <c r="C1896">
        <v>80</v>
      </c>
      <c r="D1896">
        <v>79.962615967000005</v>
      </c>
      <c r="E1896">
        <v>50</v>
      </c>
      <c r="F1896">
        <v>49.012081146</v>
      </c>
      <c r="G1896">
        <v>1384.9116211</v>
      </c>
      <c r="H1896">
        <v>1370.3935547000001</v>
      </c>
      <c r="I1896">
        <v>1288.894043</v>
      </c>
      <c r="J1896">
        <v>1269.7644043</v>
      </c>
      <c r="K1896">
        <v>2400</v>
      </c>
      <c r="L1896">
        <v>0</v>
      </c>
      <c r="M1896">
        <v>0</v>
      </c>
      <c r="N1896">
        <v>2400</v>
      </c>
    </row>
    <row r="1897" spans="1:14" x14ac:dyDescent="0.25">
      <c r="A1897">
        <v>1476.5372589999999</v>
      </c>
      <c r="B1897" s="1">
        <f>DATE(2014,5,16) + TIME(12,53,39)</f>
        <v>41775.537256944444</v>
      </c>
      <c r="C1897">
        <v>80</v>
      </c>
      <c r="D1897">
        <v>79.962600707999997</v>
      </c>
      <c r="E1897">
        <v>50</v>
      </c>
      <c r="F1897">
        <v>48.987743377999998</v>
      </c>
      <c r="G1897">
        <v>1384.8576660000001</v>
      </c>
      <c r="H1897">
        <v>1370.3515625</v>
      </c>
      <c r="I1897">
        <v>1288.8867187999999</v>
      </c>
      <c r="J1897">
        <v>1269.7546387</v>
      </c>
      <c r="K1897">
        <v>2400</v>
      </c>
      <c r="L1897">
        <v>0</v>
      </c>
      <c r="M1897">
        <v>0</v>
      </c>
      <c r="N1897">
        <v>2400</v>
      </c>
    </row>
    <row r="1898" spans="1:14" x14ac:dyDescent="0.25">
      <c r="A1898">
        <v>1476.993911</v>
      </c>
      <c r="B1898" s="1">
        <f>DATE(2014,5,16) + TIME(23,51,13)</f>
        <v>41775.993900462963</v>
      </c>
      <c r="C1898">
        <v>80</v>
      </c>
      <c r="D1898">
        <v>79.962585449000002</v>
      </c>
      <c r="E1898">
        <v>50</v>
      </c>
      <c r="F1898">
        <v>48.962909697999997</v>
      </c>
      <c r="G1898">
        <v>1384.8034668</v>
      </c>
      <c r="H1898">
        <v>1370.3094481999999</v>
      </c>
      <c r="I1898">
        <v>1288.8790283000001</v>
      </c>
      <c r="J1898">
        <v>1269.7446289</v>
      </c>
      <c r="K1898">
        <v>2400</v>
      </c>
      <c r="L1898">
        <v>0</v>
      </c>
      <c r="M1898">
        <v>0</v>
      </c>
      <c r="N1898">
        <v>2400</v>
      </c>
    </row>
    <row r="1899" spans="1:14" x14ac:dyDescent="0.25">
      <c r="A1899">
        <v>1477.4591439999999</v>
      </c>
      <c r="B1899" s="1">
        <f>DATE(2014,5,17) + TIME(11,1,10)</f>
        <v>41776.459143518521</v>
      </c>
      <c r="C1899">
        <v>80</v>
      </c>
      <c r="D1899">
        <v>79.962570189999994</v>
      </c>
      <c r="E1899">
        <v>50</v>
      </c>
      <c r="F1899">
        <v>48.937683104999998</v>
      </c>
      <c r="G1899">
        <v>1384.7490233999999</v>
      </c>
      <c r="H1899">
        <v>1370.2672118999999</v>
      </c>
      <c r="I1899">
        <v>1288.8712158000001</v>
      </c>
      <c r="J1899">
        <v>1269.734375</v>
      </c>
      <c r="K1899">
        <v>2400</v>
      </c>
      <c r="L1899">
        <v>0</v>
      </c>
      <c r="M1899">
        <v>0</v>
      </c>
      <c r="N1899">
        <v>2400</v>
      </c>
    </row>
    <row r="1900" spans="1:14" x14ac:dyDescent="0.25">
      <c r="A1900">
        <v>1477.934321</v>
      </c>
      <c r="B1900" s="1">
        <f>DATE(2014,5,17) + TIME(22,25,25)</f>
        <v>41776.934317129628</v>
      </c>
      <c r="C1900">
        <v>80</v>
      </c>
      <c r="D1900">
        <v>79.962554932000003</v>
      </c>
      <c r="E1900">
        <v>50</v>
      </c>
      <c r="F1900">
        <v>48.912025452000002</v>
      </c>
      <c r="G1900">
        <v>1384.6948242000001</v>
      </c>
      <c r="H1900">
        <v>1370.2250977000001</v>
      </c>
      <c r="I1900">
        <v>1288.8631591999999</v>
      </c>
      <c r="J1900">
        <v>1269.7238769999999</v>
      </c>
      <c r="K1900">
        <v>2400</v>
      </c>
      <c r="L1900">
        <v>0</v>
      </c>
      <c r="M1900">
        <v>0</v>
      </c>
      <c r="N1900">
        <v>2400</v>
      </c>
    </row>
    <row r="1901" spans="1:14" x14ac:dyDescent="0.25">
      <c r="A1901">
        <v>1478.4182370000001</v>
      </c>
      <c r="B1901" s="1">
        <f>DATE(2014,5,18) + TIME(10,2,15)</f>
        <v>41777.418229166666</v>
      </c>
      <c r="C1901">
        <v>80</v>
      </c>
      <c r="D1901">
        <v>79.962539672999995</v>
      </c>
      <c r="E1901">
        <v>50</v>
      </c>
      <c r="F1901">
        <v>48.885990143000001</v>
      </c>
      <c r="G1901">
        <v>1384.6407471</v>
      </c>
      <c r="H1901">
        <v>1370.1829834</v>
      </c>
      <c r="I1901">
        <v>1288.8549805</v>
      </c>
      <c r="J1901">
        <v>1269.7131348</v>
      </c>
      <c r="K1901">
        <v>2400</v>
      </c>
      <c r="L1901">
        <v>0</v>
      </c>
      <c r="M1901">
        <v>0</v>
      </c>
      <c r="N1901">
        <v>2400</v>
      </c>
    </row>
    <row r="1902" spans="1:14" x14ac:dyDescent="0.25">
      <c r="A1902">
        <v>1478.910584</v>
      </c>
      <c r="B1902" s="1">
        <f>DATE(2014,5,18) + TIME(21,51,14)</f>
        <v>41777.910578703704</v>
      </c>
      <c r="C1902">
        <v>80</v>
      </c>
      <c r="D1902">
        <v>79.962524414000001</v>
      </c>
      <c r="E1902">
        <v>50</v>
      </c>
      <c r="F1902">
        <v>48.859592438</v>
      </c>
      <c r="G1902">
        <v>1384.5867920000001</v>
      </c>
      <c r="H1902">
        <v>1370.1411132999999</v>
      </c>
      <c r="I1902">
        <v>1288.8465576000001</v>
      </c>
      <c r="J1902">
        <v>1269.7021483999999</v>
      </c>
      <c r="K1902">
        <v>2400</v>
      </c>
      <c r="L1902">
        <v>0</v>
      </c>
      <c r="M1902">
        <v>0</v>
      </c>
      <c r="N1902">
        <v>2400</v>
      </c>
    </row>
    <row r="1903" spans="1:14" x14ac:dyDescent="0.25">
      <c r="A1903">
        <v>1479.412632</v>
      </c>
      <c r="B1903" s="1">
        <f>DATE(2014,5,19) + TIME(9,54,11)</f>
        <v>41778.412627314814</v>
      </c>
      <c r="C1903">
        <v>80</v>
      </c>
      <c r="D1903">
        <v>79.962509155000006</v>
      </c>
      <c r="E1903">
        <v>50</v>
      </c>
      <c r="F1903">
        <v>48.832805634000003</v>
      </c>
      <c r="G1903">
        <v>1384.5330810999999</v>
      </c>
      <c r="H1903">
        <v>1370.0993652</v>
      </c>
      <c r="I1903">
        <v>1288.8380127</v>
      </c>
      <c r="J1903">
        <v>1269.690918</v>
      </c>
      <c r="K1903">
        <v>2400</v>
      </c>
      <c r="L1903">
        <v>0</v>
      </c>
      <c r="M1903">
        <v>0</v>
      </c>
      <c r="N1903">
        <v>2400</v>
      </c>
    </row>
    <row r="1904" spans="1:14" x14ac:dyDescent="0.25">
      <c r="A1904">
        <v>1479.92571</v>
      </c>
      <c r="B1904" s="1">
        <f>DATE(2014,5,19) + TIME(22,13,1)</f>
        <v>41778.925706018519</v>
      </c>
      <c r="C1904">
        <v>80</v>
      </c>
      <c r="D1904">
        <v>79.962493895999998</v>
      </c>
      <c r="E1904">
        <v>50</v>
      </c>
      <c r="F1904">
        <v>48.805583953999999</v>
      </c>
      <c r="G1904">
        <v>1384.4793701000001</v>
      </c>
      <c r="H1904">
        <v>1370.0577393000001</v>
      </c>
      <c r="I1904">
        <v>1288.8293457</v>
      </c>
      <c r="J1904">
        <v>1269.6794434000001</v>
      </c>
      <c r="K1904">
        <v>2400</v>
      </c>
      <c r="L1904">
        <v>0</v>
      </c>
      <c r="M1904">
        <v>0</v>
      </c>
      <c r="N1904">
        <v>2400</v>
      </c>
    </row>
    <row r="1905" spans="1:14" x14ac:dyDescent="0.25">
      <c r="A1905">
        <v>1480.4512239999999</v>
      </c>
      <c r="B1905" s="1">
        <f>DATE(2014,5,20) + TIME(10,49,45)</f>
        <v>41779.451215277775</v>
      </c>
      <c r="C1905">
        <v>80</v>
      </c>
      <c r="D1905">
        <v>79.962478637999993</v>
      </c>
      <c r="E1905">
        <v>50</v>
      </c>
      <c r="F1905">
        <v>48.777873993</v>
      </c>
      <c r="G1905">
        <v>1384.4257812000001</v>
      </c>
      <c r="H1905">
        <v>1370.0161132999999</v>
      </c>
      <c r="I1905">
        <v>1288.8203125</v>
      </c>
      <c r="J1905">
        <v>1269.6676024999999</v>
      </c>
      <c r="K1905">
        <v>2400</v>
      </c>
      <c r="L1905">
        <v>0</v>
      </c>
      <c r="M1905">
        <v>0</v>
      </c>
      <c r="N1905">
        <v>2400</v>
      </c>
    </row>
    <row r="1906" spans="1:14" x14ac:dyDescent="0.25">
      <c r="A1906">
        <v>1480.9825089999999</v>
      </c>
      <c r="B1906" s="1">
        <f>DATE(2014,5,20) + TIME(23,34,48)</f>
        <v>41779.982499999998</v>
      </c>
      <c r="C1906">
        <v>80</v>
      </c>
      <c r="D1906">
        <v>79.962463378999999</v>
      </c>
      <c r="E1906">
        <v>50</v>
      </c>
      <c r="F1906">
        <v>48.749881744</v>
      </c>
      <c r="G1906">
        <v>1384.3719481999999</v>
      </c>
      <c r="H1906">
        <v>1369.9742432</v>
      </c>
      <c r="I1906">
        <v>1288.8111572</v>
      </c>
      <c r="J1906">
        <v>1269.6555175999999</v>
      </c>
      <c r="K1906">
        <v>2400</v>
      </c>
      <c r="L1906">
        <v>0</v>
      </c>
      <c r="M1906">
        <v>0</v>
      </c>
      <c r="N1906">
        <v>2400</v>
      </c>
    </row>
    <row r="1907" spans="1:14" x14ac:dyDescent="0.25">
      <c r="A1907">
        <v>1481.5211859999999</v>
      </c>
      <c r="B1907" s="1">
        <f>DATE(2014,5,21) + TIME(12,30,30)</f>
        <v>41780.521180555559</v>
      </c>
      <c r="C1907">
        <v>80</v>
      </c>
      <c r="D1907">
        <v>79.962440490999995</v>
      </c>
      <c r="E1907">
        <v>50</v>
      </c>
      <c r="F1907">
        <v>48.721591949</v>
      </c>
      <c r="G1907">
        <v>1384.3186035000001</v>
      </c>
      <c r="H1907">
        <v>1369.9328613</v>
      </c>
      <c r="I1907">
        <v>1288.8017577999999</v>
      </c>
      <c r="J1907">
        <v>1269.6431885</v>
      </c>
      <c r="K1907">
        <v>2400</v>
      </c>
      <c r="L1907">
        <v>0</v>
      </c>
      <c r="M1907">
        <v>0</v>
      </c>
      <c r="N1907">
        <v>2400</v>
      </c>
    </row>
    <row r="1908" spans="1:14" x14ac:dyDescent="0.25">
      <c r="A1908">
        <v>1482.0688740000001</v>
      </c>
      <c r="B1908" s="1">
        <f>DATE(2014,5,22) + TIME(1,39,10)</f>
        <v>41781.068865740737</v>
      </c>
      <c r="C1908">
        <v>80</v>
      </c>
      <c r="D1908">
        <v>79.962425232000001</v>
      </c>
      <c r="E1908">
        <v>50</v>
      </c>
      <c r="F1908">
        <v>48.692977904999999</v>
      </c>
      <c r="G1908">
        <v>1384.265625</v>
      </c>
      <c r="H1908">
        <v>1369.8917236</v>
      </c>
      <c r="I1908">
        <v>1288.7922363</v>
      </c>
      <c r="J1908">
        <v>1269.6306152</v>
      </c>
      <c r="K1908">
        <v>2400</v>
      </c>
      <c r="L1908">
        <v>0</v>
      </c>
      <c r="M1908">
        <v>0</v>
      </c>
      <c r="N1908">
        <v>2400</v>
      </c>
    </row>
    <row r="1909" spans="1:14" x14ac:dyDescent="0.25">
      <c r="A1909">
        <v>1482.6272879999999</v>
      </c>
      <c r="B1909" s="1">
        <f>DATE(2014,5,22) + TIME(15,3,17)</f>
        <v>41781.627280092594</v>
      </c>
      <c r="C1909">
        <v>80</v>
      </c>
      <c r="D1909">
        <v>79.962409973000007</v>
      </c>
      <c r="E1909">
        <v>50</v>
      </c>
      <c r="F1909">
        <v>48.663974762000002</v>
      </c>
      <c r="G1909">
        <v>1384.2128906</v>
      </c>
      <c r="H1909">
        <v>1369.8507079999999</v>
      </c>
      <c r="I1909">
        <v>1288.7824707</v>
      </c>
      <c r="J1909">
        <v>1269.6179199000001</v>
      </c>
      <c r="K1909">
        <v>2400</v>
      </c>
      <c r="L1909">
        <v>0</v>
      </c>
      <c r="M1909">
        <v>0</v>
      </c>
      <c r="N1909">
        <v>2400</v>
      </c>
    </row>
    <row r="1910" spans="1:14" x14ac:dyDescent="0.25">
      <c r="A1910">
        <v>1483.198265</v>
      </c>
      <c r="B1910" s="1">
        <f>DATE(2014,5,23) + TIME(4,45,30)</f>
        <v>41782.198263888888</v>
      </c>
      <c r="C1910">
        <v>80</v>
      </c>
      <c r="D1910">
        <v>79.962394713999998</v>
      </c>
      <c r="E1910">
        <v>50</v>
      </c>
      <c r="F1910">
        <v>48.634521483999997</v>
      </c>
      <c r="G1910">
        <v>1384.1601562000001</v>
      </c>
      <c r="H1910">
        <v>1369.8098144999999</v>
      </c>
      <c r="I1910">
        <v>1288.7725829999999</v>
      </c>
      <c r="J1910">
        <v>1269.6047363</v>
      </c>
      <c r="K1910">
        <v>2400</v>
      </c>
      <c r="L1910">
        <v>0</v>
      </c>
      <c r="M1910">
        <v>0</v>
      </c>
      <c r="N1910">
        <v>2400</v>
      </c>
    </row>
    <row r="1911" spans="1:14" x14ac:dyDescent="0.25">
      <c r="A1911">
        <v>1483.7838690000001</v>
      </c>
      <c r="B1911" s="1">
        <f>DATE(2014,5,23) + TIME(18,48,46)</f>
        <v>41782.783865740741</v>
      </c>
      <c r="C1911">
        <v>80</v>
      </c>
      <c r="D1911">
        <v>79.962379455999994</v>
      </c>
      <c r="E1911">
        <v>50</v>
      </c>
      <c r="F1911">
        <v>48.604530334000003</v>
      </c>
      <c r="G1911">
        <v>1384.1072998</v>
      </c>
      <c r="H1911">
        <v>1369.7686768000001</v>
      </c>
      <c r="I1911">
        <v>1288.7623291</v>
      </c>
      <c r="J1911">
        <v>1269.5913086</v>
      </c>
      <c r="K1911">
        <v>2400</v>
      </c>
      <c r="L1911">
        <v>0</v>
      </c>
      <c r="M1911">
        <v>0</v>
      </c>
      <c r="N1911">
        <v>2400</v>
      </c>
    </row>
    <row r="1912" spans="1:14" x14ac:dyDescent="0.25">
      <c r="A1912">
        <v>1484.3866169999999</v>
      </c>
      <c r="B1912" s="1">
        <f>DATE(2014,5,24) + TIME(9,16,43)</f>
        <v>41783.386608796296</v>
      </c>
      <c r="C1912">
        <v>80</v>
      </c>
      <c r="D1912">
        <v>79.962364196999999</v>
      </c>
      <c r="E1912">
        <v>50</v>
      </c>
      <c r="F1912">
        <v>48.57390213</v>
      </c>
      <c r="G1912">
        <v>1384.0541992000001</v>
      </c>
      <c r="H1912">
        <v>1369.7274170000001</v>
      </c>
      <c r="I1912">
        <v>1288.7518310999999</v>
      </c>
      <c r="J1912">
        <v>1269.5773925999999</v>
      </c>
      <c r="K1912">
        <v>2400</v>
      </c>
      <c r="L1912">
        <v>0</v>
      </c>
      <c r="M1912">
        <v>0</v>
      </c>
      <c r="N1912">
        <v>2400</v>
      </c>
    </row>
    <row r="1913" spans="1:14" x14ac:dyDescent="0.25">
      <c r="A1913">
        <v>1485.0077690000001</v>
      </c>
      <c r="B1913" s="1">
        <f>DATE(2014,5,25) + TIME(0,11,11)</f>
        <v>41784.0077662037</v>
      </c>
      <c r="C1913">
        <v>80</v>
      </c>
      <c r="D1913">
        <v>79.962348938000005</v>
      </c>
      <c r="E1913">
        <v>50</v>
      </c>
      <c r="F1913">
        <v>48.542568207000002</v>
      </c>
      <c r="G1913">
        <v>1384.0004882999999</v>
      </c>
      <c r="H1913">
        <v>1369.6856689000001</v>
      </c>
      <c r="I1913">
        <v>1288.7409668</v>
      </c>
      <c r="J1913">
        <v>1269.5629882999999</v>
      </c>
      <c r="K1913">
        <v>2400</v>
      </c>
      <c r="L1913">
        <v>0</v>
      </c>
      <c r="M1913">
        <v>0</v>
      </c>
      <c r="N1913">
        <v>2400</v>
      </c>
    </row>
    <row r="1914" spans="1:14" x14ac:dyDescent="0.25">
      <c r="A1914">
        <v>1485.636041</v>
      </c>
      <c r="B1914" s="1">
        <f>DATE(2014,5,25) + TIME(15,15,53)</f>
        <v>41784.636030092595</v>
      </c>
      <c r="C1914">
        <v>80</v>
      </c>
      <c r="D1914">
        <v>79.962333678999997</v>
      </c>
      <c r="E1914">
        <v>50</v>
      </c>
      <c r="F1914">
        <v>48.510822296000001</v>
      </c>
      <c r="G1914">
        <v>1383.9462891000001</v>
      </c>
      <c r="H1914">
        <v>1369.6435547000001</v>
      </c>
      <c r="I1914">
        <v>1288.7296143000001</v>
      </c>
      <c r="J1914">
        <v>1269.5482178</v>
      </c>
      <c r="K1914">
        <v>2400</v>
      </c>
      <c r="L1914">
        <v>0</v>
      </c>
      <c r="M1914">
        <v>0</v>
      </c>
      <c r="N1914">
        <v>2400</v>
      </c>
    </row>
    <row r="1915" spans="1:14" x14ac:dyDescent="0.25">
      <c r="A1915">
        <v>1486.2731839999999</v>
      </c>
      <c r="B1915" s="1">
        <f>DATE(2014,5,26) + TIME(6,33,23)</f>
        <v>41785.273182870369</v>
      </c>
      <c r="C1915">
        <v>80</v>
      </c>
      <c r="D1915">
        <v>79.962318420000003</v>
      </c>
      <c r="E1915">
        <v>50</v>
      </c>
      <c r="F1915">
        <v>48.478702544999997</v>
      </c>
      <c r="G1915">
        <v>1383.8925781</v>
      </c>
      <c r="H1915">
        <v>1369.6016846</v>
      </c>
      <c r="I1915">
        <v>1288.7181396000001</v>
      </c>
      <c r="J1915">
        <v>1269.5329589999999</v>
      </c>
      <c r="K1915">
        <v>2400</v>
      </c>
      <c r="L1915">
        <v>0</v>
      </c>
      <c r="M1915">
        <v>0</v>
      </c>
      <c r="N1915">
        <v>2400</v>
      </c>
    </row>
    <row r="1916" spans="1:14" x14ac:dyDescent="0.25">
      <c r="A1916">
        <v>1486.9208779999999</v>
      </c>
      <c r="B1916" s="1">
        <f>DATE(2014,5,26) + TIME(22,6,3)</f>
        <v>41785.920868055553</v>
      </c>
      <c r="C1916">
        <v>80</v>
      </c>
      <c r="D1916">
        <v>79.962303161999998</v>
      </c>
      <c r="E1916">
        <v>50</v>
      </c>
      <c r="F1916">
        <v>48.446193694999998</v>
      </c>
      <c r="G1916">
        <v>1383.8391113</v>
      </c>
      <c r="H1916">
        <v>1369.5600586</v>
      </c>
      <c r="I1916">
        <v>1288.7064209</v>
      </c>
      <c r="J1916">
        <v>1269.5175781</v>
      </c>
      <c r="K1916">
        <v>2400</v>
      </c>
      <c r="L1916">
        <v>0</v>
      </c>
      <c r="M1916">
        <v>0</v>
      </c>
      <c r="N1916">
        <v>2400</v>
      </c>
    </row>
    <row r="1917" spans="1:14" x14ac:dyDescent="0.25">
      <c r="A1917">
        <v>1487.5809079999999</v>
      </c>
      <c r="B1917" s="1">
        <f>DATE(2014,5,27) + TIME(13,56,30)</f>
        <v>41786.58090277778</v>
      </c>
      <c r="C1917">
        <v>80</v>
      </c>
      <c r="D1917">
        <v>79.962287903000004</v>
      </c>
      <c r="E1917">
        <v>50</v>
      </c>
      <c r="F1917">
        <v>48.413257598999998</v>
      </c>
      <c r="G1917">
        <v>1383.7857666</v>
      </c>
      <c r="H1917">
        <v>1369.5185547000001</v>
      </c>
      <c r="I1917">
        <v>1288.6944579999999</v>
      </c>
      <c r="J1917">
        <v>1269.5017089999999</v>
      </c>
      <c r="K1917">
        <v>2400</v>
      </c>
      <c r="L1917">
        <v>0</v>
      </c>
      <c r="M1917">
        <v>0</v>
      </c>
      <c r="N1917">
        <v>2400</v>
      </c>
    </row>
    <row r="1918" spans="1:14" x14ac:dyDescent="0.25">
      <c r="A1918">
        <v>1488.255191</v>
      </c>
      <c r="B1918" s="1">
        <f>DATE(2014,5,28) + TIME(6,7,28)</f>
        <v>41787.255185185182</v>
      </c>
      <c r="C1918">
        <v>80</v>
      </c>
      <c r="D1918">
        <v>79.962272643999995</v>
      </c>
      <c r="E1918">
        <v>50</v>
      </c>
      <c r="F1918">
        <v>48.379825592000003</v>
      </c>
      <c r="G1918">
        <v>1383.7324219</v>
      </c>
      <c r="H1918">
        <v>1369.4770507999999</v>
      </c>
      <c r="I1918">
        <v>1288.682251</v>
      </c>
      <c r="J1918">
        <v>1269.4854736</v>
      </c>
      <c r="K1918">
        <v>2400</v>
      </c>
      <c r="L1918">
        <v>0</v>
      </c>
      <c r="M1918">
        <v>0</v>
      </c>
      <c r="N1918">
        <v>2400</v>
      </c>
    </row>
    <row r="1919" spans="1:14" x14ac:dyDescent="0.25">
      <c r="A1919">
        <v>1488.9441340000001</v>
      </c>
      <c r="B1919" s="1">
        <f>DATE(2014,5,28) + TIME(22,39,33)</f>
        <v>41787.944131944445</v>
      </c>
      <c r="C1919">
        <v>80</v>
      </c>
      <c r="D1919">
        <v>79.962257385000001</v>
      </c>
      <c r="E1919">
        <v>50</v>
      </c>
      <c r="F1919">
        <v>48.345870972</v>
      </c>
      <c r="G1919">
        <v>1383.6789550999999</v>
      </c>
      <c r="H1919">
        <v>1369.4353027</v>
      </c>
      <c r="I1919">
        <v>1288.6696777</v>
      </c>
      <c r="J1919">
        <v>1269.46875</v>
      </c>
      <c r="K1919">
        <v>2400</v>
      </c>
      <c r="L1919">
        <v>0</v>
      </c>
      <c r="M1919">
        <v>0</v>
      </c>
      <c r="N1919">
        <v>2400</v>
      </c>
    </row>
    <row r="1920" spans="1:14" x14ac:dyDescent="0.25">
      <c r="A1920">
        <v>1489.6424529999999</v>
      </c>
      <c r="B1920" s="1">
        <f>DATE(2014,5,29) + TIME(15,25,7)</f>
        <v>41788.642442129632</v>
      </c>
      <c r="C1920">
        <v>80</v>
      </c>
      <c r="D1920">
        <v>79.962249756000006</v>
      </c>
      <c r="E1920">
        <v>50</v>
      </c>
      <c r="F1920">
        <v>48.311519623000002</v>
      </c>
      <c r="G1920">
        <v>1383.6253661999999</v>
      </c>
      <c r="H1920">
        <v>1369.3935547000001</v>
      </c>
      <c r="I1920">
        <v>1288.6566161999999</v>
      </c>
      <c r="J1920">
        <v>1269.4515381000001</v>
      </c>
      <c r="K1920">
        <v>2400</v>
      </c>
      <c r="L1920">
        <v>0</v>
      </c>
      <c r="M1920">
        <v>0</v>
      </c>
      <c r="N1920">
        <v>2400</v>
      </c>
    </row>
    <row r="1921" spans="1:14" x14ac:dyDescent="0.25">
      <c r="A1921">
        <v>1490.3508380000001</v>
      </c>
      <c r="B1921" s="1">
        <f>DATE(2014,5,30) + TIME(8,25,12)</f>
        <v>41789.35083333333</v>
      </c>
      <c r="C1921">
        <v>80</v>
      </c>
      <c r="D1921">
        <v>79.962234496999997</v>
      </c>
      <c r="E1921">
        <v>50</v>
      </c>
      <c r="F1921">
        <v>48.276798247999999</v>
      </c>
      <c r="G1921">
        <v>1383.5720214999999</v>
      </c>
      <c r="H1921">
        <v>1369.3519286999999</v>
      </c>
      <c r="I1921">
        <v>1288.6434326000001</v>
      </c>
      <c r="J1921">
        <v>1269.4338379000001</v>
      </c>
      <c r="K1921">
        <v>2400</v>
      </c>
      <c r="L1921">
        <v>0</v>
      </c>
      <c r="M1921">
        <v>0</v>
      </c>
      <c r="N1921">
        <v>2400</v>
      </c>
    </row>
    <row r="1922" spans="1:14" x14ac:dyDescent="0.25">
      <c r="A1922">
        <v>1491.071582</v>
      </c>
      <c r="B1922" s="1">
        <f>DATE(2014,5,31) + TIME(1,43,4)</f>
        <v>41790.071574074071</v>
      </c>
      <c r="C1922">
        <v>80</v>
      </c>
      <c r="D1922">
        <v>79.962219238000003</v>
      </c>
      <c r="E1922">
        <v>50</v>
      </c>
      <c r="F1922">
        <v>48.241664886000002</v>
      </c>
      <c r="G1922">
        <v>1383.5189209</v>
      </c>
      <c r="H1922">
        <v>1369.3104248</v>
      </c>
      <c r="I1922">
        <v>1288.6298827999999</v>
      </c>
      <c r="J1922">
        <v>1269.4158935999999</v>
      </c>
      <c r="K1922">
        <v>2400</v>
      </c>
      <c r="L1922">
        <v>0</v>
      </c>
      <c r="M1922">
        <v>0</v>
      </c>
      <c r="N1922">
        <v>2400</v>
      </c>
    </row>
    <row r="1923" spans="1:14" x14ac:dyDescent="0.25">
      <c r="A1923">
        <v>1491.8071030000001</v>
      </c>
      <c r="B1923" s="1">
        <f>DATE(2014,5,31) + TIME(19,22,13)</f>
        <v>41790.80709490741</v>
      </c>
      <c r="C1923">
        <v>80</v>
      </c>
      <c r="D1923">
        <v>79.962211608999993</v>
      </c>
      <c r="E1923">
        <v>50</v>
      </c>
      <c r="F1923">
        <v>48.206047058000003</v>
      </c>
      <c r="G1923">
        <v>1383.4658202999999</v>
      </c>
      <c r="H1923">
        <v>1369.2689209</v>
      </c>
      <c r="I1923">
        <v>1288.6160889</v>
      </c>
      <c r="J1923">
        <v>1269.3973389</v>
      </c>
      <c r="K1923">
        <v>2400</v>
      </c>
      <c r="L1923">
        <v>0</v>
      </c>
      <c r="M1923">
        <v>0</v>
      </c>
      <c r="N1923">
        <v>2400</v>
      </c>
    </row>
    <row r="1924" spans="1:14" x14ac:dyDescent="0.25">
      <c r="A1924">
        <v>1492</v>
      </c>
      <c r="B1924" s="1">
        <f>DATE(2014,6,1) + TIME(0,0,0)</f>
        <v>41791</v>
      </c>
      <c r="C1924">
        <v>80</v>
      </c>
      <c r="D1924">
        <v>79.962196349999999</v>
      </c>
      <c r="E1924">
        <v>50</v>
      </c>
      <c r="F1924">
        <v>48.191841125000003</v>
      </c>
      <c r="G1924">
        <v>1383.4132079999999</v>
      </c>
      <c r="H1924">
        <v>1369.2277832</v>
      </c>
      <c r="I1924">
        <v>1288.5998535000001</v>
      </c>
      <c r="J1924">
        <v>1269.3807373</v>
      </c>
      <c r="K1924">
        <v>2400</v>
      </c>
      <c r="L1924">
        <v>0</v>
      </c>
      <c r="M1924">
        <v>0</v>
      </c>
      <c r="N1924">
        <v>2400</v>
      </c>
    </row>
    <row r="1925" spans="1:14" x14ac:dyDescent="0.25">
      <c r="A1925">
        <v>1492.7510580000001</v>
      </c>
      <c r="B1925" s="1">
        <f>DATE(2014,6,1) + TIME(18,1,31)</f>
        <v>41791.75105324074</v>
      </c>
      <c r="C1925">
        <v>80</v>
      </c>
      <c r="D1925">
        <v>79.962188721000004</v>
      </c>
      <c r="E1925">
        <v>50</v>
      </c>
      <c r="F1925">
        <v>48.157943725999999</v>
      </c>
      <c r="G1925">
        <v>1383.3986815999999</v>
      </c>
      <c r="H1925">
        <v>1369.2163086</v>
      </c>
      <c r="I1925">
        <v>1288.5981445</v>
      </c>
      <c r="J1925">
        <v>1269.3728027</v>
      </c>
      <c r="K1925">
        <v>2400</v>
      </c>
      <c r="L1925">
        <v>0</v>
      </c>
      <c r="M1925">
        <v>0</v>
      </c>
      <c r="N1925">
        <v>2400</v>
      </c>
    </row>
    <row r="1926" spans="1:14" x14ac:dyDescent="0.25">
      <c r="A1926">
        <v>1493.5209420000001</v>
      </c>
      <c r="B1926" s="1">
        <f>DATE(2014,6,2) + TIME(12,30,9)</f>
        <v>41792.520937499998</v>
      </c>
      <c r="C1926">
        <v>80</v>
      </c>
      <c r="D1926">
        <v>79.962181091000005</v>
      </c>
      <c r="E1926">
        <v>50</v>
      </c>
      <c r="F1926">
        <v>48.122394561999997</v>
      </c>
      <c r="G1926">
        <v>1383.3457031</v>
      </c>
      <c r="H1926">
        <v>1369.1749268000001</v>
      </c>
      <c r="I1926">
        <v>1288.583374</v>
      </c>
      <c r="J1926">
        <v>1269.3533935999999</v>
      </c>
      <c r="K1926">
        <v>2400</v>
      </c>
      <c r="L1926">
        <v>0</v>
      </c>
      <c r="M1926">
        <v>0</v>
      </c>
      <c r="N1926">
        <v>2400</v>
      </c>
    </row>
    <row r="1927" spans="1:14" x14ac:dyDescent="0.25">
      <c r="A1927">
        <v>1494.308493</v>
      </c>
      <c r="B1927" s="1">
        <f>DATE(2014,6,3) + TIME(7,24,13)</f>
        <v>41793.308483796296</v>
      </c>
      <c r="C1927">
        <v>80</v>
      </c>
      <c r="D1927">
        <v>79.962173461999996</v>
      </c>
      <c r="E1927">
        <v>50</v>
      </c>
      <c r="F1927">
        <v>48.085643767999997</v>
      </c>
      <c r="G1927">
        <v>1383.2922363</v>
      </c>
      <c r="H1927">
        <v>1369.1330565999999</v>
      </c>
      <c r="I1927">
        <v>1288.5682373</v>
      </c>
      <c r="J1927">
        <v>1269.3330077999999</v>
      </c>
      <c r="K1927">
        <v>2400</v>
      </c>
      <c r="L1927">
        <v>0</v>
      </c>
      <c r="M1927">
        <v>0</v>
      </c>
      <c r="N1927">
        <v>2400</v>
      </c>
    </row>
    <row r="1928" spans="1:14" x14ac:dyDescent="0.25">
      <c r="A1928">
        <v>1495.110909</v>
      </c>
      <c r="B1928" s="1">
        <f>DATE(2014,6,4) + TIME(2,39,42)</f>
        <v>41794.110902777778</v>
      </c>
      <c r="C1928">
        <v>80</v>
      </c>
      <c r="D1928">
        <v>79.962158203000001</v>
      </c>
      <c r="E1928">
        <v>50</v>
      </c>
      <c r="F1928">
        <v>48.048000336000001</v>
      </c>
      <c r="G1928">
        <v>1383.2385254000001</v>
      </c>
      <c r="H1928">
        <v>1369.0909423999999</v>
      </c>
      <c r="I1928">
        <v>1288.5524902</v>
      </c>
      <c r="J1928">
        <v>1269.3120117000001</v>
      </c>
      <c r="K1928">
        <v>2400</v>
      </c>
      <c r="L1928">
        <v>0</v>
      </c>
      <c r="M1928">
        <v>0</v>
      </c>
      <c r="N1928">
        <v>2400</v>
      </c>
    </row>
    <row r="1929" spans="1:14" x14ac:dyDescent="0.25">
      <c r="A1929">
        <v>1495.918156</v>
      </c>
      <c r="B1929" s="1">
        <f>DATE(2014,6,4) + TIME(22,2,8)</f>
        <v>41794.91814814815</v>
      </c>
      <c r="C1929">
        <v>80</v>
      </c>
      <c r="D1929">
        <v>79.962150574000006</v>
      </c>
      <c r="E1929">
        <v>50</v>
      </c>
      <c r="F1929">
        <v>48.009880066000001</v>
      </c>
      <c r="G1929">
        <v>1383.1846923999999</v>
      </c>
      <c r="H1929">
        <v>1369.0487060999999</v>
      </c>
      <c r="I1929">
        <v>1288.5362548999999</v>
      </c>
      <c r="J1929">
        <v>1269.2902832</v>
      </c>
      <c r="K1929">
        <v>2400</v>
      </c>
      <c r="L1929">
        <v>0</v>
      </c>
      <c r="M1929">
        <v>0</v>
      </c>
      <c r="N1929">
        <v>2400</v>
      </c>
    </row>
    <row r="1930" spans="1:14" x14ac:dyDescent="0.25">
      <c r="A1930">
        <v>1496.7328110000001</v>
      </c>
      <c r="B1930" s="1">
        <f>DATE(2014,6,5) + TIME(17,35,14)</f>
        <v>41795.732800925929</v>
      </c>
      <c r="C1930">
        <v>80</v>
      </c>
      <c r="D1930">
        <v>79.962142943999993</v>
      </c>
      <c r="E1930">
        <v>50</v>
      </c>
      <c r="F1930">
        <v>47.971427917</v>
      </c>
      <c r="G1930">
        <v>1383.1314697</v>
      </c>
      <c r="H1930">
        <v>1369.0068358999999</v>
      </c>
      <c r="I1930">
        <v>1288.5197754000001</v>
      </c>
      <c r="J1930">
        <v>1269.2681885</v>
      </c>
      <c r="K1930">
        <v>2400</v>
      </c>
      <c r="L1930">
        <v>0</v>
      </c>
      <c r="M1930">
        <v>0</v>
      </c>
      <c r="N1930">
        <v>2400</v>
      </c>
    </row>
    <row r="1931" spans="1:14" x14ac:dyDescent="0.25">
      <c r="A1931">
        <v>1497.5574280000001</v>
      </c>
      <c r="B1931" s="1">
        <f>DATE(2014,6,6) + TIME(13,22,41)</f>
        <v>41796.55741898148</v>
      </c>
      <c r="C1931">
        <v>80</v>
      </c>
      <c r="D1931">
        <v>79.962127686000002</v>
      </c>
      <c r="E1931">
        <v>50</v>
      </c>
      <c r="F1931">
        <v>47.93265152</v>
      </c>
      <c r="G1931">
        <v>1383.0786132999999</v>
      </c>
      <c r="H1931">
        <v>1368.965332</v>
      </c>
      <c r="I1931">
        <v>1288.5030518000001</v>
      </c>
      <c r="J1931">
        <v>1269.2454834</v>
      </c>
      <c r="K1931">
        <v>2400</v>
      </c>
      <c r="L1931">
        <v>0</v>
      </c>
      <c r="M1931">
        <v>0</v>
      </c>
      <c r="N1931">
        <v>2400</v>
      </c>
    </row>
    <row r="1932" spans="1:14" x14ac:dyDescent="0.25">
      <c r="A1932">
        <v>1498.39463</v>
      </c>
      <c r="B1932" s="1">
        <f>DATE(2014,6,7) + TIME(9,28,16)</f>
        <v>41797.394629629627</v>
      </c>
      <c r="C1932">
        <v>80</v>
      </c>
      <c r="D1932">
        <v>79.962120056000003</v>
      </c>
      <c r="E1932">
        <v>50</v>
      </c>
      <c r="F1932">
        <v>47.893501282000003</v>
      </c>
      <c r="G1932">
        <v>1383.0261230000001</v>
      </c>
      <c r="H1932">
        <v>1368.9240723</v>
      </c>
      <c r="I1932">
        <v>1288.4859618999999</v>
      </c>
      <c r="J1932">
        <v>1269.2222899999999</v>
      </c>
      <c r="K1932">
        <v>2400</v>
      </c>
      <c r="L1932">
        <v>0</v>
      </c>
      <c r="M1932">
        <v>0</v>
      </c>
      <c r="N1932">
        <v>2400</v>
      </c>
    </row>
    <row r="1933" spans="1:14" x14ac:dyDescent="0.25">
      <c r="A1933">
        <v>1499.247165</v>
      </c>
      <c r="B1933" s="1">
        <f>DATE(2014,6,8) + TIME(5,55,55)</f>
        <v>41798.247164351851</v>
      </c>
      <c r="C1933">
        <v>80</v>
      </c>
      <c r="D1933">
        <v>79.962112426999994</v>
      </c>
      <c r="E1933">
        <v>50</v>
      </c>
      <c r="F1933">
        <v>47.853893280000001</v>
      </c>
      <c r="G1933">
        <v>1382.9736327999999</v>
      </c>
      <c r="H1933">
        <v>1368.8826904</v>
      </c>
      <c r="I1933">
        <v>1288.4685059000001</v>
      </c>
      <c r="J1933">
        <v>1269.1984863</v>
      </c>
      <c r="K1933">
        <v>2400</v>
      </c>
      <c r="L1933">
        <v>0</v>
      </c>
      <c r="M1933">
        <v>0</v>
      </c>
      <c r="N1933">
        <v>2400</v>
      </c>
    </row>
    <row r="1934" spans="1:14" x14ac:dyDescent="0.25">
      <c r="A1934">
        <v>1500.118103</v>
      </c>
      <c r="B1934" s="1">
        <f>DATE(2014,6,9) + TIME(2,50,4)</f>
        <v>41799.118101851855</v>
      </c>
      <c r="C1934">
        <v>80</v>
      </c>
      <c r="D1934">
        <v>79.962104796999995</v>
      </c>
      <c r="E1934">
        <v>50</v>
      </c>
      <c r="F1934">
        <v>47.813713073999999</v>
      </c>
      <c r="G1934">
        <v>1382.9211425999999</v>
      </c>
      <c r="H1934">
        <v>1368.8413086</v>
      </c>
      <c r="I1934">
        <v>1288.4504394999999</v>
      </c>
      <c r="J1934">
        <v>1269.1738281</v>
      </c>
      <c r="K1934">
        <v>2400</v>
      </c>
      <c r="L1934">
        <v>0</v>
      </c>
      <c r="M1934">
        <v>0</v>
      </c>
      <c r="N1934">
        <v>2400</v>
      </c>
    </row>
    <row r="1935" spans="1:14" x14ac:dyDescent="0.25">
      <c r="A1935">
        <v>1501.0096100000001</v>
      </c>
      <c r="B1935" s="1">
        <f>DATE(2014,6,10) + TIME(0,13,50)</f>
        <v>41800.009606481479</v>
      </c>
      <c r="C1935">
        <v>80</v>
      </c>
      <c r="D1935">
        <v>79.962097168</v>
      </c>
      <c r="E1935">
        <v>50</v>
      </c>
      <c r="F1935">
        <v>47.772857666</v>
      </c>
      <c r="G1935">
        <v>1382.8682861</v>
      </c>
      <c r="H1935">
        <v>1368.7996826000001</v>
      </c>
      <c r="I1935">
        <v>1288.4317627</v>
      </c>
      <c r="J1935">
        <v>1269.1484375</v>
      </c>
      <c r="K1935">
        <v>2400</v>
      </c>
      <c r="L1935">
        <v>0</v>
      </c>
      <c r="M1935">
        <v>0</v>
      </c>
      <c r="N1935">
        <v>2400</v>
      </c>
    </row>
    <row r="1936" spans="1:14" x14ac:dyDescent="0.25">
      <c r="A1936">
        <v>1501.91506</v>
      </c>
      <c r="B1936" s="1">
        <f>DATE(2014,6,10) + TIME(21,57,41)</f>
        <v>41800.91505787037</v>
      </c>
      <c r="C1936">
        <v>80</v>
      </c>
      <c r="D1936">
        <v>79.962089539000004</v>
      </c>
      <c r="E1936">
        <v>50</v>
      </c>
      <c r="F1936">
        <v>47.731422424000002</v>
      </c>
      <c r="G1936">
        <v>1382.8150635</v>
      </c>
      <c r="H1936">
        <v>1368.7576904</v>
      </c>
      <c r="I1936">
        <v>1288.4124756000001</v>
      </c>
      <c r="J1936">
        <v>1269.1219481999999</v>
      </c>
      <c r="K1936">
        <v>2400</v>
      </c>
      <c r="L1936">
        <v>0</v>
      </c>
      <c r="M1936">
        <v>0</v>
      </c>
      <c r="N1936">
        <v>2400</v>
      </c>
    </row>
    <row r="1937" spans="1:14" x14ac:dyDescent="0.25">
      <c r="A1937">
        <v>1502.8353079999999</v>
      </c>
      <c r="B1937" s="1">
        <f>DATE(2014,6,11) + TIME(20,2,50)</f>
        <v>41801.835300925923</v>
      </c>
      <c r="C1937">
        <v>80</v>
      </c>
      <c r="D1937">
        <v>79.962081909000005</v>
      </c>
      <c r="E1937">
        <v>50</v>
      </c>
      <c r="F1937">
        <v>47.689441680999998</v>
      </c>
      <c r="G1937">
        <v>1382.7619629000001</v>
      </c>
      <c r="H1937">
        <v>1368.7155762</v>
      </c>
      <c r="I1937">
        <v>1288.3925781</v>
      </c>
      <c r="J1937">
        <v>1269.0947266000001</v>
      </c>
      <c r="K1937">
        <v>2400</v>
      </c>
      <c r="L1937">
        <v>0</v>
      </c>
      <c r="M1937">
        <v>0</v>
      </c>
      <c r="N1937">
        <v>2400</v>
      </c>
    </row>
    <row r="1938" spans="1:14" x14ac:dyDescent="0.25">
      <c r="A1938">
        <v>1503.77331</v>
      </c>
      <c r="B1938" s="1">
        <f>DATE(2014,6,12) + TIME(18,33,33)</f>
        <v>41802.773298611108</v>
      </c>
      <c r="C1938">
        <v>80</v>
      </c>
      <c r="D1938">
        <v>79.962074279999996</v>
      </c>
      <c r="E1938">
        <v>50</v>
      </c>
      <c r="F1938">
        <v>47.646865845000001</v>
      </c>
      <c r="G1938">
        <v>1382.7088623</v>
      </c>
      <c r="H1938">
        <v>1368.6735839999999</v>
      </c>
      <c r="I1938">
        <v>1288.3720702999999</v>
      </c>
      <c r="J1938">
        <v>1269.0665283000001</v>
      </c>
      <c r="K1938">
        <v>2400</v>
      </c>
      <c r="L1938">
        <v>0</v>
      </c>
      <c r="M1938">
        <v>0</v>
      </c>
      <c r="N1938">
        <v>2400</v>
      </c>
    </row>
    <row r="1939" spans="1:14" x14ac:dyDescent="0.25">
      <c r="A1939">
        <v>1504.7298269999999</v>
      </c>
      <c r="B1939" s="1">
        <f>DATE(2014,6,13) + TIME(17,30,57)</f>
        <v>41803.729826388888</v>
      </c>
      <c r="C1939">
        <v>80</v>
      </c>
      <c r="D1939">
        <v>79.962074279999996</v>
      </c>
      <c r="E1939">
        <v>50</v>
      </c>
      <c r="F1939">
        <v>47.603660583</v>
      </c>
      <c r="G1939">
        <v>1382.6555175999999</v>
      </c>
      <c r="H1939">
        <v>1368.6313477000001</v>
      </c>
      <c r="I1939">
        <v>1288.3509521000001</v>
      </c>
      <c r="J1939">
        <v>1269.0373535000001</v>
      </c>
      <c r="K1939">
        <v>2400</v>
      </c>
      <c r="L1939">
        <v>0</v>
      </c>
      <c r="M1939">
        <v>0</v>
      </c>
      <c r="N1939">
        <v>2400</v>
      </c>
    </row>
    <row r="1940" spans="1:14" x14ac:dyDescent="0.25">
      <c r="A1940">
        <v>1505.6917100000001</v>
      </c>
      <c r="B1940" s="1">
        <f>DATE(2014,6,14) + TIME(16,36,3)</f>
        <v>41804.691701388889</v>
      </c>
      <c r="C1940">
        <v>80</v>
      </c>
      <c r="D1940">
        <v>79.962066649999997</v>
      </c>
      <c r="E1940">
        <v>50</v>
      </c>
      <c r="F1940">
        <v>47.560073852999999</v>
      </c>
      <c r="G1940">
        <v>1382.6020507999999</v>
      </c>
      <c r="H1940">
        <v>1368.5889893000001</v>
      </c>
      <c r="I1940">
        <v>1288.3292236</v>
      </c>
      <c r="J1940">
        <v>1269.0072021000001</v>
      </c>
      <c r="K1940">
        <v>2400</v>
      </c>
      <c r="L1940">
        <v>0</v>
      </c>
      <c r="M1940">
        <v>0</v>
      </c>
      <c r="N1940">
        <v>2400</v>
      </c>
    </row>
    <row r="1941" spans="1:14" x14ac:dyDescent="0.25">
      <c r="A1941">
        <v>1506.6620789999999</v>
      </c>
      <c r="B1941" s="1">
        <f>DATE(2014,6,15) + TIME(15,53,23)</f>
        <v>41805.66207175926</v>
      </c>
      <c r="C1941">
        <v>80</v>
      </c>
      <c r="D1941">
        <v>79.962059021000002</v>
      </c>
      <c r="E1941">
        <v>50</v>
      </c>
      <c r="F1941">
        <v>47.516197204999997</v>
      </c>
      <c r="G1941">
        <v>1382.5491943</v>
      </c>
      <c r="H1941">
        <v>1368.546875</v>
      </c>
      <c r="I1941">
        <v>1288.3068848</v>
      </c>
      <c r="J1941">
        <v>1268.9764404</v>
      </c>
      <c r="K1941">
        <v>2400</v>
      </c>
      <c r="L1941">
        <v>0</v>
      </c>
      <c r="M1941">
        <v>0</v>
      </c>
      <c r="N1941">
        <v>2400</v>
      </c>
    </row>
    <row r="1942" spans="1:14" x14ac:dyDescent="0.25">
      <c r="A1942">
        <v>1507.644029</v>
      </c>
      <c r="B1942" s="1">
        <f>DATE(2014,6,16) + TIME(15,27,24)</f>
        <v>41806.64402777778</v>
      </c>
      <c r="C1942">
        <v>80</v>
      </c>
      <c r="D1942">
        <v>79.962059021000002</v>
      </c>
      <c r="E1942">
        <v>50</v>
      </c>
      <c r="F1942">
        <v>47.471996306999998</v>
      </c>
      <c r="G1942">
        <v>1382.496582</v>
      </c>
      <c r="H1942">
        <v>1368.5051269999999</v>
      </c>
      <c r="I1942">
        <v>1288.2841797000001</v>
      </c>
      <c r="J1942">
        <v>1268.9447021000001</v>
      </c>
      <c r="K1942">
        <v>2400</v>
      </c>
      <c r="L1942">
        <v>0</v>
      </c>
      <c r="M1942">
        <v>0</v>
      </c>
      <c r="N1942">
        <v>2400</v>
      </c>
    </row>
    <row r="1943" spans="1:14" x14ac:dyDescent="0.25">
      <c r="A1943">
        <v>1508.640746</v>
      </c>
      <c r="B1943" s="1">
        <f>DATE(2014,6,17) + TIME(15,22,40)</f>
        <v>41807.640740740739</v>
      </c>
      <c r="C1943">
        <v>80</v>
      </c>
      <c r="D1943">
        <v>79.962051392000006</v>
      </c>
      <c r="E1943">
        <v>50</v>
      </c>
      <c r="F1943">
        <v>47.427379608000003</v>
      </c>
      <c r="G1943">
        <v>1382.4442139</v>
      </c>
      <c r="H1943">
        <v>1368.4633789</v>
      </c>
      <c r="I1943">
        <v>1288.2608643000001</v>
      </c>
      <c r="J1943">
        <v>1268.9121094</v>
      </c>
      <c r="K1943">
        <v>2400</v>
      </c>
      <c r="L1943">
        <v>0</v>
      </c>
      <c r="M1943">
        <v>0</v>
      </c>
      <c r="N1943">
        <v>2400</v>
      </c>
    </row>
    <row r="1944" spans="1:14" x14ac:dyDescent="0.25">
      <c r="A1944">
        <v>1509.655579</v>
      </c>
      <c r="B1944" s="1">
        <f>DATE(2014,6,18) + TIME(15,44,2)</f>
        <v>41808.655578703707</v>
      </c>
      <c r="C1944">
        <v>80</v>
      </c>
      <c r="D1944">
        <v>79.962051392000006</v>
      </c>
      <c r="E1944">
        <v>50</v>
      </c>
      <c r="F1944">
        <v>47.382225036999998</v>
      </c>
      <c r="G1944">
        <v>1382.3918457</v>
      </c>
      <c r="H1944">
        <v>1368.4216309000001</v>
      </c>
      <c r="I1944">
        <v>1288.2368164</v>
      </c>
      <c r="J1944">
        <v>1268.878418</v>
      </c>
      <c r="K1944">
        <v>2400</v>
      </c>
      <c r="L1944">
        <v>0</v>
      </c>
      <c r="M1944">
        <v>0</v>
      </c>
      <c r="N1944">
        <v>2400</v>
      </c>
    </row>
    <row r="1945" spans="1:14" x14ac:dyDescent="0.25">
      <c r="A1945">
        <v>1510.6923670000001</v>
      </c>
      <c r="B1945" s="1">
        <f>DATE(2014,6,19) + TIME(16,37,0)</f>
        <v>41809.692361111112</v>
      </c>
      <c r="C1945">
        <v>80</v>
      </c>
      <c r="D1945">
        <v>79.962043761999993</v>
      </c>
      <c r="E1945">
        <v>50</v>
      </c>
      <c r="F1945">
        <v>47.336387633999998</v>
      </c>
      <c r="G1945">
        <v>1382.3392334</v>
      </c>
      <c r="H1945">
        <v>1368.3797606999999</v>
      </c>
      <c r="I1945">
        <v>1288.2120361</v>
      </c>
      <c r="J1945">
        <v>1268.8435059000001</v>
      </c>
      <c r="K1945">
        <v>2400</v>
      </c>
      <c r="L1945">
        <v>0</v>
      </c>
      <c r="M1945">
        <v>0</v>
      </c>
      <c r="N1945">
        <v>2400</v>
      </c>
    </row>
    <row r="1946" spans="1:14" x14ac:dyDescent="0.25">
      <c r="A1946">
        <v>1511.7459469999999</v>
      </c>
      <c r="B1946" s="1">
        <f>DATE(2014,6,20) + TIME(17,54,9)</f>
        <v>41810.745937500003</v>
      </c>
      <c r="C1946">
        <v>80</v>
      </c>
      <c r="D1946">
        <v>79.962043761999993</v>
      </c>
      <c r="E1946">
        <v>50</v>
      </c>
      <c r="F1946">
        <v>47.289886475000003</v>
      </c>
      <c r="G1946">
        <v>1382.2863769999999</v>
      </c>
      <c r="H1946">
        <v>1368.3375243999999</v>
      </c>
      <c r="I1946">
        <v>1288.1864014</v>
      </c>
      <c r="J1946">
        <v>1268.807251</v>
      </c>
      <c r="K1946">
        <v>2400</v>
      </c>
      <c r="L1946">
        <v>0</v>
      </c>
      <c r="M1946">
        <v>0</v>
      </c>
      <c r="N1946">
        <v>2400</v>
      </c>
    </row>
    <row r="1947" spans="1:14" x14ac:dyDescent="0.25">
      <c r="A1947">
        <v>1512.819209</v>
      </c>
      <c r="B1947" s="1">
        <f>DATE(2014,6,21) + TIME(19,39,39)</f>
        <v>41811.819201388891</v>
      </c>
      <c r="C1947">
        <v>80</v>
      </c>
      <c r="D1947">
        <v>79.962043761999993</v>
      </c>
      <c r="E1947">
        <v>50</v>
      </c>
      <c r="F1947">
        <v>47.242698668999999</v>
      </c>
      <c r="G1947">
        <v>1382.2335204999999</v>
      </c>
      <c r="H1947">
        <v>1368.2951660000001</v>
      </c>
      <c r="I1947">
        <v>1288.1597899999999</v>
      </c>
      <c r="J1947">
        <v>1268.7697754000001</v>
      </c>
      <c r="K1947">
        <v>2400</v>
      </c>
      <c r="L1947">
        <v>0</v>
      </c>
      <c r="M1947">
        <v>0</v>
      </c>
      <c r="N1947">
        <v>2400</v>
      </c>
    </row>
    <row r="1948" spans="1:14" x14ac:dyDescent="0.25">
      <c r="A1948">
        <v>1513.9157379999999</v>
      </c>
      <c r="B1948" s="1">
        <f>DATE(2014,6,22) + TIME(21,58,39)</f>
        <v>41812.915729166663</v>
      </c>
      <c r="C1948">
        <v>80</v>
      </c>
      <c r="D1948">
        <v>79.962036132999998</v>
      </c>
      <c r="E1948">
        <v>50</v>
      </c>
      <c r="F1948">
        <v>47.194721221999998</v>
      </c>
      <c r="G1948">
        <v>1382.1804199000001</v>
      </c>
      <c r="H1948">
        <v>1368.2526855000001</v>
      </c>
      <c r="I1948">
        <v>1288.1324463000001</v>
      </c>
      <c r="J1948">
        <v>1268.7308350000001</v>
      </c>
      <c r="K1948">
        <v>2400</v>
      </c>
      <c r="L1948">
        <v>0</v>
      </c>
      <c r="M1948">
        <v>0</v>
      </c>
      <c r="N1948">
        <v>2400</v>
      </c>
    </row>
    <row r="1949" spans="1:14" x14ac:dyDescent="0.25">
      <c r="A1949">
        <v>1515.0330449999999</v>
      </c>
      <c r="B1949" s="1">
        <f>DATE(2014,6,24) + TIME(0,47,35)</f>
        <v>41814.033043981479</v>
      </c>
      <c r="C1949">
        <v>80</v>
      </c>
      <c r="D1949">
        <v>79.962036132999998</v>
      </c>
      <c r="E1949">
        <v>50</v>
      </c>
      <c r="F1949">
        <v>47.145946502999998</v>
      </c>
      <c r="G1949">
        <v>1382.1269531</v>
      </c>
      <c r="H1949">
        <v>1368.2097168</v>
      </c>
      <c r="I1949">
        <v>1288.1040039</v>
      </c>
      <c r="J1949">
        <v>1268.6903076000001</v>
      </c>
      <c r="K1949">
        <v>2400</v>
      </c>
      <c r="L1949">
        <v>0</v>
      </c>
      <c r="M1949">
        <v>0</v>
      </c>
      <c r="N1949">
        <v>2400</v>
      </c>
    </row>
    <row r="1950" spans="1:14" x14ac:dyDescent="0.25">
      <c r="A1950">
        <v>1516.1643280000001</v>
      </c>
      <c r="B1950" s="1">
        <f>DATE(2014,6,25) + TIME(3,56,37)</f>
        <v>41815.164317129631</v>
      </c>
      <c r="C1950">
        <v>80</v>
      </c>
      <c r="D1950">
        <v>79.962036132999998</v>
      </c>
      <c r="E1950">
        <v>50</v>
      </c>
      <c r="F1950">
        <v>47.096508026000002</v>
      </c>
      <c r="G1950">
        <v>1382.0732422000001</v>
      </c>
      <c r="H1950">
        <v>1368.166626</v>
      </c>
      <c r="I1950">
        <v>1288.0745850000001</v>
      </c>
      <c r="J1950">
        <v>1268.6481934000001</v>
      </c>
      <c r="K1950">
        <v>2400</v>
      </c>
      <c r="L1950">
        <v>0</v>
      </c>
      <c r="M1950">
        <v>0</v>
      </c>
      <c r="N1950">
        <v>2400</v>
      </c>
    </row>
    <row r="1951" spans="1:14" x14ac:dyDescent="0.25">
      <c r="A1951">
        <v>1517.3033190000001</v>
      </c>
      <c r="B1951" s="1">
        <f>DATE(2014,6,26) + TIME(7,16,46)</f>
        <v>41816.303310185183</v>
      </c>
      <c r="C1951">
        <v>80</v>
      </c>
      <c r="D1951">
        <v>79.962036132999998</v>
      </c>
      <c r="E1951">
        <v>50</v>
      </c>
      <c r="F1951">
        <v>47.046623230000002</v>
      </c>
      <c r="G1951">
        <v>1382.0197754000001</v>
      </c>
      <c r="H1951">
        <v>1368.1236572</v>
      </c>
      <c r="I1951">
        <v>1288.0441894999999</v>
      </c>
      <c r="J1951">
        <v>1268.6047363</v>
      </c>
      <c r="K1951">
        <v>2400</v>
      </c>
      <c r="L1951">
        <v>0</v>
      </c>
      <c r="M1951">
        <v>0</v>
      </c>
      <c r="N1951">
        <v>2400</v>
      </c>
    </row>
    <row r="1952" spans="1:14" x14ac:dyDescent="0.25">
      <c r="A1952">
        <v>1518.453761</v>
      </c>
      <c r="B1952" s="1">
        <f>DATE(2014,6,27) + TIME(10,53,24)</f>
        <v>41817.453750000001</v>
      </c>
      <c r="C1952">
        <v>80</v>
      </c>
      <c r="D1952">
        <v>79.962036132999998</v>
      </c>
      <c r="E1952">
        <v>50</v>
      </c>
      <c r="F1952">
        <v>46.996349334999998</v>
      </c>
      <c r="G1952">
        <v>1381.9665527</v>
      </c>
      <c r="H1952">
        <v>1368.0808105000001</v>
      </c>
      <c r="I1952">
        <v>1288.0131836</v>
      </c>
      <c r="J1952">
        <v>1268.5600586</v>
      </c>
      <c r="K1952">
        <v>2400</v>
      </c>
      <c r="L1952">
        <v>0</v>
      </c>
      <c r="M1952">
        <v>0</v>
      </c>
      <c r="N1952">
        <v>2400</v>
      </c>
    </row>
    <row r="1953" spans="1:14" x14ac:dyDescent="0.25">
      <c r="A1953">
        <v>1519.613544</v>
      </c>
      <c r="B1953" s="1">
        <f>DATE(2014,6,28) + TIME(14,43,30)</f>
        <v>41818.613541666666</v>
      </c>
      <c r="C1953">
        <v>80</v>
      </c>
      <c r="D1953">
        <v>79.962036132999998</v>
      </c>
      <c r="E1953">
        <v>50</v>
      </c>
      <c r="F1953">
        <v>46.945728301999999</v>
      </c>
      <c r="G1953">
        <v>1381.9136963000001</v>
      </c>
      <c r="H1953">
        <v>1368.0382079999999</v>
      </c>
      <c r="I1953">
        <v>1287.9814452999999</v>
      </c>
      <c r="J1953">
        <v>1268.5141602000001</v>
      </c>
      <c r="K1953">
        <v>2400</v>
      </c>
      <c r="L1953">
        <v>0</v>
      </c>
      <c r="M1953">
        <v>0</v>
      </c>
      <c r="N1953">
        <v>2400</v>
      </c>
    </row>
    <row r="1954" spans="1:14" x14ac:dyDescent="0.25">
      <c r="A1954">
        <v>1520.784568</v>
      </c>
      <c r="B1954" s="1">
        <f>DATE(2014,6,29) + TIME(18,49,46)</f>
        <v>41819.784560185188</v>
      </c>
      <c r="C1954">
        <v>80</v>
      </c>
      <c r="D1954">
        <v>79.962036132999998</v>
      </c>
      <c r="E1954">
        <v>50</v>
      </c>
      <c r="F1954">
        <v>46.894752502000003</v>
      </c>
      <c r="G1954">
        <v>1381.8610839999999</v>
      </c>
      <c r="H1954">
        <v>1367.9957274999999</v>
      </c>
      <c r="I1954">
        <v>1287.9488524999999</v>
      </c>
      <c r="J1954">
        <v>1268.4667969</v>
      </c>
      <c r="K1954">
        <v>2400</v>
      </c>
      <c r="L1954">
        <v>0</v>
      </c>
      <c r="M1954">
        <v>0</v>
      </c>
      <c r="N1954">
        <v>2400</v>
      </c>
    </row>
    <row r="1955" spans="1:14" x14ac:dyDescent="0.25">
      <c r="A1955">
        <v>1521.392284</v>
      </c>
      <c r="B1955" s="1">
        <f>DATE(2014,6,30) + TIME(9,24,53)</f>
        <v>41820.392280092594</v>
      </c>
      <c r="C1955">
        <v>80</v>
      </c>
      <c r="D1955">
        <v>79.962028502999999</v>
      </c>
      <c r="E1955">
        <v>50</v>
      </c>
      <c r="F1955">
        <v>46.858100890999999</v>
      </c>
      <c r="G1955">
        <v>1381.8087158000001</v>
      </c>
      <c r="H1955">
        <v>1367.9533690999999</v>
      </c>
      <c r="I1955">
        <v>1287.9150391000001</v>
      </c>
      <c r="J1955">
        <v>1268.4217529</v>
      </c>
      <c r="K1955">
        <v>2400</v>
      </c>
      <c r="L1955">
        <v>0</v>
      </c>
      <c r="M1955">
        <v>0</v>
      </c>
      <c r="N1955">
        <v>2400</v>
      </c>
    </row>
    <row r="1956" spans="1:14" x14ac:dyDescent="0.25">
      <c r="A1956">
        <v>1522</v>
      </c>
      <c r="B1956" s="1">
        <f>DATE(2014,7,1) + TIME(0,0,0)</f>
        <v>41821</v>
      </c>
      <c r="C1956">
        <v>80</v>
      </c>
      <c r="D1956">
        <v>79.962028502999999</v>
      </c>
      <c r="E1956">
        <v>50</v>
      </c>
      <c r="F1956">
        <v>46.825592041</v>
      </c>
      <c r="G1956">
        <v>1381.7816161999999</v>
      </c>
      <c r="H1956">
        <v>1367.9313964999999</v>
      </c>
      <c r="I1956">
        <v>1287.8970947</v>
      </c>
      <c r="J1956">
        <v>1268.3939209</v>
      </c>
      <c r="K1956">
        <v>2400</v>
      </c>
      <c r="L1956">
        <v>0</v>
      </c>
      <c r="M1956">
        <v>0</v>
      </c>
      <c r="N1956">
        <v>2400</v>
      </c>
    </row>
    <row r="1957" spans="1:14" x14ac:dyDescent="0.25">
      <c r="A1957">
        <v>1523.215432</v>
      </c>
      <c r="B1957" s="1">
        <f>DATE(2014,7,2) + TIME(5,10,13)</f>
        <v>41822.215428240743</v>
      </c>
      <c r="C1957">
        <v>80</v>
      </c>
      <c r="D1957">
        <v>79.962036132999998</v>
      </c>
      <c r="E1957">
        <v>50</v>
      </c>
      <c r="F1957">
        <v>46.782985687</v>
      </c>
      <c r="G1957">
        <v>1381.7551269999999</v>
      </c>
      <c r="H1957">
        <v>1367.9099120999999</v>
      </c>
      <c r="I1957">
        <v>1287.8796387</v>
      </c>
      <c r="J1957">
        <v>1268.3636475000001</v>
      </c>
      <c r="K1957">
        <v>2400</v>
      </c>
      <c r="L1957">
        <v>0</v>
      </c>
      <c r="M1957">
        <v>0</v>
      </c>
      <c r="N1957">
        <v>2400</v>
      </c>
    </row>
    <row r="1958" spans="1:14" x14ac:dyDescent="0.25">
      <c r="A1958">
        <v>1524.4402299999999</v>
      </c>
      <c r="B1958" s="1">
        <f>DATE(2014,7,3) + TIME(10,33,55)</f>
        <v>41823.44021990741</v>
      </c>
      <c r="C1958">
        <v>80</v>
      </c>
      <c r="D1958">
        <v>79.962043761999993</v>
      </c>
      <c r="E1958">
        <v>50</v>
      </c>
      <c r="F1958">
        <v>46.734161377</v>
      </c>
      <c r="G1958">
        <v>1381.7025146000001</v>
      </c>
      <c r="H1958">
        <v>1367.8671875</v>
      </c>
      <c r="I1958">
        <v>1287.8441161999999</v>
      </c>
      <c r="J1958">
        <v>1268.3128661999999</v>
      </c>
      <c r="K1958">
        <v>2400</v>
      </c>
      <c r="L1958">
        <v>0</v>
      </c>
      <c r="M1958">
        <v>0</v>
      </c>
      <c r="N1958">
        <v>2400</v>
      </c>
    </row>
    <row r="1959" spans="1:14" x14ac:dyDescent="0.25">
      <c r="A1959">
        <v>1525.6919210000001</v>
      </c>
      <c r="B1959" s="1">
        <f>DATE(2014,7,4) + TIME(16,36,21)</f>
        <v>41824.69190972222</v>
      </c>
      <c r="C1959">
        <v>80</v>
      </c>
      <c r="D1959">
        <v>79.962043761999993</v>
      </c>
      <c r="E1959">
        <v>50</v>
      </c>
      <c r="F1959">
        <v>46.682266235</v>
      </c>
      <c r="G1959">
        <v>1381.6500243999999</v>
      </c>
      <c r="H1959">
        <v>1367.8245850000001</v>
      </c>
      <c r="I1959">
        <v>1287.8076172000001</v>
      </c>
      <c r="J1959">
        <v>1268.2593993999999</v>
      </c>
      <c r="K1959">
        <v>2400</v>
      </c>
      <c r="L1959">
        <v>0</v>
      </c>
      <c r="M1959">
        <v>0</v>
      </c>
      <c r="N1959">
        <v>2400</v>
      </c>
    </row>
    <row r="1960" spans="1:14" x14ac:dyDescent="0.25">
      <c r="A1960">
        <v>1526.975218</v>
      </c>
      <c r="B1960" s="1">
        <f>DATE(2014,7,5) + TIME(23,24,18)</f>
        <v>41825.975208333337</v>
      </c>
      <c r="C1960">
        <v>80</v>
      </c>
      <c r="D1960">
        <v>79.962051392000006</v>
      </c>
      <c r="E1960">
        <v>50</v>
      </c>
      <c r="F1960">
        <v>46.628383636000002</v>
      </c>
      <c r="G1960">
        <v>1381.5970459</v>
      </c>
      <c r="H1960">
        <v>1367.7814940999999</v>
      </c>
      <c r="I1960">
        <v>1287.7695312000001</v>
      </c>
      <c r="J1960">
        <v>1268.2034911999999</v>
      </c>
      <c r="K1960">
        <v>2400</v>
      </c>
      <c r="L1960">
        <v>0</v>
      </c>
      <c r="M1960">
        <v>0</v>
      </c>
      <c r="N1960">
        <v>2400</v>
      </c>
    </row>
    <row r="1961" spans="1:14" x14ac:dyDescent="0.25">
      <c r="A1961">
        <v>1528.291056</v>
      </c>
      <c r="B1961" s="1">
        <f>DATE(2014,7,7) + TIME(6,59,7)</f>
        <v>41827.29105324074</v>
      </c>
      <c r="C1961">
        <v>80</v>
      </c>
      <c r="D1961">
        <v>79.962051392000006</v>
      </c>
      <c r="E1961">
        <v>50</v>
      </c>
      <c r="F1961">
        <v>46.572925568000002</v>
      </c>
      <c r="G1961">
        <v>1381.5435791</v>
      </c>
      <c r="H1961">
        <v>1367.7379149999999</v>
      </c>
      <c r="I1961">
        <v>1287.7299805</v>
      </c>
      <c r="J1961">
        <v>1268.1447754000001</v>
      </c>
      <c r="K1961">
        <v>2400</v>
      </c>
      <c r="L1961">
        <v>0</v>
      </c>
      <c r="M1961">
        <v>0</v>
      </c>
      <c r="N1961">
        <v>2400</v>
      </c>
    </row>
    <row r="1962" spans="1:14" x14ac:dyDescent="0.25">
      <c r="A1962">
        <v>1529.6079540000001</v>
      </c>
      <c r="B1962" s="1">
        <f>DATE(2014,7,8) + TIME(14,35,27)</f>
        <v>41828.607951388891</v>
      </c>
      <c r="C1962">
        <v>80</v>
      </c>
      <c r="D1962">
        <v>79.962059021000002</v>
      </c>
      <c r="E1962">
        <v>50</v>
      </c>
      <c r="F1962">
        <v>46.516582489000001</v>
      </c>
      <c r="G1962">
        <v>1381.4893798999999</v>
      </c>
      <c r="H1962">
        <v>1367.6937256000001</v>
      </c>
      <c r="I1962">
        <v>1287.6887207</v>
      </c>
      <c r="J1962">
        <v>1268.0834961</v>
      </c>
      <c r="K1962">
        <v>2400</v>
      </c>
      <c r="L1962">
        <v>0</v>
      </c>
      <c r="M1962">
        <v>0</v>
      </c>
      <c r="N1962">
        <v>2400</v>
      </c>
    </row>
    <row r="1963" spans="1:14" x14ac:dyDescent="0.25">
      <c r="A1963">
        <v>1530.9299129999999</v>
      </c>
      <c r="B1963" s="1">
        <f>DATE(2014,7,9) + TIME(22,19,4)</f>
        <v>41829.929907407408</v>
      </c>
      <c r="C1963">
        <v>80</v>
      </c>
      <c r="D1963">
        <v>79.962066649999997</v>
      </c>
      <c r="E1963">
        <v>50</v>
      </c>
      <c r="F1963">
        <v>46.459869384999998</v>
      </c>
      <c r="G1963">
        <v>1381.4359131000001</v>
      </c>
      <c r="H1963">
        <v>1367.6500243999999</v>
      </c>
      <c r="I1963">
        <v>1287.6467285000001</v>
      </c>
      <c r="J1963">
        <v>1268.020874</v>
      </c>
      <c r="K1963">
        <v>2400</v>
      </c>
      <c r="L1963">
        <v>0</v>
      </c>
      <c r="M1963">
        <v>0</v>
      </c>
      <c r="N1963">
        <v>2400</v>
      </c>
    </row>
    <row r="1964" spans="1:14" x14ac:dyDescent="0.25">
      <c r="A1964">
        <v>1532.260972</v>
      </c>
      <c r="B1964" s="1">
        <f>DATE(2014,7,11) + TIME(6,15,48)</f>
        <v>41831.260972222219</v>
      </c>
      <c r="C1964">
        <v>80</v>
      </c>
      <c r="D1964">
        <v>79.962066649999997</v>
      </c>
      <c r="E1964">
        <v>50</v>
      </c>
      <c r="F1964">
        <v>46.402873993</v>
      </c>
      <c r="G1964">
        <v>1381.3829346</v>
      </c>
      <c r="H1964">
        <v>1367.6066894999999</v>
      </c>
      <c r="I1964">
        <v>1287.6038818</v>
      </c>
      <c r="J1964">
        <v>1267.956543</v>
      </c>
      <c r="K1964">
        <v>2400</v>
      </c>
      <c r="L1964">
        <v>0</v>
      </c>
      <c r="M1964">
        <v>0</v>
      </c>
      <c r="N1964">
        <v>2400</v>
      </c>
    </row>
    <row r="1965" spans="1:14" x14ac:dyDescent="0.25">
      <c r="A1965">
        <v>1533.6051729999999</v>
      </c>
      <c r="B1965" s="1">
        <f>DATE(2014,7,12) + TIME(14,31,26)</f>
        <v>41832.605162037034</v>
      </c>
      <c r="C1965">
        <v>80</v>
      </c>
      <c r="D1965">
        <v>79.962074279999996</v>
      </c>
      <c r="E1965">
        <v>50</v>
      </c>
      <c r="F1965">
        <v>46.345535278</v>
      </c>
      <c r="G1965">
        <v>1381.3303223</v>
      </c>
      <c r="H1965">
        <v>1367.5635986</v>
      </c>
      <c r="I1965">
        <v>1287.5601807</v>
      </c>
      <c r="J1965">
        <v>1267.890625</v>
      </c>
      <c r="K1965">
        <v>2400</v>
      </c>
      <c r="L1965">
        <v>0</v>
      </c>
      <c r="M1965">
        <v>0</v>
      </c>
      <c r="N1965">
        <v>2400</v>
      </c>
    </row>
    <row r="1966" spans="1:14" x14ac:dyDescent="0.25">
      <c r="A1966">
        <v>1534.9666549999999</v>
      </c>
      <c r="B1966" s="1">
        <f>DATE(2014,7,13) + TIME(23,11,59)</f>
        <v>41833.96665509259</v>
      </c>
      <c r="C1966">
        <v>80</v>
      </c>
      <c r="D1966">
        <v>79.962081909000005</v>
      </c>
      <c r="E1966">
        <v>50</v>
      </c>
      <c r="F1966">
        <v>46.287734985</v>
      </c>
      <c r="G1966">
        <v>1381.277832</v>
      </c>
      <c r="H1966">
        <v>1367.5205077999999</v>
      </c>
      <c r="I1966">
        <v>1287.5152588000001</v>
      </c>
      <c r="J1966">
        <v>1267.822876</v>
      </c>
      <c r="K1966">
        <v>2400</v>
      </c>
      <c r="L1966">
        <v>0</v>
      </c>
      <c r="M1966">
        <v>0</v>
      </c>
      <c r="N1966">
        <v>2400</v>
      </c>
    </row>
    <row r="1967" spans="1:14" x14ac:dyDescent="0.25">
      <c r="A1967">
        <v>1536.3497520000001</v>
      </c>
      <c r="B1967" s="1">
        <f>DATE(2014,7,15) + TIME(8,23,38)</f>
        <v>41835.349745370368</v>
      </c>
      <c r="C1967">
        <v>80</v>
      </c>
      <c r="D1967">
        <v>79.962089539000004</v>
      </c>
      <c r="E1967">
        <v>50</v>
      </c>
      <c r="F1967">
        <v>46.229320526000002</v>
      </c>
      <c r="G1967">
        <v>1381.2253418</v>
      </c>
      <c r="H1967">
        <v>1367.4772949000001</v>
      </c>
      <c r="I1967">
        <v>1287.4692382999999</v>
      </c>
      <c r="J1967">
        <v>1267.7529297000001</v>
      </c>
      <c r="K1967">
        <v>2400</v>
      </c>
      <c r="L1967">
        <v>0</v>
      </c>
      <c r="M1967">
        <v>0</v>
      </c>
      <c r="N1967">
        <v>2400</v>
      </c>
    </row>
    <row r="1968" spans="1:14" x14ac:dyDescent="0.25">
      <c r="A1968">
        <v>1537.7590359999999</v>
      </c>
      <c r="B1968" s="1">
        <f>DATE(2014,7,16) + TIME(18,13,0)</f>
        <v>41836.759027777778</v>
      </c>
      <c r="C1968">
        <v>80</v>
      </c>
      <c r="D1968">
        <v>79.962097168</v>
      </c>
      <c r="E1968">
        <v>50</v>
      </c>
      <c r="F1968">
        <v>46.170124053999999</v>
      </c>
      <c r="G1968">
        <v>1381.1727295000001</v>
      </c>
      <c r="H1968">
        <v>1367.4339600000001</v>
      </c>
      <c r="I1968">
        <v>1287.4217529</v>
      </c>
      <c r="J1968">
        <v>1267.6805420000001</v>
      </c>
      <c r="K1968">
        <v>2400</v>
      </c>
      <c r="L1968">
        <v>0</v>
      </c>
      <c r="M1968">
        <v>0</v>
      </c>
      <c r="N1968">
        <v>2400</v>
      </c>
    </row>
    <row r="1969" spans="1:14" x14ac:dyDescent="0.25">
      <c r="A1969">
        <v>1539.1994380000001</v>
      </c>
      <c r="B1969" s="1">
        <f>DATE(2014,7,18) + TIME(4,47,11)</f>
        <v>41838.199432870373</v>
      </c>
      <c r="C1969">
        <v>80</v>
      </c>
      <c r="D1969">
        <v>79.962104796999995</v>
      </c>
      <c r="E1969">
        <v>50</v>
      </c>
      <c r="F1969">
        <v>46.109970093000001</v>
      </c>
      <c r="G1969">
        <v>1381.1198730000001</v>
      </c>
      <c r="H1969">
        <v>1367.3903809000001</v>
      </c>
      <c r="I1969">
        <v>1287.3726807</v>
      </c>
      <c r="J1969">
        <v>1267.6055908000001</v>
      </c>
      <c r="K1969">
        <v>2400</v>
      </c>
      <c r="L1969">
        <v>0</v>
      </c>
      <c r="M1969">
        <v>0</v>
      </c>
      <c r="N1969">
        <v>2400</v>
      </c>
    </row>
    <row r="1970" spans="1:14" x14ac:dyDescent="0.25">
      <c r="A1970">
        <v>1540.6740609999999</v>
      </c>
      <c r="B1970" s="1">
        <f>DATE(2014,7,19) + TIME(16,10,38)</f>
        <v>41839.674050925925</v>
      </c>
      <c r="C1970">
        <v>80</v>
      </c>
      <c r="D1970">
        <v>79.962112426999994</v>
      </c>
      <c r="E1970">
        <v>50</v>
      </c>
      <c r="F1970">
        <v>46.048706054999997</v>
      </c>
      <c r="G1970">
        <v>1381.0664062000001</v>
      </c>
      <c r="H1970">
        <v>1367.3461914</v>
      </c>
      <c r="I1970">
        <v>1287.3217772999999</v>
      </c>
      <c r="J1970">
        <v>1267.5275879000001</v>
      </c>
      <c r="K1970">
        <v>2400</v>
      </c>
      <c r="L1970">
        <v>0</v>
      </c>
      <c r="M1970">
        <v>0</v>
      </c>
      <c r="N1970">
        <v>2400</v>
      </c>
    </row>
    <row r="1971" spans="1:14" x14ac:dyDescent="0.25">
      <c r="A1971">
        <v>1542.1741629999999</v>
      </c>
      <c r="B1971" s="1">
        <f>DATE(2014,7,21) + TIME(4,10,47)</f>
        <v>41841.174155092594</v>
      </c>
      <c r="C1971">
        <v>80</v>
      </c>
      <c r="D1971">
        <v>79.962127686000002</v>
      </c>
      <c r="E1971">
        <v>50</v>
      </c>
      <c r="F1971">
        <v>45.986392975000001</v>
      </c>
      <c r="G1971">
        <v>1381.0123291</v>
      </c>
      <c r="H1971">
        <v>1367.3015137</v>
      </c>
      <c r="I1971">
        <v>1287.2691649999999</v>
      </c>
      <c r="J1971">
        <v>1267.4465332</v>
      </c>
      <c r="K1971">
        <v>2400</v>
      </c>
      <c r="L1971">
        <v>0</v>
      </c>
      <c r="M1971">
        <v>0</v>
      </c>
      <c r="N1971">
        <v>2400</v>
      </c>
    </row>
    <row r="1972" spans="1:14" x14ac:dyDescent="0.25">
      <c r="A1972">
        <v>1543.6775090000001</v>
      </c>
      <c r="B1972" s="1">
        <f>DATE(2014,7,22) + TIME(16,15,36)</f>
        <v>41842.677499999998</v>
      </c>
      <c r="C1972">
        <v>80</v>
      </c>
      <c r="D1972">
        <v>79.962135314999998</v>
      </c>
      <c r="E1972">
        <v>50</v>
      </c>
      <c r="F1972">
        <v>45.923503875999998</v>
      </c>
      <c r="G1972">
        <v>1380.9580077999999</v>
      </c>
      <c r="H1972">
        <v>1367.2564697</v>
      </c>
      <c r="I1972">
        <v>1287.2147216999999</v>
      </c>
      <c r="J1972">
        <v>1267.3626709</v>
      </c>
      <c r="K1972">
        <v>2400</v>
      </c>
      <c r="L1972">
        <v>0</v>
      </c>
      <c r="M1972">
        <v>0</v>
      </c>
      <c r="N1972">
        <v>2400</v>
      </c>
    </row>
    <row r="1973" spans="1:14" x14ac:dyDescent="0.25">
      <c r="A1973">
        <v>1545.188658</v>
      </c>
      <c r="B1973" s="1">
        <f>DATE(2014,7,24) + TIME(4,31,40)</f>
        <v>41844.188657407409</v>
      </c>
      <c r="C1973">
        <v>80</v>
      </c>
      <c r="D1973">
        <v>79.962142943999993</v>
      </c>
      <c r="E1973">
        <v>50</v>
      </c>
      <c r="F1973">
        <v>45.860416411999999</v>
      </c>
      <c r="G1973">
        <v>1380.9042969</v>
      </c>
      <c r="H1973">
        <v>1367.2119141000001</v>
      </c>
      <c r="I1973">
        <v>1287.1595459</v>
      </c>
      <c r="J1973">
        <v>1267.2770995999999</v>
      </c>
      <c r="K1973">
        <v>2400</v>
      </c>
      <c r="L1973">
        <v>0</v>
      </c>
      <c r="M1973">
        <v>0</v>
      </c>
      <c r="N1973">
        <v>2400</v>
      </c>
    </row>
    <row r="1974" spans="1:14" x14ac:dyDescent="0.25">
      <c r="A1974">
        <v>1546.7121979999999</v>
      </c>
      <c r="B1974" s="1">
        <f>DATE(2014,7,25) + TIME(17,5,33)</f>
        <v>41845.712187500001</v>
      </c>
      <c r="C1974">
        <v>80</v>
      </c>
      <c r="D1974">
        <v>79.962150574000006</v>
      </c>
      <c r="E1974">
        <v>50</v>
      </c>
      <c r="F1974">
        <v>45.797168732000003</v>
      </c>
      <c r="G1974">
        <v>1380.8509521000001</v>
      </c>
      <c r="H1974">
        <v>1367.1676024999999</v>
      </c>
      <c r="I1974">
        <v>1287.1033935999999</v>
      </c>
      <c r="J1974">
        <v>1267.1895752</v>
      </c>
      <c r="K1974">
        <v>2400</v>
      </c>
      <c r="L1974">
        <v>0</v>
      </c>
      <c r="M1974">
        <v>0</v>
      </c>
      <c r="N1974">
        <v>2400</v>
      </c>
    </row>
    <row r="1975" spans="1:14" x14ac:dyDescent="0.25">
      <c r="A1975">
        <v>1548.2527970000001</v>
      </c>
      <c r="B1975" s="1">
        <f>DATE(2014,7,27) + TIME(6,4,1)</f>
        <v>41847.252789351849</v>
      </c>
      <c r="C1975">
        <v>80</v>
      </c>
      <c r="D1975">
        <v>79.962165833</v>
      </c>
      <c r="E1975">
        <v>50</v>
      </c>
      <c r="F1975">
        <v>45.73367691</v>
      </c>
      <c r="G1975">
        <v>1380.7978516000001</v>
      </c>
      <c r="H1975">
        <v>1367.1232910000001</v>
      </c>
      <c r="I1975">
        <v>1287.0461425999999</v>
      </c>
      <c r="J1975">
        <v>1267.1000977000001</v>
      </c>
      <c r="K1975">
        <v>2400</v>
      </c>
      <c r="L1975">
        <v>0</v>
      </c>
      <c r="M1975">
        <v>0</v>
      </c>
      <c r="N1975">
        <v>2400</v>
      </c>
    </row>
    <row r="1976" spans="1:14" x14ac:dyDescent="0.25">
      <c r="A1976">
        <v>1549.815294</v>
      </c>
      <c r="B1976" s="1">
        <f>DATE(2014,7,28) + TIME(19,34,1)</f>
        <v>41848.815289351849</v>
      </c>
      <c r="C1976">
        <v>80</v>
      </c>
      <c r="D1976">
        <v>79.962173461999996</v>
      </c>
      <c r="E1976">
        <v>50</v>
      </c>
      <c r="F1976">
        <v>45.669807433999999</v>
      </c>
      <c r="G1976">
        <v>1380.744751</v>
      </c>
      <c r="H1976">
        <v>1367.0789795000001</v>
      </c>
      <c r="I1976">
        <v>1286.9875488</v>
      </c>
      <c r="J1976">
        <v>1267.0081786999999</v>
      </c>
      <c r="K1976">
        <v>2400</v>
      </c>
      <c r="L1976">
        <v>0</v>
      </c>
      <c r="M1976">
        <v>0</v>
      </c>
      <c r="N1976">
        <v>2400</v>
      </c>
    </row>
    <row r="1977" spans="1:14" x14ac:dyDescent="0.25">
      <c r="A1977">
        <v>1551.4048</v>
      </c>
      <c r="B1977" s="1">
        <f>DATE(2014,7,30) + TIME(9,42,54)</f>
        <v>41850.404791666668</v>
      </c>
      <c r="C1977">
        <v>80</v>
      </c>
      <c r="D1977">
        <v>79.962188721000004</v>
      </c>
      <c r="E1977">
        <v>50</v>
      </c>
      <c r="F1977">
        <v>45.605422974</v>
      </c>
      <c r="G1977">
        <v>1380.6915283000001</v>
      </c>
      <c r="H1977">
        <v>1367.0345459</v>
      </c>
      <c r="I1977">
        <v>1286.9276123</v>
      </c>
      <c r="J1977">
        <v>1266.9138184000001</v>
      </c>
      <c r="K1977">
        <v>2400</v>
      </c>
      <c r="L1977">
        <v>0</v>
      </c>
      <c r="M1977">
        <v>0</v>
      </c>
      <c r="N1977">
        <v>2400</v>
      </c>
    </row>
    <row r="1978" spans="1:14" x14ac:dyDescent="0.25">
      <c r="A1978">
        <v>1553</v>
      </c>
      <c r="B1978" s="1">
        <f>DATE(2014,8,1) + TIME(0,0,0)</f>
        <v>41852</v>
      </c>
      <c r="C1978">
        <v>80</v>
      </c>
      <c r="D1978">
        <v>79.962203978999995</v>
      </c>
      <c r="E1978">
        <v>50</v>
      </c>
      <c r="F1978">
        <v>45.540748596</v>
      </c>
      <c r="G1978">
        <v>1380.6379394999999</v>
      </c>
      <c r="H1978">
        <v>1366.9897461</v>
      </c>
      <c r="I1978">
        <v>1286.8659668</v>
      </c>
      <c r="J1978">
        <v>1266.8166504000001</v>
      </c>
      <c r="K1978">
        <v>2400</v>
      </c>
      <c r="L1978">
        <v>0</v>
      </c>
      <c r="M1978">
        <v>0</v>
      </c>
      <c r="N1978">
        <v>2400</v>
      </c>
    </row>
    <row r="1979" spans="1:14" x14ac:dyDescent="0.25">
      <c r="A1979">
        <v>1554.6165269999999</v>
      </c>
      <c r="B1979" s="1">
        <f>DATE(2014,8,2) + TIME(14,47,47)</f>
        <v>41853.616516203707</v>
      </c>
      <c r="C1979">
        <v>80</v>
      </c>
      <c r="D1979">
        <v>79.962211608999993</v>
      </c>
      <c r="E1979">
        <v>50</v>
      </c>
      <c r="F1979">
        <v>45.475940704000003</v>
      </c>
      <c r="G1979">
        <v>1380.5848389</v>
      </c>
      <c r="H1979">
        <v>1366.9451904</v>
      </c>
      <c r="I1979">
        <v>1286.8034668</v>
      </c>
      <c r="J1979">
        <v>1266.7176514</v>
      </c>
      <c r="K1979">
        <v>2400</v>
      </c>
      <c r="L1979">
        <v>0</v>
      </c>
      <c r="M1979">
        <v>0</v>
      </c>
      <c r="N1979">
        <v>2400</v>
      </c>
    </row>
    <row r="1980" spans="1:14" x14ac:dyDescent="0.25">
      <c r="A1980">
        <v>1556.283185</v>
      </c>
      <c r="B1980" s="1">
        <f>DATE(2014,8,4) + TIME(6,47,47)</f>
        <v>41855.283182870371</v>
      </c>
      <c r="C1980">
        <v>80</v>
      </c>
      <c r="D1980">
        <v>79.962226868000002</v>
      </c>
      <c r="E1980">
        <v>50</v>
      </c>
      <c r="F1980">
        <v>45.410514831999997</v>
      </c>
      <c r="G1980">
        <v>1380.5317382999999</v>
      </c>
      <c r="H1980">
        <v>1366.9005127</v>
      </c>
      <c r="I1980">
        <v>1286.7397461</v>
      </c>
      <c r="J1980">
        <v>1266.6159668</v>
      </c>
      <c r="K1980">
        <v>2400</v>
      </c>
      <c r="L1980">
        <v>0</v>
      </c>
      <c r="M1980">
        <v>0</v>
      </c>
      <c r="N1980">
        <v>2400</v>
      </c>
    </row>
    <row r="1981" spans="1:14" x14ac:dyDescent="0.25">
      <c r="A1981">
        <v>1557.9825820000001</v>
      </c>
      <c r="B1981" s="1">
        <f>DATE(2014,8,5) + TIME(23,34,55)</f>
        <v>41856.982581018521</v>
      </c>
      <c r="C1981">
        <v>80</v>
      </c>
      <c r="D1981">
        <v>79.962242126000007</v>
      </c>
      <c r="E1981">
        <v>50</v>
      </c>
      <c r="F1981">
        <v>45.344245911000002</v>
      </c>
      <c r="G1981">
        <v>1380.4774170000001</v>
      </c>
      <c r="H1981">
        <v>1366.8548584</v>
      </c>
      <c r="I1981">
        <v>1286.6734618999999</v>
      </c>
      <c r="J1981">
        <v>1266.5102539</v>
      </c>
      <c r="K1981">
        <v>2400</v>
      </c>
      <c r="L1981">
        <v>0</v>
      </c>
      <c r="M1981">
        <v>0</v>
      </c>
      <c r="N1981">
        <v>2400</v>
      </c>
    </row>
    <row r="1982" spans="1:14" x14ac:dyDescent="0.25">
      <c r="A1982">
        <v>1559.698496</v>
      </c>
      <c r="B1982" s="1">
        <f>DATE(2014,8,7) + TIME(16,45,50)</f>
        <v>41858.698495370372</v>
      </c>
      <c r="C1982">
        <v>80</v>
      </c>
      <c r="D1982">
        <v>79.962257385000001</v>
      </c>
      <c r="E1982">
        <v>50</v>
      </c>
      <c r="F1982">
        <v>45.277553558000001</v>
      </c>
      <c r="G1982">
        <v>1380.4228516000001</v>
      </c>
      <c r="H1982">
        <v>1366.8088379000001</v>
      </c>
      <c r="I1982">
        <v>1286.6054687999999</v>
      </c>
      <c r="J1982">
        <v>1266.4014893000001</v>
      </c>
      <c r="K1982">
        <v>2400</v>
      </c>
      <c r="L1982">
        <v>0</v>
      </c>
      <c r="M1982">
        <v>0</v>
      </c>
      <c r="N1982">
        <v>2400</v>
      </c>
    </row>
    <row r="1983" spans="1:14" x14ac:dyDescent="0.25">
      <c r="A1983">
        <v>1561.4266270000001</v>
      </c>
      <c r="B1983" s="1">
        <f>DATE(2014,8,9) + TIME(10,14,20)</f>
        <v>41860.426620370374</v>
      </c>
      <c r="C1983">
        <v>80</v>
      </c>
      <c r="D1983">
        <v>79.962272643999995</v>
      </c>
      <c r="E1983">
        <v>50</v>
      </c>
      <c r="F1983">
        <v>45.210906981999997</v>
      </c>
      <c r="G1983">
        <v>1380.3681641000001</v>
      </c>
      <c r="H1983">
        <v>1366.7626952999999</v>
      </c>
      <c r="I1983">
        <v>1286.5363769999999</v>
      </c>
      <c r="J1983">
        <v>1266.2904053</v>
      </c>
      <c r="K1983">
        <v>2400</v>
      </c>
      <c r="L1983">
        <v>0</v>
      </c>
      <c r="M1983">
        <v>0</v>
      </c>
      <c r="N1983">
        <v>2400</v>
      </c>
    </row>
    <row r="1984" spans="1:14" x14ac:dyDescent="0.25">
      <c r="A1984">
        <v>1563.1723609999999</v>
      </c>
      <c r="B1984" s="1">
        <f>DATE(2014,8,11) + TIME(4,8,11)</f>
        <v>41862.172349537039</v>
      </c>
      <c r="C1984">
        <v>80</v>
      </c>
      <c r="D1984">
        <v>79.962287903000004</v>
      </c>
      <c r="E1984">
        <v>50</v>
      </c>
      <c r="F1984">
        <v>45.144523620999998</v>
      </c>
      <c r="G1984">
        <v>1380.3138428</v>
      </c>
      <c r="H1984">
        <v>1366.7167969</v>
      </c>
      <c r="I1984">
        <v>1286.4664307</v>
      </c>
      <c r="J1984">
        <v>1266.1774902</v>
      </c>
      <c r="K1984">
        <v>2400</v>
      </c>
      <c r="L1984">
        <v>0</v>
      </c>
      <c r="M1984">
        <v>0</v>
      </c>
      <c r="N1984">
        <v>2400</v>
      </c>
    </row>
    <row r="1985" spans="1:14" x14ac:dyDescent="0.25">
      <c r="A1985">
        <v>1564.9412179999999</v>
      </c>
      <c r="B1985" s="1">
        <f>DATE(2014,8,12) + TIME(22,35,21)</f>
        <v>41863.94121527778</v>
      </c>
      <c r="C1985">
        <v>80</v>
      </c>
      <c r="D1985">
        <v>79.962303161999998</v>
      </c>
      <c r="E1985">
        <v>50</v>
      </c>
      <c r="F1985">
        <v>45.078414917000003</v>
      </c>
      <c r="G1985">
        <v>1380.2595214999999</v>
      </c>
      <c r="H1985">
        <v>1366.6707764</v>
      </c>
      <c r="I1985">
        <v>1286.3952637</v>
      </c>
      <c r="J1985">
        <v>1266.0623779</v>
      </c>
      <c r="K1985">
        <v>2400</v>
      </c>
      <c r="L1985">
        <v>0</v>
      </c>
      <c r="M1985">
        <v>0</v>
      </c>
      <c r="N1985">
        <v>2400</v>
      </c>
    </row>
    <row r="1986" spans="1:14" x14ac:dyDescent="0.25">
      <c r="A1986">
        <v>1566.7294280000001</v>
      </c>
      <c r="B1986" s="1">
        <f>DATE(2014,8,14) + TIME(17,30,22)</f>
        <v>41865.729421296295</v>
      </c>
      <c r="C1986">
        <v>80</v>
      </c>
      <c r="D1986">
        <v>79.962326050000001</v>
      </c>
      <c r="E1986">
        <v>50</v>
      </c>
      <c r="F1986">
        <v>45.012638092000003</v>
      </c>
      <c r="G1986">
        <v>1380.2050781</v>
      </c>
      <c r="H1986">
        <v>1366.6246338000001</v>
      </c>
      <c r="I1986">
        <v>1286.3231201000001</v>
      </c>
      <c r="J1986">
        <v>1265.9449463000001</v>
      </c>
      <c r="K1986">
        <v>2400</v>
      </c>
      <c r="L1986">
        <v>0</v>
      </c>
      <c r="M1986">
        <v>0</v>
      </c>
      <c r="N1986">
        <v>2400</v>
      </c>
    </row>
    <row r="1987" spans="1:14" x14ac:dyDescent="0.25">
      <c r="A1987">
        <v>1568.536971</v>
      </c>
      <c r="B1987" s="1">
        <f>DATE(2014,8,16) + TIME(12,53,14)</f>
        <v>41867.53696759259</v>
      </c>
      <c r="C1987">
        <v>80</v>
      </c>
      <c r="D1987">
        <v>79.962341308999996</v>
      </c>
      <c r="E1987">
        <v>50</v>
      </c>
      <c r="F1987">
        <v>44.947364807</v>
      </c>
      <c r="G1987">
        <v>1380.1506348</v>
      </c>
      <c r="H1987">
        <v>1366.5782471</v>
      </c>
      <c r="I1987">
        <v>1286.2498779</v>
      </c>
      <c r="J1987">
        <v>1265.8256836</v>
      </c>
      <c r="K1987">
        <v>2400</v>
      </c>
      <c r="L1987">
        <v>0</v>
      </c>
      <c r="M1987">
        <v>0</v>
      </c>
      <c r="N1987">
        <v>2400</v>
      </c>
    </row>
    <row r="1988" spans="1:14" x14ac:dyDescent="0.25">
      <c r="A1988">
        <v>1570.369308</v>
      </c>
      <c r="B1988" s="1">
        <f>DATE(2014,8,18) + TIME(8,51,48)</f>
        <v>41869.369305555556</v>
      </c>
      <c r="C1988">
        <v>80</v>
      </c>
      <c r="D1988">
        <v>79.962356567</v>
      </c>
      <c r="E1988">
        <v>50</v>
      </c>
      <c r="F1988">
        <v>44.882698058999999</v>
      </c>
      <c r="G1988">
        <v>1380.0961914</v>
      </c>
      <c r="H1988">
        <v>1366.5318603999999</v>
      </c>
      <c r="I1988">
        <v>1286.1757812000001</v>
      </c>
      <c r="J1988">
        <v>1265.7043457</v>
      </c>
      <c r="K1988">
        <v>2400</v>
      </c>
      <c r="L1988">
        <v>0</v>
      </c>
      <c r="M1988">
        <v>0</v>
      </c>
      <c r="N1988">
        <v>2400</v>
      </c>
    </row>
    <row r="1989" spans="1:14" x14ac:dyDescent="0.25">
      <c r="A1989">
        <v>1572.232168</v>
      </c>
      <c r="B1989" s="1">
        <f>DATE(2014,8,20) + TIME(5,34,19)</f>
        <v>41871.232164351852</v>
      </c>
      <c r="C1989">
        <v>80</v>
      </c>
      <c r="D1989">
        <v>79.962379455999994</v>
      </c>
      <c r="E1989">
        <v>50</v>
      </c>
      <c r="F1989">
        <v>44.818656920999999</v>
      </c>
      <c r="G1989">
        <v>1380.0415039</v>
      </c>
      <c r="H1989">
        <v>1366.4853516000001</v>
      </c>
      <c r="I1989">
        <v>1286.1007079999999</v>
      </c>
      <c r="J1989">
        <v>1265.5809326000001</v>
      </c>
      <c r="K1989">
        <v>2400</v>
      </c>
      <c r="L1989">
        <v>0</v>
      </c>
      <c r="M1989">
        <v>0</v>
      </c>
      <c r="N1989">
        <v>2400</v>
      </c>
    </row>
    <row r="1990" spans="1:14" x14ac:dyDescent="0.25">
      <c r="A1990">
        <v>1574.131654</v>
      </c>
      <c r="B1990" s="1">
        <f>DATE(2014,8,22) + TIME(3,9,34)</f>
        <v>41873.131643518522</v>
      </c>
      <c r="C1990">
        <v>80</v>
      </c>
      <c r="D1990">
        <v>79.962394713999998</v>
      </c>
      <c r="E1990">
        <v>50</v>
      </c>
      <c r="F1990">
        <v>44.755249022999998</v>
      </c>
      <c r="G1990">
        <v>1379.9865723</v>
      </c>
      <c r="H1990">
        <v>1366.4383545000001</v>
      </c>
      <c r="I1990">
        <v>1286.0244141000001</v>
      </c>
      <c r="J1990">
        <v>1265.4550781</v>
      </c>
      <c r="K1990">
        <v>2400</v>
      </c>
      <c r="L1990">
        <v>0</v>
      </c>
      <c r="M1990">
        <v>0</v>
      </c>
      <c r="N1990">
        <v>2400</v>
      </c>
    </row>
    <row r="1991" spans="1:14" x14ac:dyDescent="0.25">
      <c r="A1991">
        <v>1576.0744380000001</v>
      </c>
      <c r="B1991" s="1">
        <f>DATE(2014,8,24) + TIME(1,47,11)</f>
        <v>41875.074432870373</v>
      </c>
      <c r="C1991">
        <v>80</v>
      </c>
      <c r="D1991">
        <v>79.962417603000006</v>
      </c>
      <c r="E1991">
        <v>50</v>
      </c>
      <c r="F1991">
        <v>44.692504882999998</v>
      </c>
      <c r="G1991">
        <v>1379.9310303</v>
      </c>
      <c r="H1991">
        <v>1366.3908690999999</v>
      </c>
      <c r="I1991">
        <v>1285.9467772999999</v>
      </c>
      <c r="J1991">
        <v>1265.3266602000001</v>
      </c>
      <c r="K1991">
        <v>2400</v>
      </c>
      <c r="L1991">
        <v>0</v>
      </c>
      <c r="M1991">
        <v>0</v>
      </c>
      <c r="N1991">
        <v>2400</v>
      </c>
    </row>
    <row r="1992" spans="1:14" x14ac:dyDescent="0.25">
      <c r="A1992">
        <v>1578.0358630000001</v>
      </c>
      <c r="B1992" s="1">
        <f>DATE(2014,8,26) + TIME(0,51,38)</f>
        <v>41877.035856481481</v>
      </c>
      <c r="C1992">
        <v>80</v>
      </c>
      <c r="D1992">
        <v>79.962440490999995</v>
      </c>
      <c r="E1992">
        <v>50</v>
      </c>
      <c r="F1992">
        <v>44.630779265999998</v>
      </c>
      <c r="G1992">
        <v>1379.8748779</v>
      </c>
      <c r="H1992">
        <v>1366.3426514</v>
      </c>
      <c r="I1992">
        <v>1285.8676757999999</v>
      </c>
      <c r="J1992">
        <v>1265.1955565999999</v>
      </c>
      <c r="K1992">
        <v>2400</v>
      </c>
      <c r="L1992">
        <v>0</v>
      </c>
      <c r="M1992">
        <v>0</v>
      </c>
      <c r="N1992">
        <v>2400</v>
      </c>
    </row>
    <row r="1993" spans="1:14" x14ac:dyDescent="0.25">
      <c r="A1993">
        <v>1580.017265</v>
      </c>
      <c r="B1993" s="1">
        <f>DATE(2014,8,28) + TIME(0,24,51)</f>
        <v>41879.017256944448</v>
      </c>
      <c r="C1993">
        <v>80</v>
      </c>
      <c r="D1993">
        <v>79.962455750000004</v>
      </c>
      <c r="E1993">
        <v>50</v>
      </c>
      <c r="F1993">
        <v>44.570648192999997</v>
      </c>
      <c r="G1993">
        <v>1379.8187256000001</v>
      </c>
      <c r="H1993">
        <v>1366.2944336</v>
      </c>
      <c r="I1993">
        <v>1285.7882079999999</v>
      </c>
      <c r="J1993">
        <v>1265.0632324000001</v>
      </c>
      <c r="K1993">
        <v>2400</v>
      </c>
      <c r="L1993">
        <v>0</v>
      </c>
      <c r="M1993">
        <v>0</v>
      </c>
      <c r="N1993">
        <v>2400</v>
      </c>
    </row>
    <row r="1994" spans="1:14" x14ac:dyDescent="0.25">
      <c r="A1994">
        <v>1582.010098</v>
      </c>
      <c r="B1994" s="1">
        <f>DATE(2014,8,30) + TIME(0,14,32)</f>
        <v>41881.010092592594</v>
      </c>
      <c r="C1994">
        <v>80</v>
      </c>
      <c r="D1994">
        <v>79.962478637999993</v>
      </c>
      <c r="E1994">
        <v>50</v>
      </c>
      <c r="F1994">
        <v>44.512516022</v>
      </c>
      <c r="G1994">
        <v>1379.7625731999999</v>
      </c>
      <c r="H1994">
        <v>1366.2460937999999</v>
      </c>
      <c r="I1994">
        <v>1285.7084961</v>
      </c>
      <c r="J1994">
        <v>1264.9299315999999</v>
      </c>
      <c r="K1994">
        <v>2400</v>
      </c>
      <c r="L1994">
        <v>0</v>
      </c>
      <c r="M1994">
        <v>0</v>
      </c>
      <c r="N1994">
        <v>2400</v>
      </c>
    </row>
    <row r="1995" spans="1:14" x14ac:dyDescent="0.25">
      <c r="A1995">
        <v>1584</v>
      </c>
      <c r="B1995" s="1">
        <f>DATE(2014,9,1) + TIME(0,0,0)</f>
        <v>41883</v>
      </c>
      <c r="C1995">
        <v>80</v>
      </c>
      <c r="D1995">
        <v>79.962501525999997</v>
      </c>
      <c r="E1995">
        <v>50</v>
      </c>
      <c r="F1995">
        <v>44.456916808999999</v>
      </c>
      <c r="G1995">
        <v>1379.7066649999999</v>
      </c>
      <c r="H1995">
        <v>1366.197876</v>
      </c>
      <c r="I1995">
        <v>1285.6289062000001</v>
      </c>
      <c r="J1995">
        <v>1264.7965088000001</v>
      </c>
      <c r="K1995">
        <v>2400</v>
      </c>
      <c r="L1995">
        <v>0</v>
      </c>
      <c r="M1995">
        <v>0</v>
      </c>
      <c r="N1995">
        <v>2400</v>
      </c>
    </row>
    <row r="1996" spans="1:14" x14ac:dyDescent="0.25">
      <c r="A1996">
        <v>1586.008963</v>
      </c>
      <c r="B1996" s="1">
        <f>DATE(2014,9,3) + TIME(0,12,54)</f>
        <v>41885.008958333332</v>
      </c>
      <c r="C1996">
        <v>80</v>
      </c>
      <c r="D1996">
        <v>79.962524414000001</v>
      </c>
      <c r="E1996">
        <v>50</v>
      </c>
      <c r="F1996">
        <v>44.404129028</v>
      </c>
      <c r="G1996">
        <v>1379.6513672000001</v>
      </c>
      <c r="H1996">
        <v>1366.1501464999999</v>
      </c>
      <c r="I1996">
        <v>1285.5500488</v>
      </c>
      <c r="J1996">
        <v>1264.6638184000001</v>
      </c>
      <c r="K1996">
        <v>2400</v>
      </c>
      <c r="L1996">
        <v>0</v>
      </c>
      <c r="M1996">
        <v>0</v>
      </c>
      <c r="N1996">
        <v>2400</v>
      </c>
    </row>
    <row r="1997" spans="1:14" x14ac:dyDescent="0.25">
      <c r="A1997">
        <v>1588.067982</v>
      </c>
      <c r="B1997" s="1">
        <f>DATE(2014,9,5) + TIME(1,37,53)</f>
        <v>41887.067974537036</v>
      </c>
      <c r="C1997">
        <v>80</v>
      </c>
      <c r="D1997">
        <v>79.962547302000004</v>
      </c>
      <c r="E1997">
        <v>50</v>
      </c>
      <c r="F1997">
        <v>44.353984832999998</v>
      </c>
      <c r="G1997">
        <v>1379.5959473</v>
      </c>
      <c r="H1997">
        <v>1366.1022949000001</v>
      </c>
      <c r="I1997">
        <v>1285.4714355000001</v>
      </c>
      <c r="J1997">
        <v>1264.5308838000001</v>
      </c>
      <c r="K1997">
        <v>2400</v>
      </c>
      <c r="L1997">
        <v>0</v>
      </c>
      <c r="M1997">
        <v>0</v>
      </c>
      <c r="N1997">
        <v>2400</v>
      </c>
    </row>
    <row r="1998" spans="1:14" x14ac:dyDescent="0.25">
      <c r="A1998">
        <v>1590.161523</v>
      </c>
      <c r="B1998" s="1">
        <f>DATE(2014,9,7) + TIME(3,52,35)</f>
        <v>41889.161516203705</v>
      </c>
      <c r="C1998">
        <v>80</v>
      </c>
      <c r="D1998">
        <v>79.962570189999994</v>
      </c>
      <c r="E1998">
        <v>50</v>
      </c>
      <c r="F1998">
        <v>44.306545258</v>
      </c>
      <c r="G1998">
        <v>1379.5397949000001</v>
      </c>
      <c r="H1998">
        <v>1366.0535889</v>
      </c>
      <c r="I1998">
        <v>1285.3920897999999</v>
      </c>
      <c r="J1998">
        <v>1264.3964844</v>
      </c>
      <c r="K1998">
        <v>2400</v>
      </c>
      <c r="L1998">
        <v>0</v>
      </c>
      <c r="M1998">
        <v>0</v>
      </c>
      <c r="N1998">
        <v>2400</v>
      </c>
    </row>
    <row r="1999" spans="1:14" x14ac:dyDescent="0.25">
      <c r="A1999">
        <v>1592.2969290000001</v>
      </c>
      <c r="B1999" s="1">
        <f>DATE(2014,9,9) + TIME(7,7,34)</f>
        <v>41891.2969212963</v>
      </c>
      <c r="C1999">
        <v>80</v>
      </c>
      <c r="D1999">
        <v>79.962593079000001</v>
      </c>
      <c r="E1999">
        <v>50</v>
      </c>
      <c r="F1999">
        <v>44.262260437000002</v>
      </c>
      <c r="G1999">
        <v>1379.4832764</v>
      </c>
      <c r="H1999">
        <v>1366.0045166</v>
      </c>
      <c r="I1999">
        <v>1285.3125</v>
      </c>
      <c r="J1999">
        <v>1264.2614745999999</v>
      </c>
      <c r="K1999">
        <v>2400</v>
      </c>
      <c r="L1999">
        <v>0</v>
      </c>
      <c r="M1999">
        <v>0</v>
      </c>
      <c r="N1999">
        <v>2400</v>
      </c>
    </row>
    <row r="2000" spans="1:14" x14ac:dyDescent="0.25">
      <c r="A2000">
        <v>1594.4555150000001</v>
      </c>
      <c r="B2000" s="1">
        <f>DATE(2014,9,11) + TIME(10,55,56)</f>
        <v>41893.455509259256</v>
      </c>
      <c r="C2000">
        <v>80</v>
      </c>
      <c r="D2000">
        <v>79.962615967000005</v>
      </c>
      <c r="E2000">
        <v>50</v>
      </c>
      <c r="F2000">
        <v>44.221668243000003</v>
      </c>
      <c r="G2000">
        <v>1379.4261475000001</v>
      </c>
      <c r="H2000">
        <v>1365.9547118999999</v>
      </c>
      <c r="I2000">
        <v>1285.2329102000001</v>
      </c>
      <c r="J2000">
        <v>1264.1258545000001</v>
      </c>
      <c r="K2000">
        <v>2400</v>
      </c>
      <c r="L2000">
        <v>0</v>
      </c>
      <c r="M2000">
        <v>0</v>
      </c>
      <c r="N2000">
        <v>2400</v>
      </c>
    </row>
    <row r="2001" spans="1:14" x14ac:dyDescent="0.25">
      <c r="A2001">
        <v>1596.6260319999999</v>
      </c>
      <c r="B2001" s="1">
        <f>DATE(2014,9,13) + TIME(15,1,29)</f>
        <v>41895.626030092593</v>
      </c>
      <c r="C2001">
        <v>80</v>
      </c>
      <c r="D2001">
        <v>79.962646484000004</v>
      </c>
      <c r="E2001">
        <v>50</v>
      </c>
      <c r="F2001">
        <v>44.185470580999997</v>
      </c>
      <c r="G2001">
        <v>1379.3687743999999</v>
      </c>
      <c r="H2001">
        <v>1365.9049072</v>
      </c>
      <c r="I2001">
        <v>1285.1540527</v>
      </c>
      <c r="J2001">
        <v>1263.9912108999999</v>
      </c>
      <c r="K2001">
        <v>2400</v>
      </c>
      <c r="L2001">
        <v>0</v>
      </c>
      <c r="M2001">
        <v>0</v>
      </c>
      <c r="N2001">
        <v>2400</v>
      </c>
    </row>
    <row r="2002" spans="1:14" x14ac:dyDescent="0.25">
      <c r="A2002">
        <v>1598.8165959999999</v>
      </c>
      <c r="B2002" s="1">
        <f>DATE(2014,9,15) + TIME(19,35,53)</f>
        <v>41897.81658564815</v>
      </c>
      <c r="C2002">
        <v>80</v>
      </c>
      <c r="D2002">
        <v>79.962669372999997</v>
      </c>
      <c r="E2002">
        <v>50</v>
      </c>
      <c r="F2002">
        <v>44.154224395999996</v>
      </c>
      <c r="G2002">
        <v>1379.3117675999999</v>
      </c>
      <c r="H2002">
        <v>1365.8551024999999</v>
      </c>
      <c r="I2002">
        <v>1285.0765381000001</v>
      </c>
      <c r="J2002">
        <v>1263.8583983999999</v>
      </c>
      <c r="K2002">
        <v>2400</v>
      </c>
      <c r="L2002">
        <v>0</v>
      </c>
      <c r="M2002">
        <v>0</v>
      </c>
      <c r="N2002">
        <v>2400</v>
      </c>
    </row>
    <row r="2003" spans="1:14" x14ac:dyDescent="0.25">
      <c r="A2003">
        <v>1601.0418729999999</v>
      </c>
      <c r="B2003" s="1">
        <f>DATE(2014,9,18) + TIME(1,0,17)</f>
        <v>41900.041863425926</v>
      </c>
      <c r="C2003">
        <v>80</v>
      </c>
      <c r="D2003">
        <v>79.962692261000001</v>
      </c>
      <c r="E2003">
        <v>50</v>
      </c>
      <c r="F2003">
        <v>44.128334045000003</v>
      </c>
      <c r="G2003">
        <v>1379.2546387</v>
      </c>
      <c r="H2003">
        <v>1365.8051757999999</v>
      </c>
      <c r="I2003">
        <v>1285.0002440999999</v>
      </c>
      <c r="J2003">
        <v>1263.7274170000001</v>
      </c>
      <c r="K2003">
        <v>2400</v>
      </c>
      <c r="L2003">
        <v>0</v>
      </c>
      <c r="M2003">
        <v>0</v>
      </c>
      <c r="N2003">
        <v>2400</v>
      </c>
    </row>
    <row r="2004" spans="1:14" x14ac:dyDescent="0.25">
      <c r="A2004">
        <v>1603.3084570000001</v>
      </c>
      <c r="B2004" s="1">
        <f>DATE(2014,9,20) + TIME(7,24,10)</f>
        <v>41902.308449074073</v>
      </c>
      <c r="C2004">
        <v>80</v>
      </c>
      <c r="D2004">
        <v>79.962722778</v>
      </c>
      <c r="E2004">
        <v>50</v>
      </c>
      <c r="F2004">
        <v>44.108253478999998</v>
      </c>
      <c r="G2004">
        <v>1379.1972656</v>
      </c>
      <c r="H2004">
        <v>1365.7547606999999</v>
      </c>
      <c r="I2004">
        <v>1284.9249268000001</v>
      </c>
      <c r="J2004">
        <v>1263.5980225000001</v>
      </c>
      <c r="K2004">
        <v>2400</v>
      </c>
      <c r="L2004">
        <v>0</v>
      </c>
      <c r="M2004">
        <v>0</v>
      </c>
      <c r="N2004">
        <v>2400</v>
      </c>
    </row>
    <row r="2005" spans="1:14" x14ac:dyDescent="0.25">
      <c r="A2005">
        <v>1605.601132</v>
      </c>
      <c r="B2005" s="1">
        <f>DATE(2014,9,22) + TIME(14,25,37)</f>
        <v>41904.601122685184</v>
      </c>
      <c r="C2005">
        <v>80</v>
      </c>
      <c r="D2005">
        <v>79.962745666999993</v>
      </c>
      <c r="E2005">
        <v>50</v>
      </c>
      <c r="F2005">
        <v>44.094623566000003</v>
      </c>
      <c r="G2005">
        <v>1379.1391602000001</v>
      </c>
      <c r="H2005">
        <v>1365.7038574000001</v>
      </c>
      <c r="I2005">
        <v>1284.8508300999999</v>
      </c>
      <c r="J2005">
        <v>1263.4704589999999</v>
      </c>
      <c r="K2005">
        <v>2400</v>
      </c>
      <c r="L2005">
        <v>0</v>
      </c>
      <c r="M2005">
        <v>0</v>
      </c>
      <c r="N2005">
        <v>2400</v>
      </c>
    </row>
    <row r="2006" spans="1:14" x14ac:dyDescent="0.25">
      <c r="A2006">
        <v>1607.927068</v>
      </c>
      <c r="B2006" s="1">
        <f>DATE(2014,9,24) + TIME(22,14,58)</f>
        <v>41906.927060185182</v>
      </c>
      <c r="C2006">
        <v>80</v>
      </c>
      <c r="D2006">
        <v>79.962776184000006</v>
      </c>
      <c r="E2006">
        <v>50</v>
      </c>
      <c r="F2006">
        <v>44.088157654</v>
      </c>
      <c r="G2006">
        <v>1379.0810547000001</v>
      </c>
      <c r="H2006">
        <v>1365.6527100000001</v>
      </c>
      <c r="I2006">
        <v>1284.7783202999999</v>
      </c>
      <c r="J2006">
        <v>1263.3458252</v>
      </c>
      <c r="K2006">
        <v>2400</v>
      </c>
      <c r="L2006">
        <v>0</v>
      </c>
      <c r="M2006">
        <v>0</v>
      </c>
      <c r="N2006">
        <v>2400</v>
      </c>
    </row>
    <row r="2007" spans="1:14" x14ac:dyDescent="0.25">
      <c r="A2007">
        <v>1610.2936649999999</v>
      </c>
      <c r="B2007" s="1">
        <f>DATE(2014,9,27) + TIME(7,2,52)</f>
        <v>41909.293657407405</v>
      </c>
      <c r="C2007">
        <v>80</v>
      </c>
      <c r="D2007">
        <v>79.962806701999995</v>
      </c>
      <c r="E2007">
        <v>50</v>
      </c>
      <c r="F2007">
        <v>44.089553832999997</v>
      </c>
      <c r="G2007">
        <v>1379.0225829999999</v>
      </c>
      <c r="H2007">
        <v>1365.6011963000001</v>
      </c>
      <c r="I2007">
        <v>1284.7077637</v>
      </c>
      <c r="J2007">
        <v>1263.2242432</v>
      </c>
      <c r="K2007">
        <v>2400</v>
      </c>
      <c r="L2007">
        <v>0</v>
      </c>
      <c r="M2007">
        <v>0</v>
      </c>
      <c r="N2007">
        <v>2400</v>
      </c>
    </row>
    <row r="2008" spans="1:14" x14ac:dyDescent="0.25">
      <c r="A2008">
        <v>1612.707171</v>
      </c>
      <c r="B2008" s="1">
        <f>DATE(2014,9,29) + TIME(16,58,19)</f>
        <v>41911.70716435185</v>
      </c>
      <c r="C2008">
        <v>80</v>
      </c>
      <c r="D2008">
        <v>79.962837218999994</v>
      </c>
      <c r="E2008">
        <v>50</v>
      </c>
      <c r="F2008">
        <v>44.099609375</v>
      </c>
      <c r="G2008">
        <v>1378.963501</v>
      </c>
      <c r="H2008">
        <v>1365.5491943</v>
      </c>
      <c r="I2008">
        <v>1284.6390381000001</v>
      </c>
      <c r="J2008">
        <v>1263.1060791</v>
      </c>
      <c r="K2008">
        <v>2400</v>
      </c>
      <c r="L2008">
        <v>0</v>
      </c>
      <c r="M2008">
        <v>0</v>
      </c>
      <c r="N2008">
        <v>2400</v>
      </c>
    </row>
    <row r="2009" spans="1:14" x14ac:dyDescent="0.25">
      <c r="A2009">
        <v>1614</v>
      </c>
      <c r="B2009" s="1">
        <f>DATE(2014,10,1) + TIME(0,0,0)</f>
        <v>41913</v>
      </c>
      <c r="C2009">
        <v>80</v>
      </c>
      <c r="D2009">
        <v>79.962844849000007</v>
      </c>
      <c r="E2009">
        <v>50</v>
      </c>
      <c r="F2009">
        <v>44.115612030000001</v>
      </c>
      <c r="G2009">
        <v>1378.9039307</v>
      </c>
      <c r="H2009">
        <v>1365.496582</v>
      </c>
      <c r="I2009">
        <v>1284.5786132999999</v>
      </c>
      <c r="J2009">
        <v>1263.0008545000001</v>
      </c>
      <c r="K2009">
        <v>2400</v>
      </c>
      <c r="L2009">
        <v>0</v>
      </c>
      <c r="M2009">
        <v>0</v>
      </c>
      <c r="N2009">
        <v>2400</v>
      </c>
    </row>
    <row r="2010" spans="1:14" x14ac:dyDescent="0.25">
      <c r="A2010">
        <v>1615.219891</v>
      </c>
      <c r="B2010" s="1">
        <f>DATE(2014,10,2) + TIME(5,16,38)</f>
        <v>41914.219884259262</v>
      </c>
      <c r="C2010">
        <v>80</v>
      </c>
      <c r="D2010">
        <v>79.962852478000002</v>
      </c>
      <c r="E2010">
        <v>50</v>
      </c>
      <c r="F2010">
        <v>44.132122039999999</v>
      </c>
      <c r="G2010">
        <v>1378.8719481999999</v>
      </c>
      <c r="H2010">
        <v>1365.4682617000001</v>
      </c>
      <c r="I2010">
        <v>1284.5405272999999</v>
      </c>
      <c r="J2010">
        <v>1262.9365233999999</v>
      </c>
      <c r="K2010">
        <v>2400</v>
      </c>
      <c r="L2010">
        <v>0</v>
      </c>
      <c r="M2010">
        <v>0</v>
      </c>
      <c r="N2010">
        <v>2400</v>
      </c>
    </row>
    <row r="2011" spans="1:14" x14ac:dyDescent="0.25">
      <c r="A2011">
        <v>1616.4397819999999</v>
      </c>
      <c r="B2011" s="1">
        <f>DATE(2014,10,3) + TIME(10,33,17)</f>
        <v>41915.439780092594</v>
      </c>
      <c r="C2011">
        <v>80</v>
      </c>
      <c r="D2011">
        <v>79.962867736999996</v>
      </c>
      <c r="E2011">
        <v>50</v>
      </c>
      <c r="F2011">
        <v>44.150260924999998</v>
      </c>
      <c r="G2011">
        <v>1378.8421631000001</v>
      </c>
      <c r="H2011">
        <v>1365.4417725000001</v>
      </c>
      <c r="I2011">
        <v>1284.5074463000001</v>
      </c>
      <c r="J2011">
        <v>1262.8806152</v>
      </c>
      <c r="K2011">
        <v>2400</v>
      </c>
      <c r="L2011">
        <v>0</v>
      </c>
      <c r="M2011">
        <v>0</v>
      </c>
      <c r="N2011">
        <v>2400</v>
      </c>
    </row>
    <row r="2012" spans="1:14" x14ac:dyDescent="0.25">
      <c r="A2012">
        <v>1617.6596730000001</v>
      </c>
      <c r="B2012" s="1">
        <f>DATE(2014,10,4) + TIME(15,49,55)</f>
        <v>41916.65966435185</v>
      </c>
      <c r="C2012">
        <v>80</v>
      </c>
      <c r="D2012">
        <v>79.962882996000005</v>
      </c>
      <c r="E2012">
        <v>50</v>
      </c>
      <c r="F2012">
        <v>44.170639037999997</v>
      </c>
      <c r="G2012">
        <v>1378.8125</v>
      </c>
      <c r="H2012">
        <v>1365.4155272999999</v>
      </c>
      <c r="I2012">
        <v>1284.4766846</v>
      </c>
      <c r="J2012">
        <v>1262.8284911999999</v>
      </c>
      <c r="K2012">
        <v>2400</v>
      </c>
      <c r="L2012">
        <v>0</v>
      </c>
      <c r="M2012">
        <v>0</v>
      </c>
      <c r="N2012">
        <v>2400</v>
      </c>
    </row>
    <row r="2013" spans="1:14" x14ac:dyDescent="0.25">
      <c r="A2013">
        <v>1620.0994539999999</v>
      </c>
      <c r="B2013" s="1">
        <f>DATE(2014,10,7) + TIME(2,23,12)</f>
        <v>41919.099444444444</v>
      </c>
      <c r="C2013">
        <v>80</v>
      </c>
      <c r="D2013">
        <v>79.962921143000003</v>
      </c>
      <c r="E2013">
        <v>50</v>
      </c>
      <c r="F2013">
        <v>44.199279785000002</v>
      </c>
      <c r="G2013">
        <v>1378.7832031</v>
      </c>
      <c r="H2013">
        <v>1365.3894043</v>
      </c>
      <c r="I2013">
        <v>1284.442749</v>
      </c>
      <c r="J2013">
        <v>1262.7734375</v>
      </c>
      <c r="K2013">
        <v>2400</v>
      </c>
      <c r="L2013">
        <v>0</v>
      </c>
      <c r="M2013">
        <v>0</v>
      </c>
      <c r="N2013">
        <v>2400</v>
      </c>
    </row>
    <row r="2014" spans="1:14" x14ac:dyDescent="0.25">
      <c r="A2014">
        <v>1622.542299</v>
      </c>
      <c r="B2014" s="1">
        <f>DATE(2014,10,9) + TIME(13,0,54)</f>
        <v>41921.542291666665</v>
      </c>
      <c r="C2014">
        <v>80</v>
      </c>
      <c r="D2014">
        <v>79.962951660000002</v>
      </c>
      <c r="E2014">
        <v>50</v>
      </c>
      <c r="F2014">
        <v>44.247547150000003</v>
      </c>
      <c r="G2014">
        <v>1378.7247314000001</v>
      </c>
      <c r="H2014">
        <v>1365.3375243999999</v>
      </c>
      <c r="I2014">
        <v>1284.3912353999999</v>
      </c>
      <c r="J2014">
        <v>1262.6851807</v>
      </c>
      <c r="K2014">
        <v>2400</v>
      </c>
      <c r="L2014">
        <v>0</v>
      </c>
      <c r="M2014">
        <v>0</v>
      </c>
      <c r="N2014">
        <v>2400</v>
      </c>
    </row>
    <row r="2015" spans="1:14" x14ac:dyDescent="0.25">
      <c r="A2015">
        <v>1625.0253319999999</v>
      </c>
      <c r="B2015" s="1">
        <f>DATE(2014,10,12) + TIME(0,36,28)</f>
        <v>41924.025324074071</v>
      </c>
      <c r="C2015">
        <v>80</v>
      </c>
      <c r="D2015">
        <v>79.962982178000004</v>
      </c>
      <c r="E2015">
        <v>50</v>
      </c>
      <c r="F2015">
        <v>44.309474944999998</v>
      </c>
      <c r="G2015">
        <v>1378.6665039</v>
      </c>
      <c r="H2015">
        <v>1365.2858887</v>
      </c>
      <c r="I2015">
        <v>1284.3402100000001</v>
      </c>
      <c r="J2015">
        <v>1262.5999756000001</v>
      </c>
      <c r="K2015">
        <v>2400</v>
      </c>
      <c r="L2015">
        <v>0</v>
      </c>
      <c r="M2015">
        <v>0</v>
      </c>
      <c r="N2015">
        <v>2400</v>
      </c>
    </row>
    <row r="2016" spans="1:14" x14ac:dyDescent="0.25">
      <c r="A2016">
        <v>1627.556182</v>
      </c>
      <c r="B2016" s="1">
        <f>DATE(2014,10,14) + TIME(13,20,54)</f>
        <v>41926.556180555555</v>
      </c>
      <c r="C2016">
        <v>80</v>
      </c>
      <c r="D2016">
        <v>79.963020325000002</v>
      </c>
      <c r="E2016">
        <v>50</v>
      </c>
      <c r="F2016">
        <v>44.384380341000004</v>
      </c>
      <c r="G2016">
        <v>1378.6080322</v>
      </c>
      <c r="H2016">
        <v>1365.2336425999999</v>
      </c>
      <c r="I2016">
        <v>1284.291626</v>
      </c>
      <c r="J2016">
        <v>1262.5202637</v>
      </c>
      <c r="K2016">
        <v>2400</v>
      </c>
      <c r="L2016">
        <v>0</v>
      </c>
      <c r="M2016">
        <v>0</v>
      </c>
      <c r="N2016">
        <v>2400</v>
      </c>
    </row>
    <row r="2017" spans="1:14" x14ac:dyDescent="0.25">
      <c r="A2017">
        <v>1630.143683</v>
      </c>
      <c r="B2017" s="1">
        <f>DATE(2014,10,17) + TIME(3,26,54)</f>
        <v>41929.143680555557</v>
      </c>
      <c r="C2017">
        <v>80</v>
      </c>
      <c r="D2017">
        <v>79.963050842000001</v>
      </c>
      <c r="E2017">
        <v>50</v>
      </c>
      <c r="F2017">
        <v>44.472793578999998</v>
      </c>
      <c r="G2017">
        <v>1378.5488281</v>
      </c>
      <c r="H2017">
        <v>1365.1810303</v>
      </c>
      <c r="I2017">
        <v>1284.2460937999999</v>
      </c>
      <c r="J2017">
        <v>1262.4472656</v>
      </c>
      <c r="K2017">
        <v>2400</v>
      </c>
      <c r="L2017">
        <v>0</v>
      </c>
      <c r="M2017">
        <v>0</v>
      </c>
      <c r="N2017">
        <v>2400</v>
      </c>
    </row>
    <row r="2018" spans="1:14" x14ac:dyDescent="0.25">
      <c r="A2018">
        <v>1632.7971809999999</v>
      </c>
      <c r="B2018" s="1">
        <f>DATE(2014,10,19) + TIME(19,7,56)</f>
        <v>41931.797175925924</v>
      </c>
      <c r="C2018">
        <v>80</v>
      </c>
      <c r="D2018">
        <v>79.963081360000004</v>
      </c>
      <c r="E2018">
        <v>50</v>
      </c>
      <c r="F2018">
        <v>44.575588226000001</v>
      </c>
      <c r="G2018">
        <v>1378.4890137</v>
      </c>
      <c r="H2018">
        <v>1365.1275635</v>
      </c>
      <c r="I2018">
        <v>1284.2039795000001</v>
      </c>
      <c r="J2018">
        <v>1262.3814697</v>
      </c>
      <c r="K2018">
        <v>2400</v>
      </c>
      <c r="L2018">
        <v>0</v>
      </c>
      <c r="M2018">
        <v>0</v>
      </c>
      <c r="N2018">
        <v>2400</v>
      </c>
    </row>
    <row r="2019" spans="1:14" x14ac:dyDescent="0.25">
      <c r="A2019">
        <v>1635.484293</v>
      </c>
      <c r="B2019" s="1">
        <f>DATE(2014,10,22) + TIME(11,37,22)</f>
        <v>41934.484282407408</v>
      </c>
      <c r="C2019">
        <v>80</v>
      </c>
      <c r="D2019">
        <v>79.963119507000002</v>
      </c>
      <c r="E2019">
        <v>50</v>
      </c>
      <c r="F2019">
        <v>44.693294524999999</v>
      </c>
      <c r="G2019">
        <v>1378.4283447</v>
      </c>
      <c r="H2019">
        <v>1365.0732422000001</v>
      </c>
      <c r="I2019">
        <v>1284.1655272999999</v>
      </c>
      <c r="J2019">
        <v>1262.3234863</v>
      </c>
      <c r="K2019">
        <v>2400</v>
      </c>
      <c r="L2019">
        <v>0</v>
      </c>
      <c r="M2019">
        <v>0</v>
      </c>
      <c r="N2019">
        <v>2400</v>
      </c>
    </row>
    <row r="2020" spans="1:14" x14ac:dyDescent="0.25">
      <c r="A2020">
        <v>1638.2090720000001</v>
      </c>
      <c r="B2020" s="1">
        <f>DATE(2014,10,25) + TIME(5,1,3)</f>
        <v>41937.209062499998</v>
      </c>
      <c r="C2020">
        <v>80</v>
      </c>
      <c r="D2020">
        <v>79.963150024000001</v>
      </c>
      <c r="E2020">
        <v>50</v>
      </c>
      <c r="F2020">
        <v>44.825534820999998</v>
      </c>
      <c r="G2020">
        <v>1378.3675536999999</v>
      </c>
      <c r="H2020">
        <v>1365.0187988</v>
      </c>
      <c r="I2020">
        <v>1284.1313477000001</v>
      </c>
      <c r="J2020">
        <v>1262.2744141000001</v>
      </c>
      <c r="K2020">
        <v>2400</v>
      </c>
      <c r="L2020">
        <v>0</v>
      </c>
      <c r="M2020">
        <v>0</v>
      </c>
      <c r="N2020">
        <v>2400</v>
      </c>
    </row>
    <row r="2021" spans="1:14" x14ac:dyDescent="0.25">
      <c r="A2021">
        <v>1640.980274</v>
      </c>
      <c r="B2021" s="1">
        <f>DATE(2014,10,27) + TIME(23,31,35)</f>
        <v>41939.980266203704</v>
      </c>
      <c r="C2021">
        <v>80</v>
      </c>
      <c r="D2021">
        <v>79.963188170999999</v>
      </c>
      <c r="E2021">
        <v>50</v>
      </c>
      <c r="F2021">
        <v>44.972366332999997</v>
      </c>
      <c r="G2021">
        <v>1378.3065185999999</v>
      </c>
      <c r="H2021">
        <v>1364.9641113</v>
      </c>
      <c r="I2021">
        <v>1284.1014404</v>
      </c>
      <c r="J2021">
        <v>1262.2344971</v>
      </c>
      <c r="K2021">
        <v>2400</v>
      </c>
      <c r="L2021">
        <v>0</v>
      </c>
      <c r="M2021">
        <v>0</v>
      </c>
      <c r="N2021">
        <v>2400</v>
      </c>
    </row>
    <row r="2022" spans="1:14" x14ac:dyDescent="0.25">
      <c r="A2022">
        <v>1643.798266</v>
      </c>
      <c r="B2022" s="1">
        <f>DATE(2014,10,30) + TIME(19,9,30)</f>
        <v>41942.798263888886</v>
      </c>
      <c r="C2022">
        <v>80</v>
      </c>
      <c r="D2022">
        <v>79.963226317999997</v>
      </c>
      <c r="E2022">
        <v>50</v>
      </c>
      <c r="F2022">
        <v>45.133888245000001</v>
      </c>
      <c r="G2022">
        <v>1378.2453613</v>
      </c>
      <c r="H2022">
        <v>1364.9091797000001</v>
      </c>
      <c r="I2022">
        <v>1284.0758057</v>
      </c>
      <c r="J2022">
        <v>1262.2038574000001</v>
      </c>
      <c r="K2022">
        <v>2400</v>
      </c>
      <c r="L2022">
        <v>0</v>
      </c>
      <c r="M2022">
        <v>0</v>
      </c>
      <c r="N2022">
        <v>2400</v>
      </c>
    </row>
    <row r="2023" spans="1:14" x14ac:dyDescent="0.25">
      <c r="A2023">
        <v>1645</v>
      </c>
      <c r="B2023" s="1">
        <f>DATE(2014,11,1) + TIME(0,0,0)</f>
        <v>41944</v>
      </c>
      <c r="C2023">
        <v>80</v>
      </c>
      <c r="D2023">
        <v>79.963226317999997</v>
      </c>
      <c r="E2023">
        <v>50</v>
      </c>
      <c r="F2023">
        <v>45.269123077000003</v>
      </c>
      <c r="G2023">
        <v>1378.184082</v>
      </c>
      <c r="H2023">
        <v>1364.854126</v>
      </c>
      <c r="I2023">
        <v>1284.0656738</v>
      </c>
      <c r="J2023">
        <v>1262.1856689000001</v>
      </c>
      <c r="K2023">
        <v>2400</v>
      </c>
      <c r="L2023">
        <v>0</v>
      </c>
      <c r="M2023">
        <v>0</v>
      </c>
      <c r="N2023">
        <v>2400</v>
      </c>
    </row>
    <row r="2024" spans="1:14" x14ac:dyDescent="0.25">
      <c r="A2024">
        <v>1645.0000010000001</v>
      </c>
      <c r="B2024" s="1">
        <f>DATE(2014,11,1) + TIME(0,0,0)</f>
        <v>41944</v>
      </c>
      <c r="C2024">
        <v>80</v>
      </c>
      <c r="D2024">
        <v>79.963104247999993</v>
      </c>
      <c r="E2024">
        <v>50</v>
      </c>
      <c r="F2024">
        <v>45.269241332999997</v>
      </c>
      <c r="G2024">
        <v>1363.9821777</v>
      </c>
      <c r="H2024">
        <v>1351.9986572</v>
      </c>
      <c r="I2024">
        <v>1306.7941894999999</v>
      </c>
      <c r="J2024">
        <v>1284.9885254000001</v>
      </c>
      <c r="K2024">
        <v>0</v>
      </c>
      <c r="L2024">
        <v>2400</v>
      </c>
      <c r="M2024">
        <v>2400</v>
      </c>
      <c r="N2024">
        <v>0</v>
      </c>
    </row>
    <row r="2025" spans="1:14" x14ac:dyDescent="0.25">
      <c r="A2025">
        <v>1645.000004</v>
      </c>
      <c r="B2025" s="1">
        <f>DATE(2014,11,1) + TIME(0,0,0)</f>
        <v>41944</v>
      </c>
      <c r="C2025">
        <v>80</v>
      </c>
      <c r="D2025">
        <v>79.962791443</v>
      </c>
      <c r="E2025">
        <v>50</v>
      </c>
      <c r="F2025">
        <v>45.269565581999998</v>
      </c>
      <c r="G2025">
        <v>1361.7796631000001</v>
      </c>
      <c r="H2025">
        <v>1349.7955322</v>
      </c>
      <c r="I2025">
        <v>1309.1804199000001</v>
      </c>
      <c r="J2025">
        <v>1287.4694824000001</v>
      </c>
      <c r="K2025">
        <v>0</v>
      </c>
      <c r="L2025">
        <v>2400</v>
      </c>
      <c r="M2025">
        <v>2400</v>
      </c>
      <c r="N2025">
        <v>0</v>
      </c>
    </row>
    <row r="2026" spans="1:14" x14ac:dyDescent="0.25">
      <c r="A2026">
        <v>1645.0000130000001</v>
      </c>
      <c r="B2026" s="1">
        <f>DATE(2014,11,1) + TIME(0,0,1)</f>
        <v>41944.000011574077</v>
      </c>
      <c r="C2026">
        <v>80</v>
      </c>
      <c r="D2026">
        <v>79.962158203000001</v>
      </c>
      <c r="E2026">
        <v>50</v>
      </c>
      <c r="F2026">
        <v>45.270317077999998</v>
      </c>
      <c r="G2026">
        <v>1357.333374</v>
      </c>
      <c r="H2026">
        <v>1345.3488769999999</v>
      </c>
      <c r="I2026">
        <v>1314.6845702999999</v>
      </c>
      <c r="J2026">
        <v>1293.1297606999999</v>
      </c>
      <c r="K2026">
        <v>0</v>
      </c>
      <c r="L2026">
        <v>2400</v>
      </c>
      <c r="M2026">
        <v>2400</v>
      </c>
      <c r="N2026">
        <v>0</v>
      </c>
    </row>
    <row r="2027" spans="1:14" x14ac:dyDescent="0.25">
      <c r="A2027">
        <v>1645.0000399999999</v>
      </c>
      <c r="B2027" s="1">
        <f>DATE(2014,11,1) + TIME(0,0,3)</f>
        <v>41944.000034722223</v>
      </c>
      <c r="C2027">
        <v>80</v>
      </c>
      <c r="D2027">
        <v>79.961235045999999</v>
      </c>
      <c r="E2027">
        <v>50</v>
      </c>
      <c r="F2027">
        <v>45.271663666000002</v>
      </c>
      <c r="G2027">
        <v>1350.8382568</v>
      </c>
      <c r="H2027">
        <v>1338.8554687999999</v>
      </c>
      <c r="I2027">
        <v>1324.2443848</v>
      </c>
      <c r="J2027">
        <v>1302.793457</v>
      </c>
      <c r="K2027">
        <v>0</v>
      </c>
      <c r="L2027">
        <v>2400</v>
      </c>
      <c r="M2027">
        <v>2400</v>
      </c>
      <c r="N2027">
        <v>0</v>
      </c>
    </row>
    <row r="2028" spans="1:14" x14ac:dyDescent="0.25">
      <c r="A2028">
        <v>1645.000121</v>
      </c>
      <c r="B2028" s="1">
        <f>DATE(2014,11,1) + TIME(0,0,10)</f>
        <v>41944.000115740739</v>
      </c>
      <c r="C2028">
        <v>80</v>
      </c>
      <c r="D2028">
        <v>79.960197449000006</v>
      </c>
      <c r="E2028">
        <v>50</v>
      </c>
      <c r="F2028">
        <v>45.273624419999997</v>
      </c>
      <c r="G2028">
        <v>1343.6109618999999</v>
      </c>
      <c r="H2028">
        <v>1331.6324463000001</v>
      </c>
      <c r="I2028">
        <v>1336.3369141000001</v>
      </c>
      <c r="J2028">
        <v>1314.885376</v>
      </c>
      <c r="K2028">
        <v>0</v>
      </c>
      <c r="L2028">
        <v>2400</v>
      </c>
      <c r="M2028">
        <v>2400</v>
      </c>
      <c r="N2028">
        <v>0</v>
      </c>
    </row>
    <row r="2029" spans="1:14" x14ac:dyDescent="0.25">
      <c r="A2029">
        <v>1645.000364</v>
      </c>
      <c r="B2029" s="1">
        <f>DATE(2014,11,1) + TIME(0,0,31)</f>
        <v>41944.000358796293</v>
      </c>
      <c r="C2029">
        <v>80</v>
      </c>
      <c r="D2029">
        <v>79.959121703999998</v>
      </c>
      <c r="E2029">
        <v>50</v>
      </c>
      <c r="F2029">
        <v>45.276599883999999</v>
      </c>
      <c r="G2029">
        <v>1336.3470459</v>
      </c>
      <c r="H2029">
        <v>1324.3730469</v>
      </c>
      <c r="I2029">
        <v>1349.0366211</v>
      </c>
      <c r="J2029">
        <v>1327.5656738</v>
      </c>
      <c r="K2029">
        <v>0</v>
      </c>
      <c r="L2029">
        <v>2400</v>
      </c>
      <c r="M2029">
        <v>2400</v>
      </c>
      <c r="N2029">
        <v>0</v>
      </c>
    </row>
    <row r="2030" spans="1:14" x14ac:dyDescent="0.25">
      <c r="A2030">
        <v>1645.0010930000001</v>
      </c>
      <c r="B2030" s="1">
        <f>DATE(2014,11,1) + TIME(0,1,34)</f>
        <v>41944.001087962963</v>
      </c>
      <c r="C2030">
        <v>80</v>
      </c>
      <c r="D2030">
        <v>79.957962035999998</v>
      </c>
      <c r="E2030">
        <v>50</v>
      </c>
      <c r="F2030">
        <v>45.282413482999999</v>
      </c>
      <c r="G2030">
        <v>1329.0408935999999</v>
      </c>
      <c r="H2030">
        <v>1317.0424805</v>
      </c>
      <c r="I2030">
        <v>1361.9185791</v>
      </c>
      <c r="J2030">
        <v>1340.4124756000001</v>
      </c>
      <c r="K2030">
        <v>0</v>
      </c>
      <c r="L2030">
        <v>2400</v>
      </c>
      <c r="M2030">
        <v>2400</v>
      </c>
      <c r="N2030">
        <v>0</v>
      </c>
    </row>
    <row r="2031" spans="1:14" x14ac:dyDescent="0.25">
      <c r="A2031">
        <v>1645.0032799999999</v>
      </c>
      <c r="B2031" s="1">
        <f>DATE(2014,11,1) + TIME(0,4,43)</f>
        <v>41944.003275462965</v>
      </c>
      <c r="C2031">
        <v>80</v>
      </c>
      <c r="D2031">
        <v>79.956512450999995</v>
      </c>
      <c r="E2031">
        <v>50</v>
      </c>
      <c r="F2031">
        <v>45.296730042</v>
      </c>
      <c r="G2031">
        <v>1321.4736327999999</v>
      </c>
      <c r="H2031">
        <v>1309.3568115</v>
      </c>
      <c r="I2031">
        <v>1374.9602050999999</v>
      </c>
      <c r="J2031">
        <v>1353.3503418</v>
      </c>
      <c r="K2031">
        <v>0</v>
      </c>
      <c r="L2031">
        <v>2400</v>
      </c>
      <c r="M2031">
        <v>2400</v>
      </c>
      <c r="N2031">
        <v>0</v>
      </c>
    </row>
    <row r="2032" spans="1:14" x14ac:dyDescent="0.25">
      <c r="A2032">
        <v>1645.0098410000001</v>
      </c>
      <c r="B2032" s="1">
        <f>DATE(2014,11,1) + TIME(0,14,10)</f>
        <v>41944.009837962964</v>
      </c>
      <c r="C2032">
        <v>80</v>
      </c>
      <c r="D2032">
        <v>79.954299926999994</v>
      </c>
      <c r="E2032">
        <v>50</v>
      </c>
      <c r="F2032">
        <v>45.336349487</v>
      </c>
      <c r="G2032">
        <v>1313.8759766000001</v>
      </c>
      <c r="H2032">
        <v>1301.6026611</v>
      </c>
      <c r="I2032">
        <v>1387.0804443</v>
      </c>
      <c r="J2032">
        <v>1365.3103027</v>
      </c>
      <c r="K2032">
        <v>0</v>
      </c>
      <c r="L2032">
        <v>2400</v>
      </c>
      <c r="M2032">
        <v>2400</v>
      </c>
      <c r="N2032">
        <v>0</v>
      </c>
    </row>
    <row r="2033" spans="1:14" x14ac:dyDescent="0.25">
      <c r="A2033">
        <v>1645.029524</v>
      </c>
      <c r="B2033" s="1">
        <f>DATE(2014,11,1) + TIME(0,42,30)</f>
        <v>41944.029513888891</v>
      </c>
      <c r="C2033">
        <v>80</v>
      </c>
      <c r="D2033">
        <v>79.950057982999994</v>
      </c>
      <c r="E2033">
        <v>50</v>
      </c>
      <c r="F2033">
        <v>45.449779509999999</v>
      </c>
      <c r="G2033">
        <v>1307.6943358999999</v>
      </c>
      <c r="H2033">
        <v>1295.3377685999999</v>
      </c>
      <c r="I2033">
        <v>1395.7381591999999</v>
      </c>
      <c r="J2033">
        <v>1373.8670654</v>
      </c>
      <c r="K2033">
        <v>0</v>
      </c>
      <c r="L2033">
        <v>2400</v>
      </c>
      <c r="M2033">
        <v>2400</v>
      </c>
      <c r="N2033">
        <v>0</v>
      </c>
    </row>
    <row r="2034" spans="1:14" x14ac:dyDescent="0.25">
      <c r="A2034">
        <v>1645.088573</v>
      </c>
      <c r="B2034" s="1">
        <f>DATE(2014,11,1) + TIME(2,7,32)</f>
        <v>41944.088564814818</v>
      </c>
      <c r="C2034">
        <v>80</v>
      </c>
      <c r="D2034">
        <v>79.940002441000004</v>
      </c>
      <c r="E2034">
        <v>50</v>
      </c>
      <c r="F2034">
        <v>45.764610290999997</v>
      </c>
      <c r="G2034">
        <v>1304.5384521000001</v>
      </c>
      <c r="H2034">
        <v>1292.1572266000001</v>
      </c>
      <c r="I2034">
        <v>1399.1870117000001</v>
      </c>
      <c r="J2034">
        <v>1377.3847656</v>
      </c>
      <c r="K2034">
        <v>0</v>
      </c>
      <c r="L2034">
        <v>2400</v>
      </c>
      <c r="M2034">
        <v>2400</v>
      </c>
      <c r="N2034">
        <v>0</v>
      </c>
    </row>
    <row r="2035" spans="1:14" x14ac:dyDescent="0.25">
      <c r="A2035">
        <v>1645.1523400000001</v>
      </c>
      <c r="B2035" s="1">
        <f>DATE(2014,11,1) + TIME(3,39,22)</f>
        <v>41944.152337962965</v>
      </c>
      <c r="C2035">
        <v>80</v>
      </c>
      <c r="D2035">
        <v>79.929740906000006</v>
      </c>
      <c r="E2035">
        <v>50</v>
      </c>
      <c r="F2035">
        <v>46.078914642000001</v>
      </c>
      <c r="G2035">
        <v>1303.8634033000001</v>
      </c>
      <c r="H2035">
        <v>1291.4780272999999</v>
      </c>
      <c r="I2035">
        <v>1399.5352783000001</v>
      </c>
      <c r="J2035">
        <v>1377.8479004000001</v>
      </c>
      <c r="K2035">
        <v>0</v>
      </c>
      <c r="L2035">
        <v>2400</v>
      </c>
      <c r="M2035">
        <v>2400</v>
      </c>
      <c r="N2035">
        <v>0</v>
      </c>
    </row>
    <row r="2036" spans="1:14" x14ac:dyDescent="0.25">
      <c r="A2036">
        <v>1645.2196879999999</v>
      </c>
      <c r="B2036" s="1">
        <f>DATE(2014,11,1) + TIME(5,16,21)</f>
        <v>41944.219687500001</v>
      </c>
      <c r="C2036">
        <v>80</v>
      </c>
      <c r="D2036">
        <v>79.919227599999999</v>
      </c>
      <c r="E2036">
        <v>50</v>
      </c>
      <c r="F2036">
        <v>46.384712219000001</v>
      </c>
      <c r="G2036">
        <v>1303.7062988</v>
      </c>
      <c r="H2036">
        <v>1291.3197021000001</v>
      </c>
      <c r="I2036">
        <v>1399.3776855000001</v>
      </c>
      <c r="J2036">
        <v>1377.8098144999999</v>
      </c>
      <c r="K2036">
        <v>0</v>
      </c>
      <c r="L2036">
        <v>2400</v>
      </c>
      <c r="M2036">
        <v>2400</v>
      </c>
      <c r="N2036">
        <v>0</v>
      </c>
    </row>
    <row r="2037" spans="1:14" x14ac:dyDescent="0.25">
      <c r="A2037">
        <v>1645.2910240000001</v>
      </c>
      <c r="B2037" s="1">
        <f>DATE(2014,11,1) + TIME(6,59,4)</f>
        <v>41944.291018518517</v>
      </c>
      <c r="C2037">
        <v>80</v>
      </c>
      <c r="D2037">
        <v>79.908355713000006</v>
      </c>
      <c r="E2037">
        <v>50</v>
      </c>
      <c r="F2037">
        <v>46.681739807</v>
      </c>
      <c r="G2037">
        <v>1303.6646728999999</v>
      </c>
      <c r="H2037">
        <v>1291.2774658000001</v>
      </c>
      <c r="I2037">
        <v>1399.1523437999999</v>
      </c>
      <c r="J2037">
        <v>1377.7015381000001</v>
      </c>
      <c r="K2037">
        <v>0</v>
      </c>
      <c r="L2037">
        <v>2400</v>
      </c>
      <c r="M2037">
        <v>2400</v>
      </c>
      <c r="N2037">
        <v>0</v>
      </c>
    </row>
    <row r="2038" spans="1:14" x14ac:dyDescent="0.25">
      <c r="A2038">
        <v>1645.366894</v>
      </c>
      <c r="B2038" s="1">
        <f>DATE(2014,11,1) + TIME(8,48,19)</f>
        <v>41944.366886574076</v>
      </c>
      <c r="C2038">
        <v>80</v>
      </c>
      <c r="D2038">
        <v>79.897064209000007</v>
      </c>
      <c r="E2038">
        <v>50</v>
      </c>
      <c r="F2038">
        <v>46.969924927000001</v>
      </c>
      <c r="G2038">
        <v>1303.6511230000001</v>
      </c>
      <c r="H2038">
        <v>1291.2634277</v>
      </c>
      <c r="I2038">
        <v>1398.9270019999999</v>
      </c>
      <c r="J2038">
        <v>1377.5897216999999</v>
      </c>
      <c r="K2038">
        <v>0</v>
      </c>
      <c r="L2038">
        <v>2400</v>
      </c>
      <c r="M2038">
        <v>2400</v>
      </c>
      <c r="N2038">
        <v>0</v>
      </c>
    </row>
    <row r="2039" spans="1:14" x14ac:dyDescent="0.25">
      <c r="A2039">
        <v>1645.4479739999999</v>
      </c>
      <c r="B2039" s="1">
        <f>DATE(2014,11,1) + TIME(10,45,4)</f>
        <v>41944.447962962964</v>
      </c>
      <c r="C2039">
        <v>80</v>
      </c>
      <c r="D2039">
        <v>79.885292053000001</v>
      </c>
      <c r="E2039">
        <v>50</v>
      </c>
      <c r="F2039">
        <v>47.249183655000003</v>
      </c>
      <c r="G2039">
        <v>1303.6450195</v>
      </c>
      <c r="H2039">
        <v>1291.2568358999999</v>
      </c>
      <c r="I2039">
        <v>1398.7091064000001</v>
      </c>
      <c r="J2039">
        <v>1377.4813231999999</v>
      </c>
      <c r="K2039">
        <v>0</v>
      </c>
      <c r="L2039">
        <v>2400</v>
      </c>
      <c r="M2039">
        <v>2400</v>
      </c>
      <c r="N2039">
        <v>0</v>
      </c>
    </row>
    <row r="2040" spans="1:14" x14ac:dyDescent="0.25">
      <c r="A2040">
        <v>1645.5350960000001</v>
      </c>
      <c r="B2040" s="1">
        <f>DATE(2014,11,1) + TIME(12,50,32)</f>
        <v>41944.535092592596</v>
      </c>
      <c r="C2040">
        <v>80</v>
      </c>
      <c r="D2040">
        <v>79.872940063000001</v>
      </c>
      <c r="E2040">
        <v>50</v>
      </c>
      <c r="F2040">
        <v>47.519401549999998</v>
      </c>
      <c r="G2040">
        <v>1303.6408690999999</v>
      </c>
      <c r="H2040">
        <v>1291.2520752</v>
      </c>
      <c r="I2040">
        <v>1398.4980469</v>
      </c>
      <c r="J2040">
        <v>1377.3758545000001</v>
      </c>
      <c r="K2040">
        <v>0</v>
      </c>
      <c r="L2040">
        <v>2400</v>
      </c>
      <c r="M2040">
        <v>2400</v>
      </c>
      <c r="N2040">
        <v>0</v>
      </c>
    </row>
    <row r="2041" spans="1:14" x14ac:dyDescent="0.25">
      <c r="A2041">
        <v>1645.6292980000001</v>
      </c>
      <c r="B2041" s="1">
        <f>DATE(2014,11,1) + TIME(15,6,11)</f>
        <v>41944.629293981481</v>
      </c>
      <c r="C2041">
        <v>80</v>
      </c>
      <c r="D2041">
        <v>79.859924316000004</v>
      </c>
      <c r="E2041">
        <v>50</v>
      </c>
      <c r="F2041">
        <v>47.780410766999999</v>
      </c>
      <c r="G2041">
        <v>1303.6369629000001</v>
      </c>
      <c r="H2041">
        <v>1291.2476807</v>
      </c>
      <c r="I2041">
        <v>1398.2928466999999</v>
      </c>
      <c r="J2041">
        <v>1377.2725829999999</v>
      </c>
      <c r="K2041">
        <v>0</v>
      </c>
      <c r="L2041">
        <v>2400</v>
      </c>
      <c r="M2041">
        <v>2400</v>
      </c>
      <c r="N2041">
        <v>0</v>
      </c>
    </row>
    <row r="2042" spans="1:14" x14ac:dyDescent="0.25">
      <c r="A2042">
        <v>1645.731888</v>
      </c>
      <c r="B2042" s="1">
        <f>DATE(2014,11,1) + TIME(17,33,55)</f>
        <v>41944.731886574074</v>
      </c>
      <c r="C2042">
        <v>80</v>
      </c>
      <c r="D2042">
        <v>79.846107482999997</v>
      </c>
      <c r="E2042">
        <v>50</v>
      </c>
      <c r="F2042">
        <v>48.031944275000001</v>
      </c>
      <c r="G2042">
        <v>1303.6330565999999</v>
      </c>
      <c r="H2042">
        <v>1291.2431641000001</v>
      </c>
      <c r="I2042">
        <v>1398.0928954999999</v>
      </c>
      <c r="J2042">
        <v>1377.1708983999999</v>
      </c>
      <c r="K2042">
        <v>0</v>
      </c>
      <c r="L2042">
        <v>2400</v>
      </c>
      <c r="M2042">
        <v>2400</v>
      </c>
      <c r="N2042">
        <v>0</v>
      </c>
    </row>
    <row r="2043" spans="1:14" x14ac:dyDescent="0.25">
      <c r="A2043">
        <v>1645.8445569999999</v>
      </c>
      <c r="B2043" s="1">
        <f>DATE(2014,11,1) + TIME(20,16,9)</f>
        <v>41944.844548611109</v>
      </c>
      <c r="C2043">
        <v>80</v>
      </c>
      <c r="D2043">
        <v>79.831344603999995</v>
      </c>
      <c r="E2043">
        <v>50</v>
      </c>
      <c r="F2043">
        <v>48.273681641000003</v>
      </c>
      <c r="G2043">
        <v>1303.6289062000001</v>
      </c>
      <c r="H2043">
        <v>1291.2382812000001</v>
      </c>
      <c r="I2043">
        <v>1397.8978271000001</v>
      </c>
      <c r="J2043">
        <v>1377.0704346</v>
      </c>
      <c r="K2043">
        <v>0</v>
      </c>
      <c r="L2043">
        <v>2400</v>
      </c>
      <c r="M2043">
        <v>2400</v>
      </c>
      <c r="N2043">
        <v>0</v>
      </c>
    </row>
    <row r="2044" spans="1:14" x14ac:dyDescent="0.25">
      <c r="A2044">
        <v>1645.9695670000001</v>
      </c>
      <c r="B2044" s="1">
        <f>DATE(2014,11,1) + TIME(23,16,10)</f>
        <v>41944.969560185185</v>
      </c>
      <c r="C2044">
        <v>80</v>
      </c>
      <c r="D2044">
        <v>79.815414429</v>
      </c>
      <c r="E2044">
        <v>50</v>
      </c>
      <c r="F2044">
        <v>48.50522995</v>
      </c>
      <c r="G2044">
        <v>1303.6243896000001</v>
      </c>
      <c r="H2044">
        <v>1291.2330322</v>
      </c>
      <c r="I2044">
        <v>1397.7073975000001</v>
      </c>
      <c r="J2044">
        <v>1376.9709473</v>
      </c>
      <c r="K2044">
        <v>0</v>
      </c>
      <c r="L2044">
        <v>2400</v>
      </c>
      <c r="M2044">
        <v>2400</v>
      </c>
      <c r="N2044">
        <v>0</v>
      </c>
    </row>
    <row r="2045" spans="1:14" x14ac:dyDescent="0.25">
      <c r="A2045">
        <v>1646.1099630000001</v>
      </c>
      <c r="B2045" s="1">
        <f>DATE(2014,11,2) + TIME(2,38,20)</f>
        <v>41945.109953703701</v>
      </c>
      <c r="C2045">
        <v>80</v>
      </c>
      <c r="D2045">
        <v>79.798057556000003</v>
      </c>
      <c r="E2045">
        <v>50</v>
      </c>
      <c r="F2045">
        <v>48.726028442</v>
      </c>
      <c r="G2045">
        <v>1303.6192627</v>
      </c>
      <c r="H2045">
        <v>1291.2272949000001</v>
      </c>
      <c r="I2045">
        <v>1397.5212402</v>
      </c>
      <c r="J2045">
        <v>1376.8720702999999</v>
      </c>
      <c r="K2045">
        <v>0</v>
      </c>
      <c r="L2045">
        <v>2400</v>
      </c>
      <c r="M2045">
        <v>2400</v>
      </c>
      <c r="N2045">
        <v>0</v>
      </c>
    </row>
    <row r="2046" spans="1:14" x14ac:dyDescent="0.25">
      <c r="A2046">
        <v>1646.270008</v>
      </c>
      <c r="B2046" s="1">
        <f>DATE(2014,11,2) + TIME(6,28,48)</f>
        <v>41945.27</v>
      </c>
      <c r="C2046">
        <v>80</v>
      </c>
      <c r="D2046">
        <v>79.778900145999998</v>
      </c>
      <c r="E2046">
        <v>50</v>
      </c>
      <c r="F2046">
        <v>48.935340881000002</v>
      </c>
      <c r="G2046">
        <v>1303.6136475000001</v>
      </c>
      <c r="H2046">
        <v>1291.2208252</v>
      </c>
      <c r="I2046">
        <v>1397.3391113</v>
      </c>
      <c r="J2046">
        <v>1376.7735596</v>
      </c>
      <c r="K2046">
        <v>0</v>
      </c>
      <c r="L2046">
        <v>2400</v>
      </c>
      <c r="M2046">
        <v>2400</v>
      </c>
      <c r="N2046">
        <v>0</v>
      </c>
    </row>
    <row r="2047" spans="1:14" x14ac:dyDescent="0.25">
      <c r="A2047">
        <v>1646.4558959999999</v>
      </c>
      <c r="B2047" s="1">
        <f>DATE(2014,11,2) + TIME(10,56,29)</f>
        <v>41945.455891203703</v>
      </c>
      <c r="C2047">
        <v>80</v>
      </c>
      <c r="D2047">
        <v>79.757431030000006</v>
      </c>
      <c r="E2047">
        <v>50</v>
      </c>
      <c r="F2047">
        <v>49.13218689</v>
      </c>
      <c r="G2047">
        <v>1303.6072998</v>
      </c>
      <c r="H2047">
        <v>1291.213501</v>
      </c>
      <c r="I2047">
        <v>1397.1605225000001</v>
      </c>
      <c r="J2047">
        <v>1376.6748047000001</v>
      </c>
      <c r="K2047">
        <v>0</v>
      </c>
      <c r="L2047">
        <v>2400</v>
      </c>
      <c r="M2047">
        <v>2400</v>
      </c>
      <c r="N2047">
        <v>0</v>
      </c>
    </row>
    <row r="2048" spans="1:14" x14ac:dyDescent="0.25">
      <c r="A2048">
        <v>1646.6770489999999</v>
      </c>
      <c r="B2048" s="1">
        <f>DATE(2014,11,2) + TIME(16,14,57)</f>
        <v>41945.677048611113</v>
      </c>
      <c r="C2048">
        <v>80</v>
      </c>
      <c r="D2048">
        <v>79.732879639000004</v>
      </c>
      <c r="E2048">
        <v>50</v>
      </c>
      <c r="F2048">
        <v>49.315250397</v>
      </c>
      <c r="G2048">
        <v>1303.6000977000001</v>
      </c>
      <c r="H2048">
        <v>1291.2050781</v>
      </c>
      <c r="I2048">
        <v>1396.9853516000001</v>
      </c>
      <c r="J2048">
        <v>1376.5753173999999</v>
      </c>
      <c r="K2048">
        <v>0</v>
      </c>
      <c r="L2048">
        <v>2400</v>
      </c>
      <c r="M2048">
        <v>2400</v>
      </c>
      <c r="N2048">
        <v>0</v>
      </c>
    </row>
    <row r="2049" spans="1:14" x14ac:dyDescent="0.25">
      <c r="A2049">
        <v>1646.9161280000001</v>
      </c>
      <c r="B2049" s="1">
        <f>DATE(2014,11,2) + TIME(21,59,13)</f>
        <v>41945.916122685187</v>
      </c>
      <c r="C2049">
        <v>80</v>
      </c>
      <c r="D2049">
        <v>79.706794739000003</v>
      </c>
      <c r="E2049">
        <v>50</v>
      </c>
      <c r="F2049">
        <v>49.467304230000003</v>
      </c>
      <c r="G2049">
        <v>1303.5913086</v>
      </c>
      <c r="H2049">
        <v>1291.1953125</v>
      </c>
      <c r="I2049">
        <v>1396.8266602000001</v>
      </c>
      <c r="J2049">
        <v>1376.4814452999999</v>
      </c>
      <c r="K2049">
        <v>0</v>
      </c>
      <c r="L2049">
        <v>2400</v>
      </c>
      <c r="M2049">
        <v>2400</v>
      </c>
      <c r="N2049">
        <v>0</v>
      </c>
    </row>
    <row r="2050" spans="1:14" x14ac:dyDescent="0.25">
      <c r="A2050">
        <v>1647.1588139999999</v>
      </c>
      <c r="B2050" s="1">
        <f>DATE(2014,11,3) + TIME(3,48,41)</f>
        <v>41946.158807870372</v>
      </c>
      <c r="C2050">
        <v>80</v>
      </c>
      <c r="D2050">
        <v>79.680351256999998</v>
      </c>
      <c r="E2050">
        <v>50</v>
      </c>
      <c r="F2050">
        <v>49.585517883000001</v>
      </c>
      <c r="G2050">
        <v>1303.5819091999999</v>
      </c>
      <c r="H2050">
        <v>1291.1848144999999</v>
      </c>
      <c r="I2050">
        <v>1396.6900635</v>
      </c>
      <c r="J2050">
        <v>1376.3972168</v>
      </c>
      <c r="K2050">
        <v>0</v>
      </c>
      <c r="L2050">
        <v>2400</v>
      </c>
      <c r="M2050">
        <v>2400</v>
      </c>
      <c r="N2050">
        <v>0</v>
      </c>
    </row>
    <row r="2051" spans="1:14" x14ac:dyDescent="0.25">
      <c r="A2051">
        <v>1647.410093</v>
      </c>
      <c r="B2051" s="1">
        <f>DATE(2014,11,3) + TIME(9,50,32)</f>
        <v>41946.410092592596</v>
      </c>
      <c r="C2051">
        <v>80</v>
      </c>
      <c r="D2051">
        <v>79.653182982999994</v>
      </c>
      <c r="E2051">
        <v>50</v>
      </c>
      <c r="F2051">
        <v>49.678531647</v>
      </c>
      <c r="G2051">
        <v>1303.5725098</v>
      </c>
      <c r="H2051">
        <v>1291.1741943</v>
      </c>
      <c r="I2051">
        <v>1396.5710449000001</v>
      </c>
      <c r="J2051">
        <v>1376.3216553</v>
      </c>
      <c r="K2051">
        <v>0</v>
      </c>
      <c r="L2051">
        <v>2400</v>
      </c>
      <c r="M2051">
        <v>2400</v>
      </c>
      <c r="N2051">
        <v>0</v>
      </c>
    </row>
    <row r="2052" spans="1:14" x14ac:dyDescent="0.25">
      <c r="A2052">
        <v>1647.673108</v>
      </c>
      <c r="B2052" s="1">
        <f>DATE(2014,11,3) + TIME(16,9,16)</f>
        <v>41946.673101851855</v>
      </c>
      <c r="C2052">
        <v>80</v>
      </c>
      <c r="D2052">
        <v>79.625045775999993</v>
      </c>
      <c r="E2052">
        <v>50</v>
      </c>
      <c r="F2052">
        <v>49.751728057999998</v>
      </c>
      <c r="G2052">
        <v>1303.5627440999999</v>
      </c>
      <c r="H2052">
        <v>1291.1632079999999</v>
      </c>
      <c r="I2052">
        <v>1396.4658202999999</v>
      </c>
      <c r="J2052">
        <v>1376.2526855000001</v>
      </c>
      <c r="K2052">
        <v>0</v>
      </c>
      <c r="L2052">
        <v>2400</v>
      </c>
      <c r="M2052">
        <v>2400</v>
      </c>
      <c r="N2052">
        <v>0</v>
      </c>
    </row>
    <row r="2053" spans="1:14" x14ac:dyDescent="0.25">
      <c r="A2053">
        <v>1647.951487</v>
      </c>
      <c r="B2053" s="1">
        <f>DATE(2014,11,3) + TIME(22,50,8)</f>
        <v>41946.951481481483</v>
      </c>
      <c r="C2053">
        <v>80</v>
      </c>
      <c r="D2053">
        <v>79.595664978000002</v>
      </c>
      <c r="E2053">
        <v>50</v>
      </c>
      <c r="F2053">
        <v>49.809177398999999</v>
      </c>
      <c r="G2053">
        <v>1303.5526123</v>
      </c>
      <c r="H2053">
        <v>1291.1518555</v>
      </c>
      <c r="I2053">
        <v>1396.3712158000001</v>
      </c>
      <c r="J2053">
        <v>1376.1888428</v>
      </c>
      <c r="K2053">
        <v>0</v>
      </c>
      <c r="L2053">
        <v>2400</v>
      </c>
      <c r="M2053">
        <v>2400</v>
      </c>
      <c r="N2053">
        <v>0</v>
      </c>
    </row>
    <row r="2054" spans="1:14" x14ac:dyDescent="0.25">
      <c r="A2054">
        <v>1648.2494409999999</v>
      </c>
      <c r="B2054" s="1">
        <f>DATE(2014,11,4) + TIME(5,59,11)</f>
        <v>41947.249432870369</v>
      </c>
      <c r="C2054">
        <v>80</v>
      </c>
      <c r="D2054">
        <v>79.564704895000006</v>
      </c>
      <c r="E2054">
        <v>50</v>
      </c>
      <c r="F2054">
        <v>49.853992462000001</v>
      </c>
      <c r="G2054">
        <v>1303.5419922000001</v>
      </c>
      <c r="H2054">
        <v>1291.1397704999999</v>
      </c>
      <c r="I2054">
        <v>1396.2849120999999</v>
      </c>
      <c r="J2054">
        <v>1376.1287841999999</v>
      </c>
      <c r="K2054">
        <v>0</v>
      </c>
      <c r="L2054">
        <v>2400</v>
      </c>
      <c r="M2054">
        <v>2400</v>
      </c>
      <c r="N2054">
        <v>0</v>
      </c>
    </row>
    <row r="2055" spans="1:14" x14ac:dyDescent="0.25">
      <c r="A2055">
        <v>1648.571355</v>
      </c>
      <c r="B2055" s="1">
        <f>DATE(2014,11,4) + TIME(13,42,45)</f>
        <v>41947.57135416667</v>
      </c>
      <c r="C2055">
        <v>80</v>
      </c>
      <c r="D2055">
        <v>79.531822204999997</v>
      </c>
      <c r="E2055">
        <v>50</v>
      </c>
      <c r="F2055">
        <v>49.888565063000001</v>
      </c>
      <c r="G2055">
        <v>1303.5306396000001</v>
      </c>
      <c r="H2055">
        <v>1291.1269531</v>
      </c>
      <c r="I2055">
        <v>1396.2049560999999</v>
      </c>
      <c r="J2055">
        <v>1376.0715332</v>
      </c>
      <c r="K2055">
        <v>0</v>
      </c>
      <c r="L2055">
        <v>2400</v>
      </c>
      <c r="M2055">
        <v>2400</v>
      </c>
      <c r="N2055">
        <v>0</v>
      </c>
    </row>
    <row r="2056" spans="1:14" x14ac:dyDescent="0.25">
      <c r="A2056">
        <v>1648.9169529999999</v>
      </c>
      <c r="B2056" s="1">
        <f>DATE(2014,11,4) + TIME(22,0,24)</f>
        <v>41947.916944444441</v>
      </c>
      <c r="C2056">
        <v>80</v>
      </c>
      <c r="D2056">
        <v>79.497009277000004</v>
      </c>
      <c r="E2056">
        <v>50</v>
      </c>
      <c r="F2056">
        <v>49.914550781000003</v>
      </c>
      <c r="G2056">
        <v>1303.5184326000001</v>
      </c>
      <c r="H2056">
        <v>1291.1132812000001</v>
      </c>
      <c r="I2056">
        <v>1396.1300048999999</v>
      </c>
      <c r="J2056">
        <v>1376.0163574000001</v>
      </c>
      <c r="K2056">
        <v>0</v>
      </c>
      <c r="L2056">
        <v>2400</v>
      </c>
      <c r="M2056">
        <v>2400</v>
      </c>
      <c r="N2056">
        <v>0</v>
      </c>
    </row>
    <row r="2057" spans="1:14" x14ac:dyDescent="0.25">
      <c r="A2057">
        <v>1649.2925640000001</v>
      </c>
      <c r="B2057" s="1">
        <f>DATE(2014,11,5) + TIME(7,1,17)</f>
        <v>41948.292557870373</v>
      </c>
      <c r="C2057">
        <v>80</v>
      </c>
      <c r="D2057">
        <v>79.459815978999998</v>
      </c>
      <c r="E2057">
        <v>50</v>
      </c>
      <c r="F2057">
        <v>49.933860779</v>
      </c>
      <c r="G2057">
        <v>1303.5053711</v>
      </c>
      <c r="H2057">
        <v>1291.0985106999999</v>
      </c>
      <c r="I2057">
        <v>1396.0592041</v>
      </c>
      <c r="J2057">
        <v>1375.9631348</v>
      </c>
      <c r="K2057">
        <v>0</v>
      </c>
      <c r="L2057">
        <v>2400</v>
      </c>
      <c r="M2057">
        <v>2400</v>
      </c>
      <c r="N2057">
        <v>0</v>
      </c>
    </row>
    <row r="2058" spans="1:14" x14ac:dyDescent="0.25">
      <c r="A2058">
        <v>1649.7055909999999</v>
      </c>
      <c r="B2058" s="1">
        <f>DATE(2014,11,5) + TIME(16,56,3)</f>
        <v>41948.705590277779</v>
      </c>
      <c r="C2058">
        <v>80</v>
      </c>
      <c r="D2058">
        <v>79.419692992999998</v>
      </c>
      <c r="E2058">
        <v>50</v>
      </c>
      <c r="F2058">
        <v>49.947967529000003</v>
      </c>
      <c r="G2058">
        <v>1303.4913329999999</v>
      </c>
      <c r="H2058">
        <v>1291.0825195</v>
      </c>
      <c r="I2058">
        <v>1395.9910889</v>
      </c>
      <c r="J2058">
        <v>1375.9108887</v>
      </c>
      <c r="K2058">
        <v>0</v>
      </c>
      <c r="L2058">
        <v>2400</v>
      </c>
      <c r="M2058">
        <v>2400</v>
      </c>
      <c r="N2058">
        <v>0</v>
      </c>
    </row>
    <row r="2059" spans="1:14" x14ac:dyDescent="0.25">
      <c r="A2059">
        <v>1650.1660119999999</v>
      </c>
      <c r="B2059" s="1">
        <f>DATE(2014,11,6) + TIME(3,59,3)</f>
        <v>41949.166006944448</v>
      </c>
      <c r="C2059">
        <v>80</v>
      </c>
      <c r="D2059">
        <v>79.375953674000002</v>
      </c>
      <c r="E2059">
        <v>50</v>
      </c>
      <c r="F2059">
        <v>49.958068848000003</v>
      </c>
      <c r="G2059">
        <v>1303.4759521000001</v>
      </c>
      <c r="H2059">
        <v>1291.0650635</v>
      </c>
      <c r="I2059">
        <v>1395.9241943</v>
      </c>
      <c r="J2059">
        <v>1375.8587646000001</v>
      </c>
      <c r="K2059">
        <v>0</v>
      </c>
      <c r="L2059">
        <v>2400</v>
      </c>
      <c r="M2059">
        <v>2400</v>
      </c>
      <c r="N2059">
        <v>0</v>
      </c>
    </row>
    <row r="2060" spans="1:14" x14ac:dyDescent="0.25">
      <c r="A2060">
        <v>1650.67428</v>
      </c>
      <c r="B2060" s="1">
        <f>DATE(2014,11,6) + TIME(16,10,57)</f>
        <v>41949.674270833333</v>
      </c>
      <c r="C2060">
        <v>80</v>
      </c>
      <c r="D2060">
        <v>79.328422545999999</v>
      </c>
      <c r="E2060">
        <v>50</v>
      </c>
      <c r="F2060">
        <v>49.965003967000001</v>
      </c>
      <c r="G2060">
        <v>1303.4587402</v>
      </c>
      <c r="H2060">
        <v>1291.0456543</v>
      </c>
      <c r="I2060">
        <v>1395.8575439000001</v>
      </c>
      <c r="J2060">
        <v>1375.8061522999999</v>
      </c>
      <c r="K2060">
        <v>0</v>
      </c>
      <c r="L2060">
        <v>2400</v>
      </c>
      <c r="M2060">
        <v>2400</v>
      </c>
      <c r="N2060">
        <v>0</v>
      </c>
    </row>
    <row r="2061" spans="1:14" x14ac:dyDescent="0.25">
      <c r="A2061">
        <v>1651.185176</v>
      </c>
      <c r="B2061" s="1">
        <f>DATE(2014,11,7) + TIME(4,26,39)</f>
        <v>41950.185173611113</v>
      </c>
      <c r="C2061">
        <v>80</v>
      </c>
      <c r="D2061">
        <v>79.279579162999994</v>
      </c>
      <c r="E2061">
        <v>50</v>
      </c>
      <c r="F2061">
        <v>49.969360352000002</v>
      </c>
      <c r="G2061">
        <v>1303.4396973</v>
      </c>
      <c r="H2061">
        <v>1291.0244141000001</v>
      </c>
      <c r="I2061">
        <v>1395.7913818</v>
      </c>
      <c r="J2061">
        <v>1375.753418</v>
      </c>
      <c r="K2061">
        <v>0</v>
      </c>
      <c r="L2061">
        <v>2400</v>
      </c>
      <c r="M2061">
        <v>2400</v>
      </c>
      <c r="N2061">
        <v>0</v>
      </c>
    </row>
    <row r="2062" spans="1:14" x14ac:dyDescent="0.25">
      <c r="A2062">
        <v>1651.7062229999999</v>
      </c>
      <c r="B2062" s="1">
        <f>DATE(2014,11,7) + TIME(16,56,57)</f>
        <v>41950.70621527778</v>
      </c>
      <c r="C2062">
        <v>80</v>
      </c>
      <c r="D2062">
        <v>79.229591369999994</v>
      </c>
      <c r="E2062">
        <v>50</v>
      </c>
      <c r="F2062">
        <v>49.972137451000002</v>
      </c>
      <c r="G2062">
        <v>1303.4205322</v>
      </c>
      <c r="H2062">
        <v>1291.0029297000001</v>
      </c>
      <c r="I2062">
        <v>1395.7307129000001</v>
      </c>
      <c r="J2062">
        <v>1375.7049560999999</v>
      </c>
      <c r="K2062">
        <v>0</v>
      </c>
      <c r="L2062">
        <v>2400</v>
      </c>
      <c r="M2062">
        <v>2400</v>
      </c>
      <c r="N2062">
        <v>0</v>
      </c>
    </row>
    <row r="2063" spans="1:14" x14ac:dyDescent="0.25">
      <c r="A2063">
        <v>1652.244651</v>
      </c>
      <c r="B2063" s="1">
        <f>DATE(2014,11,8) + TIME(5,52,17)</f>
        <v>41951.244641203702</v>
      </c>
      <c r="C2063">
        <v>80</v>
      </c>
      <c r="D2063">
        <v>79.178298949999999</v>
      </c>
      <c r="E2063">
        <v>50</v>
      </c>
      <c r="F2063">
        <v>49.973930359000001</v>
      </c>
      <c r="G2063">
        <v>1303.4011230000001</v>
      </c>
      <c r="H2063">
        <v>1290.9810791</v>
      </c>
      <c r="I2063">
        <v>1395.6738281</v>
      </c>
      <c r="J2063">
        <v>1375.6594238</v>
      </c>
      <c r="K2063">
        <v>0</v>
      </c>
      <c r="L2063">
        <v>2400</v>
      </c>
      <c r="M2063">
        <v>2400</v>
      </c>
      <c r="N2063">
        <v>0</v>
      </c>
    </row>
    <row r="2064" spans="1:14" x14ac:dyDescent="0.25">
      <c r="A2064">
        <v>1652.8075759999999</v>
      </c>
      <c r="B2064" s="1">
        <f>DATE(2014,11,8) + TIME(19,22,54)</f>
        <v>41951.807569444441</v>
      </c>
      <c r="C2064">
        <v>80</v>
      </c>
      <c r="D2064">
        <v>79.125366210999999</v>
      </c>
      <c r="E2064">
        <v>50</v>
      </c>
      <c r="F2064">
        <v>49.975090027</v>
      </c>
      <c r="G2064">
        <v>1303.3812256000001</v>
      </c>
      <c r="H2064">
        <v>1290.9584961</v>
      </c>
      <c r="I2064">
        <v>1395.6193848</v>
      </c>
      <c r="J2064">
        <v>1375.6159668</v>
      </c>
      <c r="K2064">
        <v>0</v>
      </c>
      <c r="L2064">
        <v>2400</v>
      </c>
      <c r="M2064">
        <v>2400</v>
      </c>
      <c r="N2064">
        <v>0</v>
      </c>
    </row>
    <row r="2065" spans="1:14" x14ac:dyDescent="0.25">
      <c r="A2065">
        <v>1653.4026859999999</v>
      </c>
      <c r="B2065" s="1">
        <f>DATE(2014,11,9) + TIME(9,39,52)</f>
        <v>41952.402685185189</v>
      </c>
      <c r="C2065">
        <v>80</v>
      </c>
      <c r="D2065">
        <v>79.070350646999998</v>
      </c>
      <c r="E2065">
        <v>50</v>
      </c>
      <c r="F2065">
        <v>49.975852965999998</v>
      </c>
      <c r="G2065">
        <v>1303.3603516000001</v>
      </c>
      <c r="H2065">
        <v>1290.9348144999999</v>
      </c>
      <c r="I2065">
        <v>1395.5665283000001</v>
      </c>
      <c r="J2065">
        <v>1375.5737305</v>
      </c>
      <c r="K2065">
        <v>0</v>
      </c>
      <c r="L2065">
        <v>2400</v>
      </c>
      <c r="M2065">
        <v>2400</v>
      </c>
      <c r="N2065">
        <v>0</v>
      </c>
    </row>
    <row r="2066" spans="1:14" x14ac:dyDescent="0.25">
      <c r="A2066">
        <v>1654.0392139999999</v>
      </c>
      <c r="B2066" s="1">
        <f>DATE(2014,11,10) + TIME(0,56,28)</f>
        <v>41953.039212962962</v>
      </c>
      <c r="C2066">
        <v>80</v>
      </c>
      <c r="D2066">
        <v>79.012649535999998</v>
      </c>
      <c r="E2066">
        <v>50</v>
      </c>
      <c r="F2066">
        <v>49.976352691999999</v>
      </c>
      <c r="G2066">
        <v>1303.3382568</v>
      </c>
      <c r="H2066">
        <v>1290.9097899999999</v>
      </c>
      <c r="I2066">
        <v>1395.5144043</v>
      </c>
      <c r="J2066">
        <v>1375.5322266000001</v>
      </c>
      <c r="K2066">
        <v>0</v>
      </c>
      <c r="L2066">
        <v>2400</v>
      </c>
      <c r="M2066">
        <v>2400</v>
      </c>
      <c r="N2066">
        <v>0</v>
      </c>
    </row>
    <row r="2067" spans="1:14" x14ac:dyDescent="0.25">
      <c r="A2067">
        <v>1654.728654</v>
      </c>
      <c r="B2067" s="1">
        <f>DATE(2014,11,10) + TIME(17,29,15)</f>
        <v>41953.728645833333</v>
      </c>
      <c r="C2067">
        <v>80</v>
      </c>
      <c r="D2067">
        <v>78.951507567999997</v>
      </c>
      <c r="E2067">
        <v>50</v>
      </c>
      <c r="F2067">
        <v>49.976688385000003</v>
      </c>
      <c r="G2067">
        <v>1303.3148193</v>
      </c>
      <c r="H2067">
        <v>1290.8830565999999</v>
      </c>
      <c r="I2067">
        <v>1395.4624022999999</v>
      </c>
      <c r="J2067">
        <v>1375.4908447</v>
      </c>
      <c r="K2067">
        <v>0</v>
      </c>
      <c r="L2067">
        <v>2400</v>
      </c>
      <c r="M2067">
        <v>2400</v>
      </c>
      <c r="N2067">
        <v>0</v>
      </c>
    </row>
    <row r="2068" spans="1:14" x14ac:dyDescent="0.25">
      <c r="A2068">
        <v>1655.4772989999999</v>
      </c>
      <c r="B2068" s="1">
        <f>DATE(2014,11,11) + TIME(11,27,18)</f>
        <v>41954.47729166667</v>
      </c>
      <c r="C2068">
        <v>80</v>
      </c>
      <c r="D2068">
        <v>78.886367797999995</v>
      </c>
      <c r="E2068">
        <v>50</v>
      </c>
      <c r="F2068">
        <v>49.976909636999999</v>
      </c>
      <c r="G2068">
        <v>1303.2893065999999</v>
      </c>
      <c r="H2068">
        <v>1290.854126</v>
      </c>
      <c r="I2068">
        <v>1395.4097899999999</v>
      </c>
      <c r="J2068">
        <v>1375.4489745999999</v>
      </c>
      <c r="K2068">
        <v>0</v>
      </c>
      <c r="L2068">
        <v>2400</v>
      </c>
      <c r="M2068">
        <v>2400</v>
      </c>
      <c r="N2068">
        <v>0</v>
      </c>
    </row>
    <row r="2069" spans="1:14" x14ac:dyDescent="0.25">
      <c r="A2069">
        <v>1656.275026</v>
      </c>
      <c r="B2069" s="1">
        <f>DATE(2014,11,12) + TIME(6,36,2)</f>
        <v>41955.275023148148</v>
      </c>
      <c r="C2069">
        <v>80</v>
      </c>
      <c r="D2069">
        <v>78.817420959000003</v>
      </c>
      <c r="E2069">
        <v>50</v>
      </c>
      <c r="F2069">
        <v>49.977058411000002</v>
      </c>
      <c r="G2069">
        <v>1303.2614745999999</v>
      </c>
      <c r="H2069">
        <v>1290.8226318</v>
      </c>
      <c r="I2069">
        <v>1395.3564452999999</v>
      </c>
      <c r="J2069">
        <v>1375.4067382999999</v>
      </c>
      <c r="K2069">
        <v>0</v>
      </c>
      <c r="L2069">
        <v>2400</v>
      </c>
      <c r="M2069">
        <v>2400</v>
      </c>
      <c r="N2069">
        <v>0</v>
      </c>
    </row>
    <row r="2070" spans="1:14" x14ac:dyDescent="0.25">
      <c r="A2070">
        <v>1657.099629</v>
      </c>
      <c r="B2070" s="1">
        <f>DATE(2014,11,13) + TIME(2,23,27)</f>
        <v>41956.099618055552</v>
      </c>
      <c r="C2070">
        <v>80</v>
      </c>
      <c r="D2070">
        <v>78.745742797999995</v>
      </c>
      <c r="E2070">
        <v>50</v>
      </c>
      <c r="F2070">
        <v>49.977153778000002</v>
      </c>
      <c r="G2070">
        <v>1303.2318115</v>
      </c>
      <c r="H2070">
        <v>1290.7889404</v>
      </c>
      <c r="I2070">
        <v>1395.3033447</v>
      </c>
      <c r="J2070">
        <v>1375.3648682</v>
      </c>
      <c r="K2070">
        <v>0</v>
      </c>
      <c r="L2070">
        <v>2400</v>
      </c>
      <c r="M2070">
        <v>2400</v>
      </c>
      <c r="N2070">
        <v>0</v>
      </c>
    </row>
    <row r="2071" spans="1:14" x14ac:dyDescent="0.25">
      <c r="A2071">
        <v>1657.9363229999999</v>
      </c>
      <c r="B2071" s="1">
        <f>DATE(2014,11,13) + TIME(22,28,18)</f>
        <v>41956.936319444445</v>
      </c>
      <c r="C2071">
        <v>80</v>
      </c>
      <c r="D2071">
        <v>78.672569275000001</v>
      </c>
      <c r="E2071">
        <v>50</v>
      </c>
      <c r="F2071">
        <v>49.977214813000003</v>
      </c>
      <c r="G2071">
        <v>1303.2009277</v>
      </c>
      <c r="H2071">
        <v>1290.7540283000001</v>
      </c>
      <c r="I2071">
        <v>1395.2519531</v>
      </c>
      <c r="J2071">
        <v>1375.3244629000001</v>
      </c>
      <c r="K2071">
        <v>0</v>
      </c>
      <c r="L2071">
        <v>2400</v>
      </c>
      <c r="M2071">
        <v>2400</v>
      </c>
      <c r="N2071">
        <v>0</v>
      </c>
    </row>
    <row r="2072" spans="1:14" x14ac:dyDescent="0.25">
      <c r="A2072">
        <v>1658.7946939999999</v>
      </c>
      <c r="B2072" s="1">
        <f>DATE(2014,11,14) + TIME(19,4,21)</f>
        <v>41957.794687499998</v>
      </c>
      <c r="C2072">
        <v>80</v>
      </c>
      <c r="D2072">
        <v>78.598121642999999</v>
      </c>
      <c r="E2072">
        <v>50</v>
      </c>
      <c r="F2072">
        <v>49.97726059</v>
      </c>
      <c r="G2072">
        <v>1303.1695557</v>
      </c>
      <c r="H2072">
        <v>1290.7182617000001</v>
      </c>
      <c r="I2072">
        <v>1395.2032471</v>
      </c>
      <c r="J2072">
        <v>1375.2861327999999</v>
      </c>
      <c r="K2072">
        <v>0</v>
      </c>
      <c r="L2072">
        <v>2400</v>
      </c>
      <c r="M2072">
        <v>2400</v>
      </c>
      <c r="N2072">
        <v>0</v>
      </c>
    </row>
    <row r="2073" spans="1:14" x14ac:dyDescent="0.25">
      <c r="A2073">
        <v>1659.6859549999999</v>
      </c>
      <c r="B2073" s="1">
        <f>DATE(2014,11,15) + TIME(16,27,46)</f>
        <v>41958.685949074075</v>
      </c>
      <c r="C2073">
        <v>80</v>
      </c>
      <c r="D2073">
        <v>78.522071838000002</v>
      </c>
      <c r="E2073">
        <v>50</v>
      </c>
      <c r="F2073">
        <v>49.977291106999999</v>
      </c>
      <c r="G2073">
        <v>1303.1373291</v>
      </c>
      <c r="H2073">
        <v>1290.6813964999999</v>
      </c>
      <c r="I2073">
        <v>1395.1561279</v>
      </c>
      <c r="J2073">
        <v>1375.2492675999999</v>
      </c>
      <c r="K2073">
        <v>0</v>
      </c>
      <c r="L2073">
        <v>2400</v>
      </c>
      <c r="M2073">
        <v>2400</v>
      </c>
      <c r="N2073">
        <v>0</v>
      </c>
    </row>
    <row r="2074" spans="1:14" x14ac:dyDescent="0.25">
      <c r="A2074">
        <v>1660.622069</v>
      </c>
      <c r="B2074" s="1">
        <f>DATE(2014,11,16) + TIME(14,55,46)</f>
        <v>41959.622060185182</v>
      </c>
      <c r="C2074">
        <v>80</v>
      </c>
      <c r="D2074">
        <v>78.443786621000001</v>
      </c>
      <c r="E2074">
        <v>50</v>
      </c>
      <c r="F2074">
        <v>49.977310181</v>
      </c>
      <c r="G2074">
        <v>1303.1037598</v>
      </c>
      <c r="H2074">
        <v>1290.6428223</v>
      </c>
      <c r="I2074">
        <v>1395.1101074000001</v>
      </c>
      <c r="J2074">
        <v>1375.2131348</v>
      </c>
      <c r="K2074">
        <v>0</v>
      </c>
      <c r="L2074">
        <v>2400</v>
      </c>
      <c r="M2074">
        <v>2400</v>
      </c>
      <c r="N2074">
        <v>0</v>
      </c>
    </row>
    <row r="2075" spans="1:14" x14ac:dyDescent="0.25">
      <c r="A2075">
        <v>1661.6170119999999</v>
      </c>
      <c r="B2075" s="1">
        <f>DATE(2014,11,17) + TIME(14,48,29)</f>
        <v>41960.617002314815</v>
      </c>
      <c r="C2075">
        <v>80</v>
      </c>
      <c r="D2075">
        <v>78.362449646000002</v>
      </c>
      <c r="E2075">
        <v>50</v>
      </c>
      <c r="F2075">
        <v>49.977329253999997</v>
      </c>
      <c r="G2075">
        <v>1303.0682373</v>
      </c>
      <c r="H2075">
        <v>1290.6020507999999</v>
      </c>
      <c r="I2075">
        <v>1395.0644531</v>
      </c>
      <c r="J2075">
        <v>1375.1774902</v>
      </c>
      <c r="K2075">
        <v>0</v>
      </c>
      <c r="L2075">
        <v>2400</v>
      </c>
      <c r="M2075">
        <v>2400</v>
      </c>
      <c r="N2075">
        <v>0</v>
      </c>
    </row>
    <row r="2076" spans="1:14" x14ac:dyDescent="0.25">
      <c r="A2076">
        <v>1662.688171</v>
      </c>
      <c r="B2076" s="1">
        <f>DATE(2014,11,18) + TIME(16,30,57)</f>
        <v>41961.688159722224</v>
      </c>
      <c r="C2076">
        <v>80</v>
      </c>
      <c r="D2076">
        <v>78.277008057000003</v>
      </c>
      <c r="E2076">
        <v>50</v>
      </c>
      <c r="F2076">
        <v>49.977344512999998</v>
      </c>
      <c r="G2076">
        <v>1303.0302733999999</v>
      </c>
      <c r="H2076">
        <v>1290.5584716999999</v>
      </c>
      <c r="I2076">
        <v>1395.0186768000001</v>
      </c>
      <c r="J2076">
        <v>1375.1418457</v>
      </c>
      <c r="K2076">
        <v>0</v>
      </c>
      <c r="L2076">
        <v>2400</v>
      </c>
      <c r="M2076">
        <v>2400</v>
      </c>
      <c r="N2076">
        <v>0</v>
      </c>
    </row>
    <row r="2077" spans="1:14" x14ac:dyDescent="0.25">
      <c r="A2077">
        <v>1663.8470199999999</v>
      </c>
      <c r="B2077" s="1">
        <f>DATE(2014,11,19) + TIME(20,19,42)</f>
        <v>41962.847013888888</v>
      </c>
      <c r="C2077">
        <v>80</v>
      </c>
      <c r="D2077">
        <v>78.186538696</v>
      </c>
      <c r="E2077">
        <v>50</v>
      </c>
      <c r="F2077">
        <v>49.977355957</v>
      </c>
      <c r="G2077">
        <v>1302.9892577999999</v>
      </c>
      <c r="H2077">
        <v>1290.5109863</v>
      </c>
      <c r="I2077">
        <v>1394.9720459</v>
      </c>
      <c r="J2077">
        <v>1375.1054687999999</v>
      </c>
      <c r="K2077">
        <v>0</v>
      </c>
      <c r="L2077">
        <v>2400</v>
      </c>
      <c r="M2077">
        <v>2400</v>
      </c>
      <c r="N2077">
        <v>0</v>
      </c>
    </row>
    <row r="2078" spans="1:14" x14ac:dyDescent="0.25">
      <c r="A2078">
        <v>1665.0165569999999</v>
      </c>
      <c r="B2078" s="1">
        <f>DATE(2014,11,21) + TIME(0,23,50)</f>
        <v>41964.016550925924</v>
      </c>
      <c r="C2078">
        <v>80</v>
      </c>
      <c r="D2078">
        <v>78.093040466000005</v>
      </c>
      <c r="E2078">
        <v>50</v>
      </c>
      <c r="F2078">
        <v>49.977367401000002</v>
      </c>
      <c r="G2078">
        <v>1302.9442139</v>
      </c>
      <c r="H2078">
        <v>1290.4592285000001</v>
      </c>
      <c r="I2078">
        <v>1394.9243164</v>
      </c>
      <c r="J2078">
        <v>1375.0684814000001</v>
      </c>
      <c r="K2078">
        <v>0</v>
      </c>
      <c r="L2078">
        <v>2400</v>
      </c>
      <c r="M2078">
        <v>2400</v>
      </c>
      <c r="N2078">
        <v>0</v>
      </c>
    </row>
    <row r="2079" spans="1:14" x14ac:dyDescent="0.25">
      <c r="A2079">
        <v>1666.2031549999999</v>
      </c>
      <c r="B2079" s="1">
        <f>DATE(2014,11,22) + TIME(4,52,32)</f>
        <v>41965.203148148146</v>
      </c>
      <c r="C2079">
        <v>80</v>
      </c>
      <c r="D2079">
        <v>77.998298645000006</v>
      </c>
      <c r="E2079">
        <v>50</v>
      </c>
      <c r="F2079">
        <v>49.977375031000001</v>
      </c>
      <c r="G2079">
        <v>1302.8984375</v>
      </c>
      <c r="H2079">
        <v>1290.40625</v>
      </c>
      <c r="I2079">
        <v>1394.8789062000001</v>
      </c>
      <c r="J2079">
        <v>1375.0332031</v>
      </c>
      <c r="K2079">
        <v>0</v>
      </c>
      <c r="L2079">
        <v>2400</v>
      </c>
      <c r="M2079">
        <v>2400</v>
      </c>
      <c r="N2079">
        <v>0</v>
      </c>
    </row>
    <row r="2080" spans="1:14" x14ac:dyDescent="0.25">
      <c r="A2080">
        <v>1667.422703</v>
      </c>
      <c r="B2080" s="1">
        <f>DATE(2014,11,23) + TIME(10,8,41)</f>
        <v>41966.422696759262</v>
      </c>
      <c r="C2080">
        <v>80</v>
      </c>
      <c r="D2080">
        <v>77.902473450000002</v>
      </c>
      <c r="E2080">
        <v>50</v>
      </c>
      <c r="F2080">
        <v>49.977386475000003</v>
      </c>
      <c r="G2080">
        <v>1302.8514404</v>
      </c>
      <c r="H2080">
        <v>1290.3515625</v>
      </c>
      <c r="I2080">
        <v>1394.8352050999999</v>
      </c>
      <c r="J2080">
        <v>1374.9993896000001</v>
      </c>
      <c r="K2080">
        <v>0</v>
      </c>
      <c r="L2080">
        <v>2400</v>
      </c>
      <c r="M2080">
        <v>2400</v>
      </c>
      <c r="N2080">
        <v>0</v>
      </c>
    </row>
    <row r="2081" spans="1:14" x14ac:dyDescent="0.25">
      <c r="A2081">
        <v>1668.691403</v>
      </c>
      <c r="B2081" s="1">
        <f>DATE(2014,11,24) + TIME(16,35,37)</f>
        <v>41967.691400462965</v>
      </c>
      <c r="C2081">
        <v>80</v>
      </c>
      <c r="D2081">
        <v>77.804931640999996</v>
      </c>
      <c r="E2081">
        <v>50</v>
      </c>
      <c r="F2081">
        <v>49.977394103999998</v>
      </c>
      <c r="G2081">
        <v>1302.8026123</v>
      </c>
      <c r="H2081">
        <v>1290.2945557</v>
      </c>
      <c r="I2081">
        <v>1394.7926024999999</v>
      </c>
      <c r="J2081">
        <v>1374.9664307</v>
      </c>
      <c r="K2081">
        <v>0</v>
      </c>
      <c r="L2081">
        <v>2400</v>
      </c>
      <c r="M2081">
        <v>2400</v>
      </c>
      <c r="N2081">
        <v>0</v>
      </c>
    </row>
    <row r="2082" spans="1:14" x14ac:dyDescent="0.25">
      <c r="A2082">
        <v>1670.0270310000001</v>
      </c>
      <c r="B2082" s="1">
        <f>DATE(2014,11,26) + TIME(0,38,55)</f>
        <v>41969.027025462965</v>
      </c>
      <c r="C2082">
        <v>80</v>
      </c>
      <c r="D2082">
        <v>77.704704285000005</v>
      </c>
      <c r="E2082">
        <v>50</v>
      </c>
      <c r="F2082">
        <v>49.977405548</v>
      </c>
      <c r="G2082">
        <v>1302.7513428</v>
      </c>
      <c r="H2082">
        <v>1290.2342529</v>
      </c>
      <c r="I2082">
        <v>1394.7506103999999</v>
      </c>
      <c r="J2082">
        <v>1374.9338379000001</v>
      </c>
      <c r="K2082">
        <v>0</v>
      </c>
      <c r="L2082">
        <v>2400</v>
      </c>
      <c r="M2082">
        <v>2400</v>
      </c>
      <c r="N2082">
        <v>0</v>
      </c>
    </row>
    <row r="2083" spans="1:14" x14ac:dyDescent="0.25">
      <c r="A2083">
        <v>1671.451206</v>
      </c>
      <c r="B2083" s="1">
        <f>DATE(2014,11,27) + TIME(10,49,44)</f>
        <v>41970.451203703706</v>
      </c>
      <c r="C2083">
        <v>80</v>
      </c>
      <c r="D2083">
        <v>77.600593567000004</v>
      </c>
      <c r="E2083">
        <v>50</v>
      </c>
      <c r="F2083">
        <v>49.977416992000002</v>
      </c>
      <c r="G2083">
        <v>1302.6966553</v>
      </c>
      <c r="H2083">
        <v>1290.1697998</v>
      </c>
      <c r="I2083">
        <v>1394.708374</v>
      </c>
      <c r="J2083">
        <v>1374.9012451000001</v>
      </c>
      <c r="K2083">
        <v>0</v>
      </c>
      <c r="L2083">
        <v>2400</v>
      </c>
      <c r="M2083">
        <v>2400</v>
      </c>
      <c r="N2083">
        <v>0</v>
      </c>
    </row>
    <row r="2084" spans="1:14" x14ac:dyDescent="0.25">
      <c r="A2084">
        <v>1672.972694</v>
      </c>
      <c r="B2084" s="1">
        <f>DATE(2014,11,28) + TIME(23,20,40)</f>
        <v>41971.972685185188</v>
      </c>
      <c r="C2084">
        <v>80</v>
      </c>
      <c r="D2084">
        <v>77.491607665999993</v>
      </c>
      <c r="E2084">
        <v>50</v>
      </c>
      <c r="F2084">
        <v>49.977432251000003</v>
      </c>
      <c r="G2084">
        <v>1302.6374512</v>
      </c>
      <c r="H2084">
        <v>1290.0998535000001</v>
      </c>
      <c r="I2084">
        <v>1394.6656493999999</v>
      </c>
      <c r="J2084">
        <v>1374.8681641000001</v>
      </c>
      <c r="K2084">
        <v>0</v>
      </c>
      <c r="L2084">
        <v>2400</v>
      </c>
      <c r="M2084">
        <v>2400</v>
      </c>
      <c r="N2084">
        <v>0</v>
      </c>
    </row>
    <row r="2085" spans="1:14" x14ac:dyDescent="0.25">
      <c r="A2085">
        <v>1674.5395410000001</v>
      </c>
      <c r="B2085" s="1">
        <f>DATE(2014,11,30) + TIME(12,56,56)</f>
        <v>41973.539537037039</v>
      </c>
      <c r="C2085">
        <v>80</v>
      </c>
      <c r="D2085">
        <v>77.378585814999994</v>
      </c>
      <c r="E2085">
        <v>50</v>
      </c>
      <c r="F2085">
        <v>49.977443694999998</v>
      </c>
      <c r="G2085">
        <v>1302.5731201000001</v>
      </c>
      <c r="H2085">
        <v>1290.0235596</v>
      </c>
      <c r="I2085">
        <v>1394.6220702999999</v>
      </c>
      <c r="J2085">
        <v>1374.8344727000001</v>
      </c>
      <c r="K2085">
        <v>0</v>
      </c>
      <c r="L2085">
        <v>2400</v>
      </c>
      <c r="M2085">
        <v>2400</v>
      </c>
      <c r="N2085">
        <v>0</v>
      </c>
    </row>
    <row r="2086" spans="1:14" x14ac:dyDescent="0.25">
      <c r="A2086">
        <v>1675</v>
      </c>
      <c r="B2086" s="1">
        <f>DATE(2014,12,1) + TIME(0,0,0)</f>
        <v>41974</v>
      </c>
      <c r="C2086">
        <v>80</v>
      </c>
      <c r="D2086">
        <v>77.316551208000007</v>
      </c>
      <c r="E2086">
        <v>50</v>
      </c>
      <c r="F2086">
        <v>49.977443694999998</v>
      </c>
      <c r="G2086">
        <v>1302.5045166</v>
      </c>
      <c r="H2086">
        <v>1289.9481201000001</v>
      </c>
      <c r="I2086">
        <v>1394.5791016000001</v>
      </c>
      <c r="J2086">
        <v>1374.8011475000001</v>
      </c>
      <c r="K2086">
        <v>0</v>
      </c>
      <c r="L2086">
        <v>2400</v>
      </c>
      <c r="M2086">
        <v>2400</v>
      </c>
      <c r="N2086">
        <v>0</v>
      </c>
    </row>
    <row r="2087" spans="1:14" x14ac:dyDescent="0.25">
      <c r="A2087">
        <v>1676.5809750000001</v>
      </c>
      <c r="B2087" s="1">
        <f>DATE(2014,12,2) + TIME(13,56,36)</f>
        <v>41975.580972222226</v>
      </c>
      <c r="C2087">
        <v>80</v>
      </c>
      <c r="D2087">
        <v>77.220443725999999</v>
      </c>
      <c r="E2087">
        <v>50</v>
      </c>
      <c r="F2087">
        <v>49.977462768999999</v>
      </c>
      <c r="G2087">
        <v>1302.4847411999999</v>
      </c>
      <c r="H2087">
        <v>1289.9167480000001</v>
      </c>
      <c r="I2087">
        <v>1394.5673827999999</v>
      </c>
      <c r="J2087">
        <v>1374.7921143000001</v>
      </c>
      <c r="K2087">
        <v>0</v>
      </c>
      <c r="L2087">
        <v>2400</v>
      </c>
      <c r="M2087">
        <v>2400</v>
      </c>
      <c r="N2087">
        <v>0</v>
      </c>
    </row>
    <row r="2088" spans="1:14" x14ac:dyDescent="0.25">
      <c r="A2088">
        <v>1678.2123079999999</v>
      </c>
      <c r="B2088" s="1">
        <f>DATE(2014,12,4) + TIME(5,5,43)</f>
        <v>41977.21230324074</v>
      </c>
      <c r="C2088">
        <v>80</v>
      </c>
      <c r="D2088">
        <v>77.111518860000004</v>
      </c>
      <c r="E2088">
        <v>50</v>
      </c>
      <c r="F2088">
        <v>49.977478026999997</v>
      </c>
      <c r="G2088">
        <v>1302.4155272999999</v>
      </c>
      <c r="H2088">
        <v>1289.8344727000001</v>
      </c>
      <c r="I2088">
        <v>1394.5269774999999</v>
      </c>
      <c r="J2088">
        <v>1374.7608643000001</v>
      </c>
      <c r="K2088">
        <v>0</v>
      </c>
      <c r="L2088">
        <v>2400</v>
      </c>
      <c r="M2088">
        <v>2400</v>
      </c>
      <c r="N2088">
        <v>0</v>
      </c>
    </row>
    <row r="2089" spans="1:14" x14ac:dyDescent="0.25">
      <c r="A2089">
        <v>1679.9049419999999</v>
      </c>
      <c r="B2089" s="1">
        <f>DATE(2014,12,5) + TIME(21,43,6)</f>
        <v>41978.904930555553</v>
      </c>
      <c r="C2089">
        <v>80</v>
      </c>
      <c r="D2089">
        <v>76.996582031000003</v>
      </c>
      <c r="E2089">
        <v>50</v>
      </c>
      <c r="F2089">
        <v>49.977493285999998</v>
      </c>
      <c r="G2089">
        <v>1302.3422852000001</v>
      </c>
      <c r="H2089">
        <v>1289.7462158000001</v>
      </c>
      <c r="I2089">
        <v>1394.4870605000001</v>
      </c>
      <c r="J2089">
        <v>1374.7299805</v>
      </c>
      <c r="K2089">
        <v>0</v>
      </c>
      <c r="L2089">
        <v>2400</v>
      </c>
      <c r="M2089">
        <v>2400</v>
      </c>
      <c r="N2089">
        <v>0</v>
      </c>
    </row>
    <row r="2090" spans="1:14" x14ac:dyDescent="0.25">
      <c r="A2090">
        <v>1681.6620439999999</v>
      </c>
      <c r="B2090" s="1">
        <f>DATE(2014,12,7) + TIME(15,53,20)</f>
        <v>41980.662037037036</v>
      </c>
      <c r="C2090">
        <v>80</v>
      </c>
      <c r="D2090">
        <v>76.877807617000002</v>
      </c>
      <c r="E2090">
        <v>50</v>
      </c>
      <c r="F2090">
        <v>49.977508544999999</v>
      </c>
      <c r="G2090">
        <v>1302.2646483999999</v>
      </c>
      <c r="H2090">
        <v>1289.6520995999999</v>
      </c>
      <c r="I2090">
        <v>1394.4475098</v>
      </c>
      <c r="J2090">
        <v>1374.6993408000001</v>
      </c>
      <c r="K2090">
        <v>0</v>
      </c>
      <c r="L2090">
        <v>2400</v>
      </c>
      <c r="M2090">
        <v>2400</v>
      </c>
      <c r="N2090">
        <v>0</v>
      </c>
    </row>
    <row r="2091" spans="1:14" x14ac:dyDescent="0.25">
      <c r="A2091">
        <v>1683.4544249999999</v>
      </c>
      <c r="B2091" s="1">
        <f>DATE(2014,12,9) + TIME(10,54,22)</f>
        <v>41982.454421296294</v>
      </c>
      <c r="C2091">
        <v>80</v>
      </c>
      <c r="D2091">
        <v>76.756584167</v>
      </c>
      <c r="E2091">
        <v>50</v>
      </c>
      <c r="F2091">
        <v>49.977527618000003</v>
      </c>
      <c r="G2091">
        <v>1302.182251</v>
      </c>
      <c r="H2091">
        <v>1289.5516356999999</v>
      </c>
      <c r="I2091">
        <v>1394.4080810999999</v>
      </c>
      <c r="J2091">
        <v>1374.6688231999999</v>
      </c>
      <c r="K2091">
        <v>0</v>
      </c>
      <c r="L2091">
        <v>2400</v>
      </c>
      <c r="M2091">
        <v>2400</v>
      </c>
      <c r="N2091">
        <v>0</v>
      </c>
    </row>
    <row r="2092" spans="1:14" x14ac:dyDescent="0.25">
      <c r="A2092">
        <v>1685.283191</v>
      </c>
      <c r="B2092" s="1">
        <f>DATE(2014,12,11) + TIME(6,47,47)</f>
        <v>41984.283182870371</v>
      </c>
      <c r="C2092">
        <v>80</v>
      </c>
      <c r="D2092">
        <v>76.634117126000007</v>
      </c>
      <c r="E2092">
        <v>50</v>
      </c>
      <c r="F2092">
        <v>49.977542876999998</v>
      </c>
      <c r="G2092">
        <v>1302.0964355000001</v>
      </c>
      <c r="H2092">
        <v>1289.4462891000001</v>
      </c>
      <c r="I2092">
        <v>1394.3696289</v>
      </c>
      <c r="J2092">
        <v>1374.6390381000001</v>
      </c>
      <c r="K2092">
        <v>0</v>
      </c>
      <c r="L2092">
        <v>2400</v>
      </c>
      <c r="M2092">
        <v>2400</v>
      </c>
      <c r="N2092">
        <v>0</v>
      </c>
    </row>
    <row r="2093" spans="1:14" x14ac:dyDescent="0.25">
      <c r="A2093">
        <v>1687.1526269999999</v>
      </c>
      <c r="B2093" s="1">
        <f>DATE(2014,12,13) + TIME(3,39,46)</f>
        <v>41986.152615740742</v>
      </c>
      <c r="C2093">
        <v>80</v>
      </c>
      <c r="D2093">
        <v>76.510688782000003</v>
      </c>
      <c r="E2093">
        <v>50</v>
      </c>
      <c r="F2093">
        <v>49.977561950999998</v>
      </c>
      <c r="G2093">
        <v>1302.0067139</v>
      </c>
      <c r="H2093">
        <v>1289.3355713000001</v>
      </c>
      <c r="I2093">
        <v>1394.3319091999999</v>
      </c>
      <c r="J2093">
        <v>1374.6097411999999</v>
      </c>
      <c r="K2093">
        <v>0</v>
      </c>
      <c r="L2093">
        <v>2400</v>
      </c>
      <c r="M2093">
        <v>2400</v>
      </c>
      <c r="N2093">
        <v>0</v>
      </c>
    </row>
    <row r="2094" spans="1:14" x14ac:dyDescent="0.25">
      <c r="A2094">
        <v>1689.0514929999999</v>
      </c>
      <c r="B2094" s="1">
        <f>DATE(2014,12,15) + TIME(1,14,8)</f>
        <v>41988.051481481481</v>
      </c>
      <c r="C2094">
        <v>80</v>
      </c>
      <c r="D2094">
        <v>76.386535644999995</v>
      </c>
      <c r="E2094">
        <v>50</v>
      </c>
      <c r="F2094">
        <v>49.977581024000003</v>
      </c>
      <c r="G2094">
        <v>1301.9128418</v>
      </c>
      <c r="H2094">
        <v>1289.2191161999999</v>
      </c>
      <c r="I2094">
        <v>1394.2949219</v>
      </c>
      <c r="J2094">
        <v>1374.5810547000001</v>
      </c>
      <c r="K2094">
        <v>0</v>
      </c>
      <c r="L2094">
        <v>2400</v>
      </c>
      <c r="M2094">
        <v>2400</v>
      </c>
      <c r="N2094">
        <v>0</v>
      </c>
    </row>
    <row r="2095" spans="1:14" x14ac:dyDescent="0.25">
      <c r="A2095">
        <v>1690.980738</v>
      </c>
      <c r="B2095" s="1">
        <f>DATE(2014,12,16) + TIME(23,32,15)</f>
        <v>41989.980729166666</v>
      </c>
      <c r="C2095">
        <v>80</v>
      </c>
      <c r="D2095">
        <v>76.261985779</v>
      </c>
      <c r="E2095">
        <v>50</v>
      </c>
      <c r="F2095">
        <v>49.977600098000003</v>
      </c>
      <c r="G2095">
        <v>1301.8153076000001</v>
      </c>
      <c r="H2095">
        <v>1289.0972899999999</v>
      </c>
      <c r="I2095">
        <v>1394.2587891000001</v>
      </c>
      <c r="J2095">
        <v>1374.5528564000001</v>
      </c>
      <c r="K2095">
        <v>0</v>
      </c>
      <c r="L2095">
        <v>2400</v>
      </c>
      <c r="M2095">
        <v>2400</v>
      </c>
      <c r="N2095">
        <v>0</v>
      </c>
    </row>
    <row r="2096" spans="1:14" x14ac:dyDescent="0.25">
      <c r="A2096">
        <v>1692.9452799999999</v>
      </c>
      <c r="B2096" s="1">
        <f>DATE(2014,12,18) + TIME(22,41,12)</f>
        <v>41991.945277777777</v>
      </c>
      <c r="C2096">
        <v>80</v>
      </c>
      <c r="D2096">
        <v>76.137001037999994</v>
      </c>
      <c r="E2096">
        <v>50</v>
      </c>
      <c r="F2096">
        <v>49.977622986</v>
      </c>
      <c r="G2096">
        <v>1301.7137451000001</v>
      </c>
      <c r="H2096">
        <v>1288.9698486</v>
      </c>
      <c r="I2096">
        <v>1394.2235106999999</v>
      </c>
      <c r="J2096">
        <v>1374.5252685999999</v>
      </c>
      <c r="K2096">
        <v>0</v>
      </c>
      <c r="L2096">
        <v>2400</v>
      </c>
      <c r="M2096">
        <v>2400</v>
      </c>
      <c r="N2096">
        <v>0</v>
      </c>
    </row>
    <row r="2097" spans="1:14" x14ac:dyDescent="0.25">
      <c r="A2097">
        <v>1694.9496899999999</v>
      </c>
      <c r="B2097" s="1">
        <f>DATE(2014,12,20) + TIME(22,47,33)</f>
        <v>41993.949687499997</v>
      </c>
      <c r="C2097">
        <v>80</v>
      </c>
      <c r="D2097">
        <v>76.011360167999996</v>
      </c>
      <c r="E2097">
        <v>50</v>
      </c>
      <c r="F2097">
        <v>49.977642058999997</v>
      </c>
      <c r="G2097">
        <v>1301.6079102000001</v>
      </c>
      <c r="H2097">
        <v>1288.8361815999999</v>
      </c>
      <c r="I2097">
        <v>1394.1887207</v>
      </c>
      <c r="J2097">
        <v>1374.4981689000001</v>
      </c>
      <c r="K2097">
        <v>0</v>
      </c>
      <c r="L2097">
        <v>2400</v>
      </c>
      <c r="M2097">
        <v>2400</v>
      </c>
      <c r="N2097">
        <v>0</v>
      </c>
    </row>
    <row r="2098" spans="1:14" x14ac:dyDescent="0.25">
      <c r="A2098">
        <v>1696.9985859999999</v>
      </c>
      <c r="B2098" s="1">
        <f>DATE(2014,12,22) + TIME(23,57,57)</f>
        <v>41995.998576388891</v>
      </c>
      <c r="C2098">
        <v>80</v>
      </c>
      <c r="D2098">
        <v>75.884780883999994</v>
      </c>
      <c r="E2098">
        <v>50</v>
      </c>
      <c r="F2098">
        <v>49.977664947999997</v>
      </c>
      <c r="G2098">
        <v>1301.4971923999999</v>
      </c>
      <c r="H2098">
        <v>1288.6958007999999</v>
      </c>
      <c r="I2098">
        <v>1394.1545410000001</v>
      </c>
      <c r="J2098">
        <v>1374.4714355000001</v>
      </c>
      <c r="K2098">
        <v>0</v>
      </c>
      <c r="L2098">
        <v>2400</v>
      </c>
      <c r="M2098">
        <v>2400</v>
      </c>
      <c r="N2098">
        <v>0</v>
      </c>
    </row>
    <row r="2099" spans="1:14" x14ac:dyDescent="0.25">
      <c r="A2099">
        <v>1699.086832</v>
      </c>
      <c r="B2099" s="1">
        <f>DATE(2014,12,25) + TIME(2,5,2)</f>
        <v>41998.086828703701</v>
      </c>
      <c r="C2099">
        <v>80</v>
      </c>
      <c r="D2099">
        <v>75.757141113000003</v>
      </c>
      <c r="E2099">
        <v>50</v>
      </c>
      <c r="F2099">
        <v>49.977684021000002</v>
      </c>
      <c r="G2099">
        <v>1301.3813477000001</v>
      </c>
      <c r="H2099">
        <v>1288.5479736</v>
      </c>
      <c r="I2099">
        <v>1394.1208495999999</v>
      </c>
      <c r="J2099">
        <v>1374.4450684000001</v>
      </c>
      <c r="K2099">
        <v>0</v>
      </c>
      <c r="L2099">
        <v>2400</v>
      </c>
      <c r="M2099">
        <v>2400</v>
      </c>
      <c r="N2099">
        <v>0</v>
      </c>
    </row>
    <row r="2100" spans="1:14" x14ac:dyDescent="0.25">
      <c r="A2100">
        <v>1701.205874</v>
      </c>
      <c r="B2100" s="1">
        <f>DATE(2014,12,27) + TIME(4,56,27)</f>
        <v>42000.205868055556</v>
      </c>
      <c r="C2100">
        <v>80</v>
      </c>
      <c r="D2100">
        <v>75.628654479999994</v>
      </c>
      <c r="E2100">
        <v>50</v>
      </c>
      <c r="F2100">
        <v>49.977706908999998</v>
      </c>
      <c r="G2100">
        <v>1301.2602539</v>
      </c>
      <c r="H2100">
        <v>1288.3929443</v>
      </c>
      <c r="I2100">
        <v>1394.0875243999999</v>
      </c>
      <c r="J2100">
        <v>1374.4189452999999</v>
      </c>
      <c r="K2100">
        <v>0</v>
      </c>
      <c r="L2100">
        <v>2400</v>
      </c>
      <c r="M2100">
        <v>2400</v>
      </c>
      <c r="N2100">
        <v>0</v>
      </c>
    </row>
    <row r="2101" spans="1:14" x14ac:dyDescent="0.25">
      <c r="A2101">
        <v>1703.357649</v>
      </c>
      <c r="B2101" s="1">
        <f>DATE(2014,12,29) + TIME(8,35,0)</f>
        <v>42002.357638888891</v>
      </c>
      <c r="C2101">
        <v>80</v>
      </c>
      <c r="D2101">
        <v>75.499549865999995</v>
      </c>
      <c r="E2101">
        <v>50</v>
      </c>
      <c r="F2101">
        <v>49.977729797000002</v>
      </c>
      <c r="G2101">
        <v>1301.1343993999999</v>
      </c>
      <c r="H2101">
        <v>1288.230957</v>
      </c>
      <c r="I2101">
        <v>1394.0549315999999</v>
      </c>
      <c r="J2101">
        <v>1374.3931885</v>
      </c>
      <c r="K2101">
        <v>0</v>
      </c>
      <c r="L2101">
        <v>2400</v>
      </c>
      <c r="M2101">
        <v>2400</v>
      </c>
      <c r="N2101">
        <v>0</v>
      </c>
    </row>
    <row r="2102" spans="1:14" x14ac:dyDescent="0.25">
      <c r="A2102">
        <v>1705.536466</v>
      </c>
      <c r="B2102" s="1">
        <f>DATE(2014,12,31) + TIME(12,52,30)</f>
        <v>42004.536458333336</v>
      </c>
      <c r="C2102">
        <v>80</v>
      </c>
      <c r="D2102">
        <v>75.369873046999999</v>
      </c>
      <c r="E2102">
        <v>50</v>
      </c>
      <c r="F2102">
        <v>49.977756499999998</v>
      </c>
      <c r="G2102">
        <v>1301.0035399999999</v>
      </c>
      <c r="H2102">
        <v>1288.0615233999999</v>
      </c>
      <c r="I2102">
        <v>1394.0228271000001</v>
      </c>
      <c r="J2102">
        <v>1374.3679199000001</v>
      </c>
      <c r="K2102">
        <v>0</v>
      </c>
      <c r="L2102">
        <v>2400</v>
      </c>
      <c r="M2102">
        <v>2400</v>
      </c>
      <c r="N2102">
        <v>0</v>
      </c>
    </row>
    <row r="2103" spans="1:14" x14ac:dyDescent="0.25">
      <c r="A2103">
        <v>1706</v>
      </c>
      <c r="B2103" s="1">
        <f>DATE(2015,1,1) + TIME(0,0,0)</f>
        <v>42005</v>
      </c>
      <c r="C2103">
        <v>80</v>
      </c>
      <c r="D2103">
        <v>75.306060790999993</v>
      </c>
      <c r="E2103">
        <v>50</v>
      </c>
      <c r="F2103">
        <v>49.977756499999998</v>
      </c>
      <c r="G2103">
        <v>1300.8736572</v>
      </c>
      <c r="H2103">
        <v>1287.9040527</v>
      </c>
      <c r="I2103">
        <v>1393.9906006000001</v>
      </c>
      <c r="J2103">
        <v>1374.3424072</v>
      </c>
      <c r="K2103">
        <v>0</v>
      </c>
      <c r="L2103">
        <v>2400</v>
      </c>
      <c r="M2103">
        <v>2400</v>
      </c>
      <c r="N2103">
        <v>0</v>
      </c>
    </row>
    <row r="2104" spans="1:14" x14ac:dyDescent="0.25">
      <c r="A2104">
        <v>1708.201237</v>
      </c>
      <c r="B2104" s="1">
        <f>DATE(2015,1,3) + TIME(4,49,46)</f>
        <v>42007.201226851852</v>
      </c>
      <c r="C2104">
        <v>80</v>
      </c>
      <c r="D2104">
        <v>75.202262877999999</v>
      </c>
      <c r="E2104">
        <v>50</v>
      </c>
      <c r="F2104">
        <v>49.977783203000001</v>
      </c>
      <c r="G2104">
        <v>1300.8342285000001</v>
      </c>
      <c r="H2104">
        <v>1287.8386230000001</v>
      </c>
      <c r="I2104">
        <v>1393.9846190999999</v>
      </c>
      <c r="J2104">
        <v>1374.3378906</v>
      </c>
      <c r="K2104">
        <v>0</v>
      </c>
      <c r="L2104">
        <v>2400</v>
      </c>
      <c r="M2104">
        <v>2400</v>
      </c>
      <c r="N2104">
        <v>0</v>
      </c>
    </row>
    <row r="2105" spans="1:14" x14ac:dyDescent="0.25">
      <c r="A2105">
        <v>1710.4364700000001</v>
      </c>
      <c r="B2105" s="1">
        <f>DATE(2015,1,5) + TIME(10,28,30)</f>
        <v>42009.43645833333</v>
      </c>
      <c r="C2105">
        <v>80</v>
      </c>
      <c r="D2105">
        <v>75.079154967999997</v>
      </c>
      <c r="E2105">
        <v>50</v>
      </c>
      <c r="F2105">
        <v>49.977809905999997</v>
      </c>
      <c r="G2105">
        <v>1300.6960449000001</v>
      </c>
      <c r="H2105">
        <v>1287.6599120999999</v>
      </c>
      <c r="I2105">
        <v>1393.9539795000001</v>
      </c>
      <c r="J2105">
        <v>1374.3135986</v>
      </c>
      <c r="K2105">
        <v>0</v>
      </c>
      <c r="L2105">
        <v>2400</v>
      </c>
      <c r="M2105">
        <v>2400</v>
      </c>
      <c r="N2105">
        <v>0</v>
      </c>
    </row>
    <row r="2106" spans="1:14" x14ac:dyDescent="0.25">
      <c r="A2106">
        <v>1712.7049669999999</v>
      </c>
      <c r="B2106" s="1">
        <f>DATE(2015,1,7) + TIME(16,55,9)</f>
        <v>42011.704965277779</v>
      </c>
      <c r="C2106">
        <v>80</v>
      </c>
      <c r="D2106">
        <v>74.949951171999999</v>
      </c>
      <c r="E2106">
        <v>50</v>
      </c>
      <c r="F2106">
        <v>49.977832794000001</v>
      </c>
      <c r="G2106">
        <v>1300.5500488</v>
      </c>
      <c r="H2106">
        <v>1287.4688721</v>
      </c>
      <c r="I2106">
        <v>1393.9237060999999</v>
      </c>
      <c r="J2106">
        <v>1374.2895507999999</v>
      </c>
      <c r="K2106">
        <v>0</v>
      </c>
      <c r="L2106">
        <v>2400</v>
      </c>
      <c r="M2106">
        <v>2400</v>
      </c>
      <c r="N2106">
        <v>0</v>
      </c>
    </row>
    <row r="2107" spans="1:14" x14ac:dyDescent="0.25">
      <c r="A2107">
        <v>1715.0122469999999</v>
      </c>
      <c r="B2107" s="1">
        <f>DATE(2015,1,10) + TIME(0,17,38)</f>
        <v>42014.012245370373</v>
      </c>
      <c r="C2107">
        <v>80</v>
      </c>
      <c r="D2107">
        <v>74.818084717000005</v>
      </c>
      <c r="E2107">
        <v>50</v>
      </c>
      <c r="F2107">
        <v>49.977859496999997</v>
      </c>
      <c r="G2107">
        <v>1300.3979492000001</v>
      </c>
      <c r="H2107">
        <v>1287.2685547000001</v>
      </c>
      <c r="I2107">
        <v>1393.8937988</v>
      </c>
      <c r="J2107">
        <v>1374.2658690999999</v>
      </c>
      <c r="K2107">
        <v>0</v>
      </c>
      <c r="L2107">
        <v>2400</v>
      </c>
      <c r="M2107">
        <v>2400</v>
      </c>
      <c r="N2107">
        <v>0</v>
      </c>
    </row>
    <row r="2108" spans="1:14" x14ac:dyDescent="0.25">
      <c r="A2108">
        <v>1717.3627039999999</v>
      </c>
      <c r="B2108" s="1">
        <f>DATE(2015,1,12) + TIME(8,42,17)</f>
        <v>42016.362696759257</v>
      </c>
      <c r="C2108">
        <v>80</v>
      </c>
      <c r="D2108">
        <v>74.684280396000005</v>
      </c>
      <c r="E2108">
        <v>50</v>
      </c>
      <c r="F2108">
        <v>49.9778862</v>
      </c>
      <c r="G2108">
        <v>1300.2397461</v>
      </c>
      <c r="H2108">
        <v>1287.059082</v>
      </c>
      <c r="I2108">
        <v>1393.8641356999999</v>
      </c>
      <c r="J2108">
        <v>1374.2423096</v>
      </c>
      <c r="K2108">
        <v>0</v>
      </c>
      <c r="L2108">
        <v>2400</v>
      </c>
      <c r="M2108">
        <v>2400</v>
      </c>
      <c r="N2108">
        <v>0</v>
      </c>
    </row>
    <row r="2109" spans="1:14" x14ac:dyDescent="0.25">
      <c r="A2109">
        <v>1719.7542679999999</v>
      </c>
      <c r="B2109" s="1">
        <f>DATE(2015,1,14) + TIME(18,6,8)</f>
        <v>42018.754259259258</v>
      </c>
      <c r="C2109">
        <v>80</v>
      </c>
      <c r="D2109">
        <v>74.548500060999999</v>
      </c>
      <c r="E2109">
        <v>50</v>
      </c>
      <c r="F2109">
        <v>49.977909087999997</v>
      </c>
      <c r="G2109">
        <v>1300.0748291</v>
      </c>
      <c r="H2109">
        <v>1286.8400879000001</v>
      </c>
      <c r="I2109">
        <v>1393.8348389</v>
      </c>
      <c r="J2109">
        <v>1374.2188721</v>
      </c>
      <c r="K2109">
        <v>0</v>
      </c>
      <c r="L2109">
        <v>2400</v>
      </c>
      <c r="M2109">
        <v>2400</v>
      </c>
      <c r="N2109">
        <v>0</v>
      </c>
    </row>
    <row r="2110" spans="1:14" x14ac:dyDescent="0.25">
      <c r="A2110">
        <v>1722.176068</v>
      </c>
      <c r="B2110" s="1">
        <f>DATE(2015,1,17) + TIME(4,13,32)</f>
        <v>42021.176064814812</v>
      </c>
      <c r="C2110">
        <v>80</v>
      </c>
      <c r="D2110">
        <v>74.410850525000001</v>
      </c>
      <c r="E2110">
        <v>50</v>
      </c>
      <c r="F2110">
        <v>49.977935791</v>
      </c>
      <c r="G2110">
        <v>1299.9033202999999</v>
      </c>
      <c r="H2110">
        <v>1286.6115723</v>
      </c>
      <c r="I2110">
        <v>1393.8057861</v>
      </c>
      <c r="J2110">
        <v>1374.1956786999999</v>
      </c>
      <c r="K2110">
        <v>0</v>
      </c>
      <c r="L2110">
        <v>2400</v>
      </c>
      <c r="M2110">
        <v>2400</v>
      </c>
      <c r="N2110">
        <v>0</v>
      </c>
    </row>
    <row r="2111" spans="1:14" x14ac:dyDescent="0.25">
      <c r="A2111">
        <v>1724.6244300000001</v>
      </c>
      <c r="B2111" s="1">
        <f>DATE(2015,1,19) + TIME(14,59,10)</f>
        <v>42023.624421296299</v>
      </c>
      <c r="C2111">
        <v>80</v>
      </c>
      <c r="D2111">
        <v>74.271553040000001</v>
      </c>
      <c r="E2111">
        <v>50</v>
      </c>
      <c r="F2111">
        <v>49.977966309000003</v>
      </c>
      <c r="G2111">
        <v>1299.7259521000001</v>
      </c>
      <c r="H2111">
        <v>1286.3740233999999</v>
      </c>
      <c r="I2111">
        <v>1393.7770995999999</v>
      </c>
      <c r="J2111">
        <v>1374.1726074000001</v>
      </c>
      <c r="K2111">
        <v>0</v>
      </c>
      <c r="L2111">
        <v>2400</v>
      </c>
      <c r="M2111">
        <v>2400</v>
      </c>
      <c r="N2111">
        <v>0</v>
      </c>
    </row>
    <row r="2112" spans="1:14" x14ac:dyDescent="0.25">
      <c r="A2112">
        <v>1727.1054369999999</v>
      </c>
      <c r="B2112" s="1">
        <f>DATE(2015,1,22) + TIME(2,31,49)</f>
        <v>42026.105428240742</v>
      </c>
      <c r="C2112">
        <v>80</v>
      </c>
      <c r="D2112">
        <v>74.130531310999999</v>
      </c>
      <c r="E2112">
        <v>50</v>
      </c>
      <c r="F2112">
        <v>49.977993011000002</v>
      </c>
      <c r="G2112">
        <v>1299.5427245999999</v>
      </c>
      <c r="H2112">
        <v>1286.1279297000001</v>
      </c>
      <c r="I2112">
        <v>1393.7487793</v>
      </c>
      <c r="J2112">
        <v>1374.1499022999999</v>
      </c>
      <c r="K2112">
        <v>0</v>
      </c>
      <c r="L2112">
        <v>2400</v>
      </c>
      <c r="M2112">
        <v>2400</v>
      </c>
      <c r="N2112">
        <v>0</v>
      </c>
    </row>
    <row r="2113" spans="1:14" x14ac:dyDescent="0.25">
      <c r="A2113">
        <v>1729.6243710000001</v>
      </c>
      <c r="B2113" s="1">
        <f>DATE(2015,1,24) + TIME(14,59,5)</f>
        <v>42028.624363425923</v>
      </c>
      <c r="C2113">
        <v>80</v>
      </c>
      <c r="D2113">
        <v>73.987350464000002</v>
      </c>
      <c r="E2113">
        <v>50</v>
      </c>
      <c r="F2113">
        <v>49.978019713999998</v>
      </c>
      <c r="G2113">
        <v>1299.3532714999999</v>
      </c>
      <c r="H2113">
        <v>1285.8724365</v>
      </c>
      <c r="I2113">
        <v>1393.7207031</v>
      </c>
      <c r="J2113">
        <v>1374.1274414</v>
      </c>
      <c r="K2113">
        <v>0</v>
      </c>
      <c r="L2113">
        <v>2400</v>
      </c>
      <c r="M2113">
        <v>2400</v>
      </c>
      <c r="N2113">
        <v>0</v>
      </c>
    </row>
    <row r="2114" spans="1:14" x14ac:dyDescent="0.25">
      <c r="A2114">
        <v>1732.186087</v>
      </c>
      <c r="B2114" s="1">
        <f>DATE(2015,1,27) + TIME(4,27,57)</f>
        <v>42031.186076388891</v>
      </c>
      <c r="C2114">
        <v>80</v>
      </c>
      <c r="D2114">
        <v>73.841499329000001</v>
      </c>
      <c r="E2114">
        <v>50</v>
      </c>
      <c r="F2114">
        <v>49.978046417000002</v>
      </c>
      <c r="G2114">
        <v>1299.1572266000001</v>
      </c>
      <c r="H2114">
        <v>1285.6071777</v>
      </c>
      <c r="I2114">
        <v>1393.6929932</v>
      </c>
      <c r="J2114">
        <v>1374.1049805</v>
      </c>
      <c r="K2114">
        <v>0</v>
      </c>
      <c r="L2114">
        <v>2400</v>
      </c>
      <c r="M2114">
        <v>2400</v>
      </c>
      <c r="N2114">
        <v>0</v>
      </c>
    </row>
    <row r="2115" spans="1:14" x14ac:dyDescent="0.25">
      <c r="A2115">
        <v>1734.795631</v>
      </c>
      <c r="B2115" s="1">
        <f>DATE(2015,1,29) + TIME(19,5,42)</f>
        <v>42033.795624999999</v>
      </c>
      <c r="C2115">
        <v>80</v>
      </c>
      <c r="D2115">
        <v>73.692413329999994</v>
      </c>
      <c r="E2115">
        <v>50</v>
      </c>
      <c r="F2115">
        <v>49.978076934999997</v>
      </c>
      <c r="G2115">
        <v>1298.9538574000001</v>
      </c>
      <c r="H2115">
        <v>1285.3311768000001</v>
      </c>
      <c r="I2115">
        <v>1393.6652832</v>
      </c>
      <c r="J2115">
        <v>1374.0826416</v>
      </c>
      <c r="K2115">
        <v>0</v>
      </c>
      <c r="L2115">
        <v>2400</v>
      </c>
      <c r="M2115">
        <v>2400</v>
      </c>
      <c r="N2115">
        <v>0</v>
      </c>
    </row>
    <row r="2116" spans="1:14" x14ac:dyDescent="0.25">
      <c r="A2116">
        <v>1737</v>
      </c>
      <c r="B2116" s="1">
        <f>DATE(2015,2,1) + TIME(0,0,0)</f>
        <v>42036</v>
      </c>
      <c r="C2116">
        <v>80</v>
      </c>
      <c r="D2116">
        <v>73.546661377000007</v>
      </c>
      <c r="E2116">
        <v>50</v>
      </c>
      <c r="F2116">
        <v>49.978099823000001</v>
      </c>
      <c r="G2116">
        <v>1298.7441406</v>
      </c>
      <c r="H2116">
        <v>1285.0472411999999</v>
      </c>
      <c r="I2116">
        <v>1393.6375731999999</v>
      </c>
      <c r="J2116">
        <v>1374.0601807</v>
      </c>
      <c r="K2116">
        <v>0</v>
      </c>
      <c r="L2116">
        <v>2400</v>
      </c>
      <c r="M2116">
        <v>2400</v>
      </c>
      <c r="N2116">
        <v>0</v>
      </c>
    </row>
    <row r="2117" spans="1:14" x14ac:dyDescent="0.25">
      <c r="A2117">
        <v>1739.6624959999999</v>
      </c>
      <c r="B2117" s="1">
        <f>DATE(2015,2,3) + TIME(15,53,59)</f>
        <v>42038.662488425929</v>
      </c>
      <c r="C2117">
        <v>80</v>
      </c>
      <c r="D2117">
        <v>73.405273437999995</v>
      </c>
      <c r="E2117">
        <v>50</v>
      </c>
      <c r="F2117">
        <v>49.978130341000004</v>
      </c>
      <c r="G2117">
        <v>1298.5581055</v>
      </c>
      <c r="H2117">
        <v>1284.7897949000001</v>
      </c>
      <c r="I2117">
        <v>1393.6149902</v>
      </c>
      <c r="J2117">
        <v>1374.0418701000001</v>
      </c>
      <c r="K2117">
        <v>0</v>
      </c>
      <c r="L2117">
        <v>2400</v>
      </c>
      <c r="M2117">
        <v>2400</v>
      </c>
      <c r="N2117">
        <v>0</v>
      </c>
    </row>
    <row r="2118" spans="1:14" x14ac:dyDescent="0.25">
      <c r="A2118">
        <v>1742.417344</v>
      </c>
      <c r="B2118" s="1">
        <f>DATE(2015,2,6) + TIME(10,0,58)</f>
        <v>42041.417337962965</v>
      </c>
      <c r="C2118">
        <v>80</v>
      </c>
      <c r="D2118">
        <v>73.249069214000002</v>
      </c>
      <c r="E2118">
        <v>50</v>
      </c>
      <c r="F2118">
        <v>49.978160858000003</v>
      </c>
      <c r="G2118">
        <v>1298.3378906</v>
      </c>
      <c r="H2118">
        <v>1284.4893798999999</v>
      </c>
      <c r="I2118">
        <v>1393.5878906</v>
      </c>
      <c r="J2118">
        <v>1374.0197754000001</v>
      </c>
      <c r="K2118">
        <v>0</v>
      </c>
      <c r="L2118">
        <v>2400</v>
      </c>
      <c r="M2118">
        <v>2400</v>
      </c>
      <c r="N2118">
        <v>0</v>
      </c>
    </row>
    <row r="2119" spans="1:14" x14ac:dyDescent="0.25">
      <c r="A2119">
        <v>1745.2199989999999</v>
      </c>
      <c r="B2119" s="1">
        <f>DATE(2015,2,9) + TIME(5,16,47)</f>
        <v>42044.219988425924</v>
      </c>
      <c r="C2119">
        <v>80</v>
      </c>
      <c r="D2119">
        <v>73.084083557</v>
      </c>
      <c r="E2119">
        <v>50</v>
      </c>
      <c r="F2119">
        <v>49.978191375999998</v>
      </c>
      <c r="G2119">
        <v>1298.1047363</v>
      </c>
      <c r="H2119">
        <v>1284.1695557</v>
      </c>
      <c r="I2119">
        <v>1393.5603027</v>
      </c>
      <c r="J2119">
        <v>1373.9973144999999</v>
      </c>
      <c r="K2119">
        <v>0</v>
      </c>
      <c r="L2119">
        <v>2400</v>
      </c>
      <c r="M2119">
        <v>2400</v>
      </c>
      <c r="N2119">
        <v>0</v>
      </c>
    </row>
    <row r="2120" spans="1:14" x14ac:dyDescent="0.25">
      <c r="A2120">
        <v>1748.063488</v>
      </c>
      <c r="B2120" s="1">
        <f>DATE(2015,2,12) + TIME(1,31,25)</f>
        <v>42047.063483796293</v>
      </c>
      <c r="C2120">
        <v>80</v>
      </c>
      <c r="D2120">
        <v>72.913002014</v>
      </c>
      <c r="E2120">
        <v>50</v>
      </c>
      <c r="F2120">
        <v>49.978221892999997</v>
      </c>
      <c r="G2120">
        <v>1297.862793</v>
      </c>
      <c r="H2120">
        <v>1283.8361815999999</v>
      </c>
      <c r="I2120">
        <v>1393.5329589999999</v>
      </c>
      <c r="J2120">
        <v>1373.9749756000001</v>
      </c>
      <c r="K2120">
        <v>0</v>
      </c>
      <c r="L2120">
        <v>2400</v>
      </c>
      <c r="M2120">
        <v>2400</v>
      </c>
      <c r="N2120">
        <v>0</v>
      </c>
    </row>
    <row r="2121" spans="1:14" x14ac:dyDescent="0.25">
      <c r="A2121">
        <v>1750.94885</v>
      </c>
      <c r="B2121" s="1">
        <f>DATE(2015,2,14) + TIME(22,46,20)</f>
        <v>42049.948842592596</v>
      </c>
      <c r="C2121">
        <v>80</v>
      </c>
      <c r="D2121">
        <v>72.736305236999996</v>
      </c>
      <c r="E2121">
        <v>50</v>
      </c>
      <c r="F2121">
        <v>49.978252411</v>
      </c>
      <c r="G2121">
        <v>1297.6130370999999</v>
      </c>
      <c r="H2121">
        <v>1283.4910889</v>
      </c>
      <c r="I2121">
        <v>1393.5054932</v>
      </c>
      <c r="J2121">
        <v>1373.9525146000001</v>
      </c>
      <c r="K2121">
        <v>0</v>
      </c>
      <c r="L2121">
        <v>2400</v>
      </c>
      <c r="M2121">
        <v>2400</v>
      </c>
      <c r="N2121">
        <v>0</v>
      </c>
    </row>
    <row r="2122" spans="1:14" x14ac:dyDescent="0.25">
      <c r="A2122">
        <v>1753.8826180000001</v>
      </c>
      <c r="B2122" s="1">
        <f>DATE(2015,2,17) + TIME(21,10,58)</f>
        <v>42052.882615740738</v>
      </c>
      <c r="C2122">
        <v>80</v>
      </c>
      <c r="D2122">
        <v>72.553596497000001</v>
      </c>
      <c r="E2122">
        <v>50</v>
      </c>
      <c r="F2122">
        <v>49.978286742999998</v>
      </c>
      <c r="G2122">
        <v>1297.3557129000001</v>
      </c>
      <c r="H2122">
        <v>1283.1341553</v>
      </c>
      <c r="I2122">
        <v>1393.4782714999999</v>
      </c>
      <c r="J2122">
        <v>1373.9300536999999</v>
      </c>
      <c r="K2122">
        <v>0</v>
      </c>
      <c r="L2122">
        <v>2400</v>
      </c>
      <c r="M2122">
        <v>2400</v>
      </c>
      <c r="N2122">
        <v>0</v>
      </c>
    </row>
    <row r="2123" spans="1:14" x14ac:dyDescent="0.25">
      <c r="A2123">
        <v>1756.871261</v>
      </c>
      <c r="B2123" s="1">
        <f>DATE(2015,2,20) + TIME(20,54,36)</f>
        <v>42055.871249999997</v>
      </c>
      <c r="C2123">
        <v>80</v>
      </c>
      <c r="D2123">
        <v>72.364074707</v>
      </c>
      <c r="E2123">
        <v>50</v>
      </c>
      <c r="F2123">
        <v>49.978317261000001</v>
      </c>
      <c r="G2123">
        <v>1297.0900879000001</v>
      </c>
      <c r="H2123">
        <v>1282.7648925999999</v>
      </c>
      <c r="I2123">
        <v>1393.4509277</v>
      </c>
      <c r="J2123">
        <v>1373.9075928</v>
      </c>
      <c r="K2123">
        <v>0</v>
      </c>
      <c r="L2123">
        <v>2400</v>
      </c>
      <c r="M2123">
        <v>2400</v>
      </c>
      <c r="N2123">
        <v>0</v>
      </c>
    </row>
    <row r="2124" spans="1:14" x14ac:dyDescent="0.25">
      <c r="A2124">
        <v>1759.921337</v>
      </c>
      <c r="B2124" s="1">
        <f>DATE(2015,2,23) + TIME(22,6,43)</f>
        <v>42058.921331018515</v>
      </c>
      <c r="C2124">
        <v>80</v>
      </c>
      <c r="D2124">
        <v>72.166778563999998</v>
      </c>
      <c r="E2124">
        <v>50</v>
      </c>
      <c r="F2124">
        <v>49.978351592999999</v>
      </c>
      <c r="G2124">
        <v>1296.8157959</v>
      </c>
      <c r="H2124">
        <v>1282.3824463000001</v>
      </c>
      <c r="I2124">
        <v>1393.4235839999999</v>
      </c>
      <c r="J2124">
        <v>1373.8850098</v>
      </c>
      <c r="K2124">
        <v>0</v>
      </c>
      <c r="L2124">
        <v>2400</v>
      </c>
      <c r="M2124">
        <v>2400</v>
      </c>
      <c r="N2124">
        <v>0</v>
      </c>
    </row>
    <row r="2125" spans="1:14" x14ac:dyDescent="0.25">
      <c r="A2125">
        <v>1763.0144760000001</v>
      </c>
      <c r="B2125" s="1">
        <f>DATE(2015,2,27) + TIME(0,20,50)</f>
        <v>42062.014467592591</v>
      </c>
      <c r="C2125">
        <v>80</v>
      </c>
      <c r="D2125">
        <v>71.960998535000002</v>
      </c>
      <c r="E2125">
        <v>50</v>
      </c>
      <c r="F2125">
        <v>49.978382111000002</v>
      </c>
      <c r="G2125">
        <v>1296.5322266000001</v>
      </c>
      <c r="H2125">
        <v>1281.9859618999999</v>
      </c>
      <c r="I2125">
        <v>1393.3959961</v>
      </c>
      <c r="J2125">
        <v>1373.8621826000001</v>
      </c>
      <c r="K2125">
        <v>0</v>
      </c>
      <c r="L2125">
        <v>2400</v>
      </c>
      <c r="M2125">
        <v>2400</v>
      </c>
      <c r="N2125">
        <v>0</v>
      </c>
    </row>
    <row r="2126" spans="1:14" x14ac:dyDescent="0.25">
      <c r="A2126">
        <v>1765</v>
      </c>
      <c r="B2126" s="1">
        <f>DATE(2015,3,1) + TIME(0,0,0)</f>
        <v>42064</v>
      </c>
      <c r="C2126">
        <v>80</v>
      </c>
      <c r="D2126">
        <v>71.769111632999994</v>
      </c>
      <c r="E2126">
        <v>50</v>
      </c>
      <c r="F2126">
        <v>49.978404998999999</v>
      </c>
      <c r="G2126">
        <v>1296.2454834</v>
      </c>
      <c r="H2126">
        <v>1281.5895995999999</v>
      </c>
      <c r="I2126">
        <v>1393.3680420000001</v>
      </c>
      <c r="J2126">
        <v>1373.8388672000001</v>
      </c>
      <c r="K2126">
        <v>0</v>
      </c>
      <c r="L2126">
        <v>2400</v>
      </c>
      <c r="M2126">
        <v>2400</v>
      </c>
      <c r="N2126">
        <v>0</v>
      </c>
    </row>
    <row r="2127" spans="1:14" x14ac:dyDescent="0.25">
      <c r="A2127">
        <v>1768.1323870000001</v>
      </c>
      <c r="B2127" s="1">
        <f>DATE(2015,3,4) + TIME(3,10,38)</f>
        <v>42067.132384259261</v>
      </c>
      <c r="C2127">
        <v>80</v>
      </c>
      <c r="D2127">
        <v>71.594581603999998</v>
      </c>
      <c r="E2127">
        <v>50</v>
      </c>
      <c r="F2127">
        <v>49.978439330999997</v>
      </c>
      <c r="G2127">
        <v>1296.0410156</v>
      </c>
      <c r="H2127">
        <v>1281.2912598</v>
      </c>
      <c r="I2127">
        <v>1393.3508300999999</v>
      </c>
      <c r="J2127">
        <v>1373.8245850000001</v>
      </c>
      <c r="K2127">
        <v>0</v>
      </c>
      <c r="L2127">
        <v>2400</v>
      </c>
      <c r="M2127">
        <v>2400</v>
      </c>
      <c r="N2127">
        <v>0</v>
      </c>
    </row>
    <row r="2128" spans="1:14" x14ac:dyDescent="0.25">
      <c r="A2128">
        <v>1771.3461400000001</v>
      </c>
      <c r="B2128" s="1">
        <f>DATE(2015,3,7) + TIME(8,18,26)</f>
        <v>42070.346134259256</v>
      </c>
      <c r="C2128">
        <v>80</v>
      </c>
      <c r="D2128">
        <v>71.376045227000006</v>
      </c>
      <c r="E2128">
        <v>50</v>
      </c>
      <c r="F2128">
        <v>49.978473663000003</v>
      </c>
      <c r="G2128">
        <v>1295.7485352000001</v>
      </c>
      <c r="H2128">
        <v>1280.8828125</v>
      </c>
      <c r="I2128">
        <v>1393.3233643000001</v>
      </c>
      <c r="J2128">
        <v>1373.8017577999999</v>
      </c>
      <c r="K2128">
        <v>0</v>
      </c>
      <c r="L2128">
        <v>2400</v>
      </c>
      <c r="M2128">
        <v>2400</v>
      </c>
      <c r="N2128">
        <v>0</v>
      </c>
    </row>
    <row r="2129" spans="1:14" x14ac:dyDescent="0.25">
      <c r="A2129">
        <v>1774.618166</v>
      </c>
      <c r="B2129" s="1">
        <f>DATE(2015,3,10) + TIME(14,50,9)</f>
        <v>42073.618159722224</v>
      </c>
      <c r="C2129">
        <v>80</v>
      </c>
      <c r="D2129">
        <v>71.138656616000006</v>
      </c>
      <c r="E2129">
        <v>50</v>
      </c>
      <c r="F2129">
        <v>49.978507995999998</v>
      </c>
      <c r="G2129">
        <v>1295.4388428</v>
      </c>
      <c r="H2129">
        <v>1280.4460449000001</v>
      </c>
      <c r="I2129">
        <v>1393.2955322</v>
      </c>
      <c r="J2129">
        <v>1373.7784423999999</v>
      </c>
      <c r="K2129">
        <v>0</v>
      </c>
      <c r="L2129">
        <v>2400</v>
      </c>
      <c r="M2129">
        <v>2400</v>
      </c>
      <c r="N2129">
        <v>0</v>
      </c>
    </row>
    <row r="2130" spans="1:14" x14ac:dyDescent="0.25">
      <c r="A2130">
        <v>1777.9369340000001</v>
      </c>
      <c r="B2130" s="1">
        <f>DATE(2015,3,13) + TIME(22,29,11)</f>
        <v>42076.936932870369</v>
      </c>
      <c r="C2130">
        <v>80</v>
      </c>
      <c r="D2130">
        <v>70.888305664000001</v>
      </c>
      <c r="E2130">
        <v>50</v>
      </c>
      <c r="F2130">
        <v>49.978542328000003</v>
      </c>
      <c r="G2130">
        <v>1295.1191406</v>
      </c>
      <c r="H2130">
        <v>1279.9930420000001</v>
      </c>
      <c r="I2130">
        <v>1393.2674560999999</v>
      </c>
      <c r="J2130">
        <v>1373.7548827999999</v>
      </c>
      <c r="K2130">
        <v>0</v>
      </c>
      <c r="L2130">
        <v>2400</v>
      </c>
      <c r="M2130">
        <v>2400</v>
      </c>
      <c r="N2130">
        <v>0</v>
      </c>
    </row>
    <row r="2131" spans="1:14" x14ac:dyDescent="0.25">
      <c r="A2131">
        <v>1781.3099500000001</v>
      </c>
      <c r="B2131" s="1">
        <f>DATE(2015,3,17) + TIME(7,26,19)</f>
        <v>42080.309942129628</v>
      </c>
      <c r="C2131">
        <v>80</v>
      </c>
      <c r="D2131">
        <v>70.626007079999994</v>
      </c>
      <c r="E2131">
        <v>50</v>
      </c>
      <c r="F2131">
        <v>49.978576660000002</v>
      </c>
      <c r="G2131">
        <v>1294.7913818</v>
      </c>
      <c r="H2131">
        <v>1279.5273437999999</v>
      </c>
      <c r="I2131">
        <v>1393.2392577999999</v>
      </c>
      <c r="J2131">
        <v>1373.7310791</v>
      </c>
      <c r="K2131">
        <v>0</v>
      </c>
      <c r="L2131">
        <v>2400</v>
      </c>
      <c r="M2131">
        <v>2400</v>
      </c>
      <c r="N2131">
        <v>0</v>
      </c>
    </row>
    <row r="2132" spans="1:14" x14ac:dyDescent="0.25">
      <c r="A2132">
        <v>1784.7452639999999</v>
      </c>
      <c r="B2132" s="1">
        <f>DATE(2015,3,20) + TIME(17,53,10)</f>
        <v>42083.745254629626</v>
      </c>
      <c r="C2132">
        <v>80</v>
      </c>
      <c r="D2132">
        <v>70.351005553999997</v>
      </c>
      <c r="E2132">
        <v>50</v>
      </c>
      <c r="F2132">
        <v>49.978614807</v>
      </c>
      <c r="G2132">
        <v>1294.4556885</v>
      </c>
      <c r="H2132">
        <v>1279.0488281</v>
      </c>
      <c r="I2132">
        <v>1393.2106934000001</v>
      </c>
      <c r="J2132">
        <v>1373.7070312000001</v>
      </c>
      <c r="K2132">
        <v>0</v>
      </c>
      <c r="L2132">
        <v>2400</v>
      </c>
      <c r="M2132">
        <v>2400</v>
      </c>
      <c r="N2132">
        <v>0</v>
      </c>
    </row>
    <row r="2133" spans="1:14" x14ac:dyDescent="0.25">
      <c r="A2133">
        <v>1788.2512200000001</v>
      </c>
      <c r="B2133" s="1">
        <f>DATE(2015,3,24) + TIME(6,1,45)</f>
        <v>42087.251215277778</v>
      </c>
      <c r="C2133">
        <v>80</v>
      </c>
      <c r="D2133">
        <v>70.062263489000003</v>
      </c>
      <c r="E2133">
        <v>50</v>
      </c>
      <c r="F2133">
        <v>49.978649138999998</v>
      </c>
      <c r="G2133">
        <v>1294.1115723</v>
      </c>
      <c r="H2133">
        <v>1278.5567627</v>
      </c>
      <c r="I2133">
        <v>1393.1818848</v>
      </c>
      <c r="J2133">
        <v>1373.6824951000001</v>
      </c>
      <c r="K2133">
        <v>0</v>
      </c>
      <c r="L2133">
        <v>2400</v>
      </c>
      <c r="M2133">
        <v>2400</v>
      </c>
      <c r="N2133">
        <v>0</v>
      </c>
    </row>
    <row r="2134" spans="1:14" x14ac:dyDescent="0.25">
      <c r="A2134">
        <v>1791.8366080000001</v>
      </c>
      <c r="B2134" s="1">
        <f>DATE(2015,3,27) + TIME(20,4,42)</f>
        <v>42090.836597222224</v>
      </c>
      <c r="C2134">
        <v>80</v>
      </c>
      <c r="D2134">
        <v>69.758064270000006</v>
      </c>
      <c r="E2134">
        <v>50</v>
      </c>
      <c r="F2134">
        <v>49.978687286000003</v>
      </c>
      <c r="G2134">
        <v>1293.7584228999999</v>
      </c>
      <c r="H2134">
        <v>1278.050293</v>
      </c>
      <c r="I2134">
        <v>1393.1525879000001</v>
      </c>
      <c r="J2134">
        <v>1373.6577147999999</v>
      </c>
      <c r="K2134">
        <v>0</v>
      </c>
      <c r="L2134">
        <v>2400</v>
      </c>
      <c r="M2134">
        <v>2400</v>
      </c>
      <c r="N2134">
        <v>0</v>
      </c>
    </row>
    <row r="2135" spans="1:14" x14ac:dyDescent="0.25">
      <c r="A2135">
        <v>1795.508313</v>
      </c>
      <c r="B2135" s="1">
        <f>DATE(2015,3,31) + TIME(12,11,58)</f>
        <v>42094.508310185185</v>
      </c>
      <c r="C2135">
        <v>80</v>
      </c>
      <c r="D2135">
        <v>69.436683654999996</v>
      </c>
      <c r="E2135">
        <v>50</v>
      </c>
      <c r="F2135">
        <v>49.978721618999998</v>
      </c>
      <c r="G2135">
        <v>1293.3955077999999</v>
      </c>
      <c r="H2135">
        <v>1277.5283202999999</v>
      </c>
      <c r="I2135">
        <v>1393.1228027</v>
      </c>
      <c r="J2135">
        <v>1373.6322021000001</v>
      </c>
      <c r="K2135">
        <v>0</v>
      </c>
      <c r="L2135">
        <v>2400</v>
      </c>
      <c r="M2135">
        <v>2400</v>
      </c>
      <c r="N2135">
        <v>0</v>
      </c>
    </row>
    <row r="2136" spans="1:14" x14ac:dyDescent="0.25">
      <c r="A2136">
        <v>1796</v>
      </c>
      <c r="B2136" s="1">
        <f>DATE(2015,4,1) + TIME(0,0,0)</f>
        <v>42095</v>
      </c>
      <c r="C2136">
        <v>80</v>
      </c>
      <c r="D2136">
        <v>69.274765015</v>
      </c>
      <c r="E2136">
        <v>50</v>
      </c>
      <c r="F2136">
        <v>49.978725433000001</v>
      </c>
      <c r="G2136">
        <v>1293.0516356999999</v>
      </c>
      <c r="H2136">
        <v>1277.0788574000001</v>
      </c>
      <c r="I2136">
        <v>1393.0915527</v>
      </c>
      <c r="J2136">
        <v>1373.6053466999999</v>
      </c>
      <c r="K2136">
        <v>0</v>
      </c>
      <c r="L2136">
        <v>2400</v>
      </c>
      <c r="M2136">
        <v>2400</v>
      </c>
      <c r="N2136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2022-07-07T13:52:06Z</dcterms:created>
  <dcterms:modified xsi:type="dcterms:W3CDTF">2022-07-07T13:52:44Z</dcterms:modified>
</cp:coreProperties>
</file>