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8_one_clay_layer/"/>
    </mc:Choice>
  </mc:AlternateContent>
  <xr:revisionPtr revIDLastSave="0" documentId="8_{D64E4F95-9BF3-4750-88DF-89337D9DAE7F}" xr6:coauthVersionLast="47" xr6:coauthVersionMax="47" xr10:uidLastSave="{00000000-0000-0000-0000-000000000000}"/>
  <bookViews>
    <workbookView xWindow="1575" yWindow="465" windowWidth="18915" windowHeight="9960" xr2:uid="{D4DD8A2A-0645-4C6C-9253-76BAFA70211E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1" i="1" l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<sst xmlns="http://schemas.openxmlformats.org/spreadsheetml/2006/main" count="15" uniqueCount="15">
  <si>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MODEL\SCENARIOS\2022\S18_one_clay_layer\S18_one_clay_layer.sr3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</si>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</sst>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1514E-C5FB-4821-968A-36E2920FCF27}" name="Table1" displayName="Table1" ref="A3:N2071" totalsRowShown="0">
  <autoFilter ref="A3:N2071" xr:uid="{00F1514E-C5FB-4821-968A-36E2920FCF27}"/>
  <tableColumns count="14">
    <tableColumn id="1" xr3:uid="{55D43829-E576-4DD6-A5CC-5D7282398718}" name="Time (day)"/>
    <tableColumn id="2" xr3:uid="{A648F60A-A17D-4EC0-9F3F-37FD150C017E}" name="Date" dataDxfId="0"/>
    <tableColumn id="3" xr3:uid="{A1C85E05-24DB-4EA4-AF37-E255DD2A5809}" name="Hot well INJ-Well bottom hole temperature (C)"/>
    <tableColumn id="4" xr3:uid="{E7228D38-4779-48CF-8766-12DF4BA57D57}" name="Hot well PROD-Well bottom hole temperature (C)"/>
    <tableColumn id="5" xr3:uid="{8C682801-7E1A-49AF-BAC3-8482128EB30F}" name="Warm well INJ-Well bottom hole temperature (C)"/>
    <tableColumn id="6" xr3:uid="{4E739A2F-A55F-46EB-90C6-5B17FB1B4F7B}" name="Warm well PROD-Well bottom hole temperature (C)"/>
    <tableColumn id="7" xr3:uid="{0CD87FE1-2BF9-4479-B53C-169DF9EB9D3F}" name="Hot well INJ-Well Bottom-hole Pressure (kPa)"/>
    <tableColumn id="8" xr3:uid="{EDC22430-4F0F-46C9-9570-2A1F1C31D391}" name="Hot well PROD-Well Bottom-hole Pressure (kPa)"/>
    <tableColumn id="9" xr3:uid="{D79B5BFF-6327-4D0A-BCA2-BBA8CED000E1}" name="Warm well INJ-Well Bottom-hole Pressure (kPa)"/>
    <tableColumn id="10" xr3:uid="{71A1EE0C-1A09-4830-B585-1E47564B2185}" name="Warm well PROD-Well Bottom-hole Pressure (kPa)"/>
    <tableColumn id="11" xr3:uid="{56C439D1-9CD2-4E25-8B84-F3775D3A7EBA}" name="Hot well INJ-Fluid Rate SC (m³/day)"/>
    <tableColumn id="12" xr3:uid="{4FA481D1-13CD-49A1-BA56-A1DA4CA33C23}" name="Hot well PROD-Fluid Rate SC (m³/day)"/>
    <tableColumn id="13" xr3:uid="{D8AC98E5-B752-4416-ACCC-421D32F652D8}" name="Warm well INJ-Fluid Rate SC (m³/day)"/>
    <tableColumn id="14" xr3:uid="{19B99933-CA7C-497F-B679-E37B1E3EA2B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4C66-FC98-4982-9C90-44211987AEFE}">
  <dimension ref="A1:N207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15.000118256</v>
      </c>
      <c r="E4">
        <v>50</v>
      </c>
      <c r="F4">
        <v>14.999955177</v>
      </c>
      <c r="G4">
        <v>1369.2736815999999</v>
      </c>
      <c r="H4">
        <v>1329.8488769999999</v>
      </c>
      <c r="I4">
        <v>1328.9722899999999</v>
      </c>
      <c r="J4">
        <v>1289.5471190999999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15.000466347</v>
      </c>
      <c r="E5">
        <v>50</v>
      </c>
      <c r="F5">
        <v>14.999828339</v>
      </c>
      <c r="G5">
        <v>1370.5152588000001</v>
      </c>
      <c r="H5">
        <v>1331.0908202999999</v>
      </c>
      <c r="I5">
        <v>1327.7358397999999</v>
      </c>
      <c r="J5">
        <v>1288.3104248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50</v>
      </c>
      <c r="F6">
        <v>14.999503136</v>
      </c>
      <c r="G6">
        <v>1373.6903076000001</v>
      </c>
      <c r="H6">
        <v>1334.2667236</v>
      </c>
      <c r="I6">
        <v>1324.5737305</v>
      </c>
      <c r="J6">
        <v>1285.1478271000001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15.004107475</v>
      </c>
      <c r="E7">
        <v>50</v>
      </c>
      <c r="F7">
        <v>14.998830795</v>
      </c>
      <c r="G7">
        <v>1380.2470702999999</v>
      </c>
      <c r="H7">
        <v>1340.8261719</v>
      </c>
      <c r="I7">
        <v>1318.0427245999999</v>
      </c>
      <c r="J7">
        <v>1278.6159668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15.011060714999999</v>
      </c>
      <c r="E8">
        <v>50</v>
      </c>
      <c r="F8">
        <v>14.997821807999999</v>
      </c>
      <c r="G8">
        <v>1390.0939940999999</v>
      </c>
      <c r="H8">
        <v>1350.6802978999999</v>
      </c>
      <c r="I8">
        <v>1308.2298584</v>
      </c>
      <c r="J8">
        <v>1268.8017577999999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15.030023575</v>
      </c>
      <c r="E9">
        <v>50</v>
      </c>
      <c r="F9">
        <v>14.996678352</v>
      </c>
      <c r="G9">
        <v>1401.2492675999999</v>
      </c>
      <c r="H9">
        <v>1361.8554687999999</v>
      </c>
      <c r="I9">
        <v>1297.0949707</v>
      </c>
      <c r="J9">
        <v>1257.6655272999999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15.084580421</v>
      </c>
      <c r="E10">
        <v>50</v>
      </c>
      <c r="F10">
        <v>14.995523453000001</v>
      </c>
      <c r="G10">
        <v>1412.4661865</v>
      </c>
      <c r="H10">
        <v>1373.1289062000001</v>
      </c>
      <c r="I10">
        <v>1285.8409423999999</v>
      </c>
      <c r="J10">
        <v>1246.4102783000001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15.245540619</v>
      </c>
      <c r="E11">
        <v>50</v>
      </c>
      <c r="F11">
        <v>14.994379044</v>
      </c>
      <c r="G11">
        <v>1423.465332</v>
      </c>
      <c r="H11">
        <v>1384.2939452999999</v>
      </c>
      <c r="I11">
        <v>1274.6352539</v>
      </c>
      <c r="J11">
        <v>1235.2032471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15.722706795000001</v>
      </c>
      <c r="E12">
        <v>50</v>
      </c>
      <c r="F12">
        <v>14.993297577</v>
      </c>
      <c r="G12">
        <v>1433.5371094</v>
      </c>
      <c r="H12">
        <v>1394.8502197</v>
      </c>
      <c r="I12">
        <v>1263.8702393000001</v>
      </c>
      <c r="J12">
        <v>1224.4370117000001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80</v>
      </c>
      <c r="D13">
        <v>16.708271026999999</v>
      </c>
      <c r="E13">
        <v>50</v>
      </c>
      <c r="F13">
        <v>14.992580414000001</v>
      </c>
      <c r="G13">
        <v>1439.5991211</v>
      </c>
      <c r="H13">
        <v>1401.8800048999999</v>
      </c>
      <c r="I13">
        <v>1256.4523925999999</v>
      </c>
      <c r="J13">
        <v>1217.0184326000001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3.7541999999999999E-2</v>
      </c>
      <c r="B14" s="1">
        <f>DATE(2010,5,1) + TIME(0,54,3)</f>
        <v>40299.037534722222</v>
      </c>
      <c r="C14">
        <v>80</v>
      </c>
      <c r="D14">
        <v>17.694471359000001</v>
      </c>
      <c r="E14">
        <v>50</v>
      </c>
      <c r="F14">
        <v>14.992290497000001</v>
      </c>
      <c r="G14">
        <v>1441.5529785000001</v>
      </c>
      <c r="H14">
        <v>1404.7546387</v>
      </c>
      <c r="I14">
        <v>1253.2568358999999</v>
      </c>
      <c r="J14">
        <v>1213.8225098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5.1688999999999999E-2</v>
      </c>
      <c r="B15" s="1">
        <f>DATE(2010,5,1) + TIME(1,14,25)</f>
        <v>40299.051678240743</v>
      </c>
      <c r="C15">
        <v>80</v>
      </c>
      <c r="D15">
        <v>18.680948257000001</v>
      </c>
      <c r="E15">
        <v>50</v>
      </c>
      <c r="F15">
        <v>14.992167473</v>
      </c>
      <c r="G15">
        <v>1441.9353027</v>
      </c>
      <c r="H15">
        <v>1406.0203856999999</v>
      </c>
      <c r="I15">
        <v>1251.7176514</v>
      </c>
      <c r="J15">
        <v>1212.2828368999999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6.6029000000000004E-2</v>
      </c>
      <c r="B16" s="1">
        <f>DATE(2010,5,1) + TIME(1,35,4)</f>
        <v>40299.066018518519</v>
      </c>
      <c r="C16">
        <v>80</v>
      </c>
      <c r="D16">
        <v>19.667249680000001</v>
      </c>
      <c r="E16">
        <v>50</v>
      </c>
      <c r="F16">
        <v>14.992122650000001</v>
      </c>
      <c r="G16">
        <v>1441.6099853999999</v>
      </c>
      <c r="H16">
        <v>1406.5422363</v>
      </c>
      <c r="I16">
        <v>1250.9434814000001</v>
      </c>
      <c r="J16">
        <v>1211.5081786999999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8.0569000000000002E-2</v>
      </c>
      <c r="B17" s="1">
        <f>DATE(2010,5,1) + TIME(1,56,1)</f>
        <v>40299.080567129633</v>
      </c>
      <c r="C17">
        <v>80</v>
      </c>
      <c r="D17">
        <v>20.653898239</v>
      </c>
      <c r="E17">
        <v>50</v>
      </c>
      <c r="F17">
        <v>14.992116928</v>
      </c>
      <c r="G17">
        <v>1440.9388428</v>
      </c>
      <c r="H17">
        <v>1406.6844481999999</v>
      </c>
      <c r="I17">
        <v>1250.5528564000001</v>
      </c>
      <c r="J17">
        <v>1211.1171875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9.5305000000000001E-2</v>
      </c>
      <c r="B18" s="1">
        <f>DATE(2010,5,1) + TIME(2,17,14)</f>
        <v>40299.095300925925</v>
      </c>
      <c r="C18">
        <v>80</v>
      </c>
      <c r="D18">
        <v>21.640024185000001</v>
      </c>
      <c r="E18">
        <v>50</v>
      </c>
      <c r="F18">
        <v>14.992131233</v>
      </c>
      <c r="G18">
        <v>1440.0966797000001</v>
      </c>
      <c r="H18">
        <v>1406.6228027</v>
      </c>
      <c r="I18">
        <v>1250.3614502</v>
      </c>
      <c r="J18">
        <v>1210.9250488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0.110249</v>
      </c>
      <c r="B19" s="1">
        <f>DATE(2010,5,1) + TIME(2,38,45)</f>
        <v>40299.110243055555</v>
      </c>
      <c r="C19">
        <v>80</v>
      </c>
      <c r="D19">
        <v>22.625585556000001</v>
      </c>
      <c r="E19">
        <v>50</v>
      </c>
      <c r="F19">
        <v>14.992155074999999</v>
      </c>
      <c r="G19">
        <v>1439.1741943</v>
      </c>
      <c r="H19">
        <v>1406.4495850000001</v>
      </c>
      <c r="I19">
        <v>1250.2736815999999</v>
      </c>
      <c r="J19">
        <v>1210.8367920000001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0.125412</v>
      </c>
      <c r="B20" s="1">
        <f>DATE(2010,5,1) + TIME(3,0,35)</f>
        <v>40299.125405092593</v>
      </c>
      <c r="C20">
        <v>80</v>
      </c>
      <c r="D20">
        <v>23.61085701</v>
      </c>
      <c r="E20">
        <v>50</v>
      </c>
      <c r="F20">
        <v>14.992185593</v>
      </c>
      <c r="G20">
        <v>1438.2203368999999</v>
      </c>
      <c r="H20">
        <v>1406.2158202999999</v>
      </c>
      <c r="I20">
        <v>1250.2392577999999</v>
      </c>
      <c r="J20">
        <v>1210.8016356999999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0.14080100000000001</v>
      </c>
      <c r="B21" s="1">
        <f>DATE(2010,5,1) + TIME(3,22,45)</f>
        <v>40299.140798611108</v>
      </c>
      <c r="C21">
        <v>80</v>
      </c>
      <c r="D21">
        <v>24.595827103000001</v>
      </c>
      <c r="E21">
        <v>50</v>
      </c>
      <c r="F21">
        <v>14.992218018000001</v>
      </c>
      <c r="G21">
        <v>1437.2629394999999</v>
      </c>
      <c r="H21">
        <v>1405.9506836</v>
      </c>
      <c r="I21">
        <v>1250.2310791</v>
      </c>
      <c r="J21">
        <v>1210.7927245999999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0.15642500000000001</v>
      </c>
      <c r="B22" s="1">
        <f>DATE(2010,5,1) + TIME(3,45,15)</f>
        <v>40299.156423611108</v>
      </c>
      <c r="C22">
        <v>80</v>
      </c>
      <c r="D22">
        <v>25.580881119000001</v>
      </c>
      <c r="E22">
        <v>50</v>
      </c>
      <c r="F22">
        <v>14.992251396</v>
      </c>
      <c r="G22">
        <v>1436.3170166</v>
      </c>
      <c r="H22">
        <v>1405.6707764</v>
      </c>
      <c r="I22">
        <v>1250.2351074000001</v>
      </c>
      <c r="J22">
        <v>1210.7958983999999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0.17228599999999999</v>
      </c>
      <c r="B23" s="1">
        <f>DATE(2010,5,1) + TIME(4,8,5)</f>
        <v>40299.172280092593</v>
      </c>
      <c r="C23">
        <v>80</v>
      </c>
      <c r="D23">
        <v>26.565511702999999</v>
      </c>
      <c r="E23">
        <v>50</v>
      </c>
      <c r="F23">
        <v>14.992285728000001</v>
      </c>
      <c r="G23">
        <v>1435.3916016000001</v>
      </c>
      <c r="H23">
        <v>1405.3859863</v>
      </c>
      <c r="I23">
        <v>1250.2438964999999</v>
      </c>
      <c r="J23">
        <v>1210.8037108999999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0.18839500000000001</v>
      </c>
      <c r="B24" s="1">
        <f>DATE(2010,5,1) + TIME(4,31,17)</f>
        <v>40299.188391203701</v>
      </c>
      <c r="C24">
        <v>80</v>
      </c>
      <c r="D24">
        <v>27.549547194999999</v>
      </c>
      <c r="E24">
        <v>50</v>
      </c>
      <c r="F24">
        <v>14.992320060999999</v>
      </c>
      <c r="G24">
        <v>1434.4912108999999</v>
      </c>
      <c r="H24">
        <v>1405.1021728999999</v>
      </c>
      <c r="I24">
        <v>1250.2540283000001</v>
      </c>
      <c r="J24">
        <v>1210.8128661999999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0.204765</v>
      </c>
      <c r="B25" s="1">
        <f>DATE(2010,5,1) + TIME(4,54,51)</f>
        <v>40299.204756944448</v>
      </c>
      <c r="C25">
        <v>80</v>
      </c>
      <c r="D25">
        <v>28.533241272000001</v>
      </c>
      <c r="E25">
        <v>50</v>
      </c>
      <c r="F25">
        <v>14.992354392999999</v>
      </c>
      <c r="G25">
        <v>1433.6176757999999</v>
      </c>
      <c r="H25">
        <v>1404.8223877</v>
      </c>
      <c r="I25">
        <v>1250.2637939000001</v>
      </c>
      <c r="J25">
        <v>1210.8216553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0.22140699999999999</v>
      </c>
      <c r="B26" s="1">
        <f>DATE(2010,5,1) + TIME(5,18,49)</f>
        <v>40299.221400462964</v>
      </c>
      <c r="C26">
        <v>80</v>
      </c>
      <c r="D26">
        <v>29.516580582</v>
      </c>
      <c r="E26">
        <v>50</v>
      </c>
      <c r="F26">
        <v>14.992388725</v>
      </c>
      <c r="G26">
        <v>1432.7718506000001</v>
      </c>
      <c r="H26">
        <v>1404.5487060999999</v>
      </c>
      <c r="I26">
        <v>1250.2725829999999</v>
      </c>
      <c r="J26">
        <v>1210.8293457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0.23832999999999999</v>
      </c>
      <c r="B27" s="1">
        <f>DATE(2010,5,1) + TIME(5,43,11)</f>
        <v>40299.238321759258</v>
      </c>
      <c r="C27">
        <v>80</v>
      </c>
      <c r="D27">
        <v>30.499666214000001</v>
      </c>
      <c r="E27">
        <v>50</v>
      </c>
      <c r="F27">
        <v>14.992423058</v>
      </c>
      <c r="G27">
        <v>1431.9538574000001</v>
      </c>
      <c r="H27">
        <v>1404.2819824000001</v>
      </c>
      <c r="I27">
        <v>1250.2802733999999</v>
      </c>
      <c r="J27">
        <v>1210.8359375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0.25554500000000002</v>
      </c>
      <c r="B28" s="1">
        <f>DATE(2010,5,1) + TIME(6,7,59)</f>
        <v>40299.255543981482</v>
      </c>
      <c r="C28">
        <v>80</v>
      </c>
      <c r="D28">
        <v>31.482374191000002</v>
      </c>
      <c r="E28">
        <v>50</v>
      </c>
      <c r="F28">
        <v>14.99245739</v>
      </c>
      <c r="G28">
        <v>1431.1630858999999</v>
      </c>
      <c r="H28">
        <v>1404.0229492000001</v>
      </c>
      <c r="I28">
        <v>1250.2869873</v>
      </c>
      <c r="J28">
        <v>1210.8414307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0.27306200000000003</v>
      </c>
      <c r="B29" s="1">
        <f>DATE(2010,5,1) + TIME(6,33,12)</f>
        <v>40299.273055555554</v>
      </c>
      <c r="C29">
        <v>80</v>
      </c>
      <c r="D29">
        <v>32.464580536</v>
      </c>
      <c r="E29">
        <v>50</v>
      </c>
      <c r="F29">
        <v>14.992491722</v>
      </c>
      <c r="G29">
        <v>1430.3989257999999</v>
      </c>
      <c r="H29">
        <v>1403.7716064000001</v>
      </c>
      <c r="I29">
        <v>1250.2928466999999</v>
      </c>
      <c r="J29">
        <v>1210.8459473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0.29089700000000002</v>
      </c>
      <c r="B30" s="1">
        <f>DATE(2010,5,1) + TIME(6,58,53)</f>
        <v>40299.290891203702</v>
      </c>
      <c r="C30">
        <v>80</v>
      </c>
      <c r="D30">
        <v>33.446380615000002</v>
      </c>
      <c r="E30">
        <v>50</v>
      </c>
      <c r="F30">
        <v>14.992526054000001</v>
      </c>
      <c r="G30">
        <v>1429.6605225000001</v>
      </c>
      <c r="H30">
        <v>1403.5279541</v>
      </c>
      <c r="I30">
        <v>1250.2979736</v>
      </c>
      <c r="J30">
        <v>1210.8497314000001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0.309062</v>
      </c>
      <c r="B31" s="1">
        <f>DATE(2010,5,1) + TIME(7,25,2)</f>
        <v>40299.309050925927</v>
      </c>
      <c r="C31">
        <v>80</v>
      </c>
      <c r="D31">
        <v>34.427753447999997</v>
      </c>
      <c r="E31">
        <v>50</v>
      </c>
      <c r="F31">
        <v>14.992560386999999</v>
      </c>
      <c r="G31">
        <v>1428.9466553</v>
      </c>
      <c r="H31">
        <v>1403.2918701000001</v>
      </c>
      <c r="I31">
        <v>1250.3024902</v>
      </c>
      <c r="J31">
        <v>1210.8530272999999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0.327573</v>
      </c>
      <c r="B32" s="1">
        <f>DATE(2010,5,1) + TIME(7,51,42)</f>
        <v>40299.327569444446</v>
      </c>
      <c r="C32">
        <v>80</v>
      </c>
      <c r="D32">
        <v>35.408679962000001</v>
      </c>
      <c r="E32">
        <v>50</v>
      </c>
      <c r="F32">
        <v>14.992594719</v>
      </c>
      <c r="G32">
        <v>1428.2565918</v>
      </c>
      <c r="H32">
        <v>1403.0629882999999</v>
      </c>
      <c r="I32">
        <v>1250.3067627</v>
      </c>
      <c r="J32">
        <v>1210.8558350000001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0.346443</v>
      </c>
      <c r="B33" s="1">
        <f>DATE(2010,5,1) + TIME(8,18,52)</f>
        <v>40299.346435185187</v>
      </c>
      <c r="C33">
        <v>80</v>
      </c>
      <c r="D33">
        <v>36.389148712000001</v>
      </c>
      <c r="E33">
        <v>50</v>
      </c>
      <c r="F33">
        <v>14.992629051</v>
      </c>
      <c r="G33">
        <v>1427.5891113</v>
      </c>
      <c r="H33">
        <v>1402.8411865</v>
      </c>
      <c r="I33">
        <v>1250.3106689000001</v>
      </c>
      <c r="J33">
        <v>1210.8581543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0.36568899999999999</v>
      </c>
      <c r="B34" s="1">
        <f>DATE(2010,5,1) + TIME(8,46,35)</f>
        <v>40299.365682870368</v>
      </c>
      <c r="C34">
        <v>80</v>
      </c>
      <c r="D34">
        <v>37.369136810000001</v>
      </c>
      <c r="E34">
        <v>50</v>
      </c>
      <c r="F34">
        <v>14.992663383</v>
      </c>
      <c r="G34">
        <v>1426.9433594</v>
      </c>
      <c r="H34">
        <v>1402.6259766000001</v>
      </c>
      <c r="I34">
        <v>1250.3143310999999</v>
      </c>
      <c r="J34">
        <v>1210.8602295000001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0.385328</v>
      </c>
      <c r="B35" s="1">
        <f>DATE(2010,5,1) + TIME(9,14,52)</f>
        <v>40299.385324074072</v>
      </c>
      <c r="C35">
        <v>80</v>
      </c>
      <c r="D35">
        <v>38.348621368000003</v>
      </c>
      <c r="E35">
        <v>50</v>
      </c>
      <c r="F35">
        <v>14.992697716</v>
      </c>
      <c r="G35">
        <v>1426.3183594</v>
      </c>
      <c r="H35">
        <v>1402.4172363</v>
      </c>
      <c r="I35">
        <v>1250.317749</v>
      </c>
      <c r="J35">
        <v>1210.8621826000001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0.40537800000000002</v>
      </c>
      <c r="B36" s="1">
        <f>DATE(2010,5,1) + TIME(9,43,44)</f>
        <v>40299.405370370368</v>
      </c>
      <c r="C36">
        <v>80</v>
      </c>
      <c r="D36">
        <v>39.327579497999999</v>
      </c>
      <c r="E36">
        <v>50</v>
      </c>
      <c r="F36">
        <v>14.992732048000001</v>
      </c>
      <c r="G36">
        <v>1425.7131348</v>
      </c>
      <c r="H36">
        <v>1402.2145995999999</v>
      </c>
      <c r="I36">
        <v>1250.3210449000001</v>
      </c>
      <c r="J36">
        <v>1210.8638916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0.42586000000000002</v>
      </c>
      <c r="B37" s="1">
        <f>DATE(2010,5,1) + TIME(10,13,14)</f>
        <v>40299.425856481481</v>
      </c>
      <c r="C37">
        <v>80</v>
      </c>
      <c r="D37">
        <v>40.306060791</v>
      </c>
      <c r="E37">
        <v>50</v>
      </c>
      <c r="F37">
        <v>14.992766380000001</v>
      </c>
      <c r="G37">
        <v>1425.1268310999999</v>
      </c>
      <c r="H37">
        <v>1402.0177002</v>
      </c>
      <c r="I37">
        <v>1250.3243408000001</v>
      </c>
      <c r="J37">
        <v>1210.8653564000001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0.44679200000000002</v>
      </c>
      <c r="B38" s="1">
        <f>DATE(2010,5,1) + TIME(10,43,22)</f>
        <v>40299.446782407409</v>
      </c>
      <c r="C38">
        <v>80</v>
      </c>
      <c r="D38">
        <v>41.284057617000002</v>
      </c>
      <c r="E38">
        <v>50</v>
      </c>
      <c r="F38">
        <v>14.992801666</v>
      </c>
      <c r="G38">
        <v>1424.5584716999999</v>
      </c>
      <c r="H38">
        <v>1401.8261719</v>
      </c>
      <c r="I38">
        <v>1250.3275146000001</v>
      </c>
      <c r="J38">
        <v>1210.8668213000001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0.46819499999999997</v>
      </c>
      <c r="B39" s="1">
        <f>DATE(2010,5,1) + TIME(11,14,12)</f>
        <v>40299.468194444446</v>
      </c>
      <c r="C39">
        <v>80</v>
      </c>
      <c r="D39">
        <v>42.261299133000001</v>
      </c>
      <c r="E39">
        <v>50</v>
      </c>
      <c r="F39">
        <v>14.992835999</v>
      </c>
      <c r="G39">
        <v>1424.0074463000001</v>
      </c>
      <c r="H39">
        <v>1401.6397704999999</v>
      </c>
      <c r="I39">
        <v>1250.3305664</v>
      </c>
      <c r="J39">
        <v>1210.8680420000001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0.49009599999999998</v>
      </c>
      <c r="B40" s="1">
        <f>DATE(2010,5,1) + TIME(11,45,44)</f>
        <v>40299.49009259259</v>
      </c>
      <c r="C40">
        <v>80</v>
      </c>
      <c r="D40">
        <v>43.237911224000001</v>
      </c>
      <c r="E40">
        <v>50</v>
      </c>
      <c r="F40">
        <v>14.992871284</v>
      </c>
      <c r="G40">
        <v>1423.4726562000001</v>
      </c>
      <c r="H40">
        <v>1401.4580077999999</v>
      </c>
      <c r="I40">
        <v>1250.3336182</v>
      </c>
      <c r="J40">
        <v>1210.8692627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0.512521</v>
      </c>
      <c r="B41" s="1">
        <f>DATE(2010,5,1) + TIME(12,18,1)</f>
        <v>40299.512511574074</v>
      </c>
      <c r="C41">
        <v>80</v>
      </c>
      <c r="D41">
        <v>44.213855743000003</v>
      </c>
      <c r="E41">
        <v>50</v>
      </c>
      <c r="F41">
        <v>14.992906570000001</v>
      </c>
      <c r="G41">
        <v>1422.9536132999999</v>
      </c>
      <c r="H41">
        <v>1401.2807617000001</v>
      </c>
      <c r="I41">
        <v>1250.3366699000001</v>
      </c>
      <c r="J41">
        <v>1210.8703613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0.53549999999999998</v>
      </c>
      <c r="B42" s="1">
        <f>DATE(2010,5,1) + TIME(12,51,7)</f>
        <v>40299.535497685189</v>
      </c>
      <c r="C42">
        <v>80</v>
      </c>
      <c r="D42">
        <v>45.189102173000002</v>
      </c>
      <c r="E42">
        <v>50</v>
      </c>
      <c r="F42">
        <v>14.992941856</v>
      </c>
      <c r="G42">
        <v>1422.4492187999999</v>
      </c>
      <c r="H42">
        <v>1401.1076660000001</v>
      </c>
      <c r="I42">
        <v>1250.3395995999999</v>
      </c>
      <c r="J42">
        <v>1210.8714600000001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0.55906100000000003</v>
      </c>
      <c r="B43" s="1">
        <f>DATE(2010,5,1) + TIME(13,25,2)</f>
        <v>40299.559050925927</v>
      </c>
      <c r="C43">
        <v>80</v>
      </c>
      <c r="D43">
        <v>46.163608551000003</v>
      </c>
      <c r="E43">
        <v>50</v>
      </c>
      <c r="F43">
        <v>14.992977142000001</v>
      </c>
      <c r="G43">
        <v>1421.9591064000001</v>
      </c>
      <c r="H43">
        <v>1400.9384766000001</v>
      </c>
      <c r="I43">
        <v>1250.3425293</v>
      </c>
      <c r="J43">
        <v>1210.8724365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0.58323999999999998</v>
      </c>
      <c r="B44" s="1">
        <f>DATE(2010,5,1) + TIME(13,59,51)</f>
        <v>40299.583229166667</v>
      </c>
      <c r="C44">
        <v>80</v>
      </c>
      <c r="D44">
        <v>47.137336730999998</v>
      </c>
      <c r="E44">
        <v>50</v>
      </c>
      <c r="F44">
        <v>14.993012428</v>
      </c>
      <c r="G44">
        <v>1421.4824219</v>
      </c>
      <c r="H44">
        <v>1400.7728271000001</v>
      </c>
      <c r="I44">
        <v>1250.3454589999999</v>
      </c>
      <c r="J44">
        <v>1210.8732910000001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0.60807</v>
      </c>
      <c r="B45" s="1">
        <f>DATE(2010,5,1) + TIME(14,35,37)</f>
        <v>40299.608067129629</v>
      </c>
      <c r="C45">
        <v>80</v>
      </c>
      <c r="D45">
        <v>48.110244751000003</v>
      </c>
      <c r="E45">
        <v>50</v>
      </c>
      <c r="F45">
        <v>14.993048668</v>
      </c>
      <c r="G45">
        <v>1421.0185547000001</v>
      </c>
      <c r="H45">
        <v>1400.6104736</v>
      </c>
      <c r="I45">
        <v>1250.3485106999999</v>
      </c>
      <c r="J45">
        <v>1210.8741454999999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0.63359200000000004</v>
      </c>
      <c r="B46" s="1">
        <f>DATE(2010,5,1) + TIME(15,12,22)</f>
        <v>40299.633587962962</v>
      </c>
      <c r="C46">
        <v>80</v>
      </c>
      <c r="D46">
        <v>49.082275391000003</v>
      </c>
      <c r="E46">
        <v>50</v>
      </c>
      <c r="F46">
        <v>14.993084908</v>
      </c>
      <c r="G46">
        <v>1420.5667725000001</v>
      </c>
      <c r="H46">
        <v>1400.4510498</v>
      </c>
      <c r="I46">
        <v>1250.3514404</v>
      </c>
      <c r="J46">
        <v>1210.875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0.65984799999999999</v>
      </c>
      <c r="B47" s="1">
        <f>DATE(2010,5,1) + TIME(15,50,10)</f>
        <v>40299.659837962965</v>
      </c>
      <c r="C47">
        <v>80</v>
      </c>
      <c r="D47">
        <v>50.053359985</v>
      </c>
      <c r="E47">
        <v>50</v>
      </c>
      <c r="F47">
        <v>14.993121147</v>
      </c>
      <c r="G47">
        <v>1420.1265868999999</v>
      </c>
      <c r="H47">
        <v>1400.2943115</v>
      </c>
      <c r="I47">
        <v>1250.3543701000001</v>
      </c>
      <c r="J47">
        <v>1210.8757324000001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0.686886</v>
      </c>
      <c r="B48" s="1">
        <f>DATE(2010,5,1) + TIME(16,29,6)</f>
        <v>40299.686874999999</v>
      </c>
      <c r="C48">
        <v>80</v>
      </c>
      <c r="D48">
        <v>51.023048400999997</v>
      </c>
      <c r="E48">
        <v>50</v>
      </c>
      <c r="F48">
        <v>14.993157387</v>
      </c>
      <c r="G48">
        <v>1419.6972656</v>
      </c>
      <c r="H48">
        <v>1400.1400146000001</v>
      </c>
      <c r="I48">
        <v>1250.3572998</v>
      </c>
      <c r="J48">
        <v>1210.8764647999999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0.71476899999999999</v>
      </c>
      <c r="B49" s="1">
        <f>DATE(2010,5,1) + TIME(17,9,16)</f>
        <v>40299.714768518519</v>
      </c>
      <c r="C49">
        <v>80</v>
      </c>
      <c r="D49">
        <v>51.992092133</v>
      </c>
      <c r="E49">
        <v>50</v>
      </c>
      <c r="F49">
        <v>14.993194580000001</v>
      </c>
      <c r="G49">
        <v>1419.2781981999999</v>
      </c>
      <c r="H49">
        <v>1399.987793</v>
      </c>
      <c r="I49">
        <v>1250.3602295000001</v>
      </c>
      <c r="J49">
        <v>1210.8770752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0.74354299999999995</v>
      </c>
      <c r="B50" s="1">
        <f>DATE(2010,5,1) + TIME(17,50,42)</f>
        <v>40299.743541666663</v>
      </c>
      <c r="C50">
        <v>80</v>
      </c>
      <c r="D50">
        <v>52.960021973000003</v>
      </c>
      <c r="E50">
        <v>50</v>
      </c>
      <c r="F50">
        <v>14.993230820000001</v>
      </c>
      <c r="G50">
        <v>1418.8690185999999</v>
      </c>
      <c r="H50">
        <v>1399.8375243999999</v>
      </c>
      <c r="I50">
        <v>1250.3632812000001</v>
      </c>
      <c r="J50">
        <v>1210.8778076000001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0.77327100000000004</v>
      </c>
      <c r="B51" s="1">
        <f>DATE(2010,5,1) + TIME(18,33,30)</f>
        <v>40299.773263888892</v>
      </c>
      <c r="C51">
        <v>80</v>
      </c>
      <c r="D51">
        <v>53.926757811999998</v>
      </c>
      <c r="E51">
        <v>50</v>
      </c>
      <c r="F51">
        <v>14.993268967000001</v>
      </c>
      <c r="G51">
        <v>1418.4689940999999</v>
      </c>
      <c r="H51">
        <v>1399.6888428</v>
      </c>
      <c r="I51">
        <v>1250.3662108999999</v>
      </c>
      <c r="J51">
        <v>1210.878418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0.80402099999999999</v>
      </c>
      <c r="B52" s="1">
        <f>DATE(2010,5,1) + TIME(19,17,47)</f>
        <v>40299.804016203707</v>
      </c>
      <c r="C52">
        <v>80</v>
      </c>
      <c r="D52">
        <v>54.892211914000001</v>
      </c>
      <c r="E52">
        <v>50</v>
      </c>
      <c r="F52">
        <v>14.993306159999999</v>
      </c>
      <c r="G52">
        <v>1418.0775146000001</v>
      </c>
      <c r="H52">
        <v>1399.5413818</v>
      </c>
      <c r="I52">
        <v>1250.3692627</v>
      </c>
      <c r="J52">
        <v>1210.8790283000001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0.83587100000000003</v>
      </c>
      <c r="B53" s="1">
        <f>DATE(2010,5,1) + TIME(20,3,39)</f>
        <v>40299.835868055554</v>
      </c>
      <c r="C53">
        <v>80</v>
      </c>
      <c r="D53">
        <v>55.856292725000003</v>
      </c>
      <c r="E53">
        <v>50</v>
      </c>
      <c r="F53">
        <v>14.993344306999999</v>
      </c>
      <c r="G53">
        <v>1417.6942139</v>
      </c>
      <c r="H53">
        <v>1399.3948975000001</v>
      </c>
      <c r="I53">
        <v>1250.3723144999999</v>
      </c>
      <c r="J53">
        <v>1210.8796387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0.86890900000000004</v>
      </c>
      <c r="B54" s="1">
        <f>DATE(2010,5,1) + TIME(20,51,13)</f>
        <v>40299.868900462963</v>
      </c>
      <c r="C54">
        <v>80</v>
      </c>
      <c r="D54">
        <v>56.818897247000002</v>
      </c>
      <c r="E54">
        <v>50</v>
      </c>
      <c r="F54">
        <v>14.993382454000001</v>
      </c>
      <c r="G54">
        <v>1417.3184814000001</v>
      </c>
      <c r="H54">
        <v>1399.2491454999999</v>
      </c>
      <c r="I54">
        <v>1250.3754882999999</v>
      </c>
      <c r="J54">
        <v>1210.880249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0.90322899999999995</v>
      </c>
      <c r="B55" s="1">
        <f>DATE(2010,5,1) + TIME(21,40,38)</f>
        <v>40299.903217592589</v>
      </c>
      <c r="C55">
        <v>80</v>
      </c>
      <c r="D55">
        <v>57.779907227000002</v>
      </c>
      <c r="E55">
        <v>50</v>
      </c>
      <c r="F55">
        <v>14.993421554999999</v>
      </c>
      <c r="G55">
        <v>1416.9498291</v>
      </c>
      <c r="H55">
        <v>1399.1037598</v>
      </c>
      <c r="I55">
        <v>1250.3786620999999</v>
      </c>
      <c r="J55">
        <v>1210.8807373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0.93894200000000005</v>
      </c>
      <c r="B56" s="1">
        <f>DATE(2010,5,1) + TIME(22,32,4)</f>
        <v>40299.938935185186</v>
      </c>
      <c r="C56">
        <v>80</v>
      </c>
      <c r="D56">
        <v>58.739192963000001</v>
      </c>
      <c r="E56">
        <v>50</v>
      </c>
      <c r="F56">
        <v>14.993460655</v>
      </c>
      <c r="G56">
        <v>1416.5876464999999</v>
      </c>
      <c r="H56">
        <v>1398.9584961</v>
      </c>
      <c r="I56">
        <v>1250.3818358999999</v>
      </c>
      <c r="J56">
        <v>1210.8813477000001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0.97617100000000001</v>
      </c>
      <c r="B57" s="1">
        <f>DATE(2010,5,1) + TIME(23,25,41)</f>
        <v>40299.976168981484</v>
      </c>
      <c r="C57">
        <v>80</v>
      </c>
      <c r="D57">
        <v>59.696601868000002</v>
      </c>
      <c r="E57">
        <v>50</v>
      </c>
      <c r="F57">
        <v>14.993500709999999</v>
      </c>
      <c r="G57">
        <v>1416.2314452999999</v>
      </c>
      <c r="H57">
        <v>1398.8128661999999</v>
      </c>
      <c r="I57">
        <v>1250.3850098</v>
      </c>
      <c r="J57">
        <v>1210.8819579999999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1.015056</v>
      </c>
      <c r="B58" s="1">
        <f>DATE(2010,5,2) + TIME(0,21,40)</f>
        <v>40300.015046296299</v>
      </c>
      <c r="C58">
        <v>80</v>
      </c>
      <c r="D58">
        <v>60.651496887</v>
      </c>
      <c r="E58">
        <v>50</v>
      </c>
      <c r="F58">
        <v>14.993540764</v>
      </c>
      <c r="G58">
        <v>1415.8807373</v>
      </c>
      <c r="H58">
        <v>1398.6665039</v>
      </c>
      <c r="I58">
        <v>1250.3883057</v>
      </c>
      <c r="J58">
        <v>1210.8825684000001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1.0557780000000001</v>
      </c>
      <c r="B59" s="1">
        <f>DATE(2010,5,2) + TIME(1,20,19)</f>
        <v>40300.055775462963</v>
      </c>
      <c r="C59">
        <v>80</v>
      </c>
      <c r="D59">
        <v>61.604370117000002</v>
      </c>
      <c r="E59">
        <v>50</v>
      </c>
      <c r="F59">
        <v>14.993581772000001</v>
      </c>
      <c r="G59">
        <v>1415.534668</v>
      </c>
      <c r="H59">
        <v>1398.519043</v>
      </c>
      <c r="I59">
        <v>1250.3917236</v>
      </c>
      <c r="J59">
        <v>1210.8831786999999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1.0985130000000001</v>
      </c>
      <c r="B60" s="1">
        <f>DATE(2010,5,2) + TIME(2,21,51)</f>
        <v>40300.098506944443</v>
      </c>
      <c r="C60">
        <v>80</v>
      </c>
      <c r="D60">
        <v>62.554988860999998</v>
      </c>
      <c r="E60">
        <v>50</v>
      </c>
      <c r="F60">
        <v>14.993622780000001</v>
      </c>
      <c r="G60">
        <v>1415.1928711</v>
      </c>
      <c r="H60">
        <v>1398.3701172000001</v>
      </c>
      <c r="I60">
        <v>1250.3951416</v>
      </c>
      <c r="J60">
        <v>1210.8837891000001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1.1434690000000001</v>
      </c>
      <c r="B61" s="1">
        <f>DATE(2010,5,2) + TIME(3,26,35)</f>
        <v>40300.143460648149</v>
      </c>
      <c r="C61">
        <v>80</v>
      </c>
      <c r="D61">
        <v>63.502906799000002</v>
      </c>
      <c r="E61">
        <v>50</v>
      </c>
      <c r="F61">
        <v>14.993665695000001</v>
      </c>
      <c r="G61">
        <v>1414.8547363</v>
      </c>
      <c r="H61">
        <v>1398.2193603999999</v>
      </c>
      <c r="I61">
        <v>1250.3986815999999</v>
      </c>
      <c r="J61">
        <v>1210.8845214999999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1.190895</v>
      </c>
      <c r="B62" s="1">
        <f>DATE(2010,5,2) + TIME(4,34,53)</f>
        <v>40300.190891203703</v>
      </c>
      <c r="C62">
        <v>80</v>
      </c>
      <c r="D62">
        <v>64.447837829999997</v>
      </c>
      <c r="E62">
        <v>50</v>
      </c>
      <c r="F62">
        <v>14.993708611000001</v>
      </c>
      <c r="G62">
        <v>1414.5196533000001</v>
      </c>
      <c r="H62">
        <v>1398.065918</v>
      </c>
      <c r="I62">
        <v>1250.4022216999999</v>
      </c>
      <c r="J62">
        <v>1210.8852539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1.2410840000000001</v>
      </c>
      <c r="B63" s="1">
        <f>DATE(2010,5,2) + TIME(5,47,9)</f>
        <v>40300.241076388891</v>
      </c>
      <c r="C63">
        <v>80</v>
      </c>
      <c r="D63">
        <v>65.389541625999996</v>
      </c>
      <c r="E63">
        <v>50</v>
      </c>
      <c r="F63">
        <v>14.993752479999999</v>
      </c>
      <c r="G63">
        <v>1414.1866454999999</v>
      </c>
      <c r="H63">
        <v>1397.9095459</v>
      </c>
      <c r="I63">
        <v>1250.4058838000001</v>
      </c>
      <c r="J63">
        <v>1210.8859863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1.294381</v>
      </c>
      <c r="B64" s="1">
        <f>DATE(2010,5,2) + TIME(7,3,54)</f>
        <v>40300.294374999998</v>
      </c>
      <c r="C64">
        <v>80</v>
      </c>
      <c r="D64">
        <v>66.327568053999997</v>
      </c>
      <c r="E64">
        <v>50</v>
      </c>
      <c r="F64">
        <v>14.993797302000001</v>
      </c>
      <c r="G64">
        <v>1413.8552245999999</v>
      </c>
      <c r="H64">
        <v>1397.7493896000001</v>
      </c>
      <c r="I64">
        <v>1250.409668</v>
      </c>
      <c r="J64">
        <v>1210.8868408000001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1.3227899999999999</v>
      </c>
      <c r="B65" s="1">
        <f>DATE(2010,5,2) + TIME(7,44,49)</f>
        <v>40300.322789351849</v>
      </c>
      <c r="C65">
        <v>80</v>
      </c>
      <c r="D65">
        <v>66.811264038000004</v>
      </c>
      <c r="E65">
        <v>50</v>
      </c>
      <c r="F65">
        <v>14.993821144</v>
      </c>
      <c r="G65">
        <v>1413.6656493999999</v>
      </c>
      <c r="H65">
        <v>1397.6225586</v>
      </c>
      <c r="I65">
        <v>1250.4124756000001</v>
      </c>
      <c r="J65">
        <v>1210.8874512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1.3511979999999999</v>
      </c>
      <c r="B66" s="1">
        <f>DATE(2010,5,2) + TIME(8,25,43)</f>
        <v>40300.35119212963</v>
      </c>
      <c r="C66">
        <v>80</v>
      </c>
      <c r="D66">
        <v>67.278335571</v>
      </c>
      <c r="E66">
        <v>50</v>
      </c>
      <c r="F66">
        <v>14.993844032</v>
      </c>
      <c r="G66">
        <v>1413.4986572</v>
      </c>
      <c r="H66">
        <v>1397.5385742000001</v>
      </c>
      <c r="I66">
        <v>1250.4149170000001</v>
      </c>
      <c r="J66">
        <v>1210.8880615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1.379607</v>
      </c>
      <c r="B67" s="1">
        <f>DATE(2010,5,2) + TIME(9,6,38)</f>
        <v>40300.379606481481</v>
      </c>
      <c r="C67">
        <v>80</v>
      </c>
      <c r="D67">
        <v>67.729309082</v>
      </c>
      <c r="E67">
        <v>50</v>
      </c>
      <c r="F67">
        <v>14.99386692</v>
      </c>
      <c r="G67">
        <v>1413.3376464999999</v>
      </c>
      <c r="H67">
        <v>1397.4560547000001</v>
      </c>
      <c r="I67">
        <v>1250.4172363</v>
      </c>
      <c r="J67">
        <v>1210.8885498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1.4080159999999999</v>
      </c>
      <c r="B68" s="1">
        <f>DATE(2010,5,2) + TIME(9,47,32)</f>
        <v>40300.408009259256</v>
      </c>
      <c r="C68">
        <v>80</v>
      </c>
      <c r="D68">
        <v>68.164718628000003</v>
      </c>
      <c r="E68">
        <v>50</v>
      </c>
      <c r="F68">
        <v>14.993889809000001</v>
      </c>
      <c r="G68">
        <v>1413.1816406</v>
      </c>
      <c r="H68">
        <v>1397.3747559000001</v>
      </c>
      <c r="I68">
        <v>1250.4193115</v>
      </c>
      <c r="J68">
        <v>1210.8890381000001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1.4364250000000001</v>
      </c>
      <c r="B69" s="1">
        <f>DATE(2010,5,2) + TIME(10,28,27)</f>
        <v>40300.436423611114</v>
      </c>
      <c r="C69">
        <v>80</v>
      </c>
      <c r="D69">
        <v>68.585060119999994</v>
      </c>
      <c r="E69">
        <v>50</v>
      </c>
      <c r="F69">
        <v>14.993911743</v>
      </c>
      <c r="G69">
        <v>1413.0302733999999</v>
      </c>
      <c r="H69">
        <v>1397.2944336</v>
      </c>
      <c r="I69">
        <v>1250.4213867000001</v>
      </c>
      <c r="J69">
        <v>1210.8895264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1.464834</v>
      </c>
      <c r="B70" s="1">
        <f>DATE(2010,5,2) + TIME(11,9,21)</f>
        <v>40300.464826388888</v>
      </c>
      <c r="C70">
        <v>80</v>
      </c>
      <c r="D70">
        <v>68.990814209000007</v>
      </c>
      <c r="E70">
        <v>50</v>
      </c>
      <c r="F70">
        <v>14.993932724</v>
      </c>
      <c r="G70">
        <v>1412.8831786999999</v>
      </c>
      <c r="H70">
        <v>1397.215332</v>
      </c>
      <c r="I70">
        <v>1250.4232178</v>
      </c>
      <c r="J70">
        <v>1210.8900146000001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1.5216510000000001</v>
      </c>
      <c r="B71" s="1">
        <f>DATE(2010,5,2) + TIME(12,31,10)</f>
        <v>40300.521643518521</v>
      </c>
      <c r="C71">
        <v>80</v>
      </c>
      <c r="D71">
        <v>69.746635436999995</v>
      </c>
      <c r="E71">
        <v>50</v>
      </c>
      <c r="F71">
        <v>14.993973732000001</v>
      </c>
      <c r="G71">
        <v>1412.6325684000001</v>
      </c>
      <c r="H71">
        <v>1397.1094971</v>
      </c>
      <c r="I71">
        <v>1250.4259033000001</v>
      </c>
      <c r="J71">
        <v>1210.890625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1.57847</v>
      </c>
      <c r="B72" s="1">
        <f>DATE(2010,5,2) + TIME(13,52,59)</f>
        <v>40300.578460648147</v>
      </c>
      <c r="C72">
        <v>80</v>
      </c>
      <c r="D72">
        <v>70.451210021999998</v>
      </c>
      <c r="E72">
        <v>50</v>
      </c>
      <c r="F72">
        <v>14.994012832999999</v>
      </c>
      <c r="G72">
        <v>1412.3690185999999</v>
      </c>
      <c r="H72">
        <v>1396.9578856999999</v>
      </c>
      <c r="I72">
        <v>1250.4289550999999</v>
      </c>
      <c r="J72">
        <v>1210.8914795000001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1.6355740000000001</v>
      </c>
      <c r="B73" s="1">
        <f>DATE(2010,5,2) + TIME(15,15,13)</f>
        <v>40300.635567129626</v>
      </c>
      <c r="C73">
        <v>80</v>
      </c>
      <c r="D73">
        <v>71.110946655000006</v>
      </c>
      <c r="E73">
        <v>50</v>
      </c>
      <c r="F73">
        <v>14.994050980000001</v>
      </c>
      <c r="G73">
        <v>1412.1171875</v>
      </c>
      <c r="H73">
        <v>1396.8094481999999</v>
      </c>
      <c r="I73">
        <v>1250.432251</v>
      </c>
      <c r="J73">
        <v>1210.8924560999999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1.6930449999999999</v>
      </c>
      <c r="B74" s="1">
        <f>DATE(2010,5,2) + TIME(16,37,59)</f>
        <v>40300.693043981482</v>
      </c>
      <c r="C74">
        <v>80</v>
      </c>
      <c r="D74">
        <v>71.729278563999998</v>
      </c>
      <c r="E74">
        <v>50</v>
      </c>
      <c r="F74">
        <v>14.994088173</v>
      </c>
      <c r="G74">
        <v>1411.8760986</v>
      </c>
      <c r="H74">
        <v>1396.6635742000001</v>
      </c>
      <c r="I74">
        <v>1250.4356689000001</v>
      </c>
      <c r="J74">
        <v>1210.8934326000001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1.7509680000000001</v>
      </c>
      <c r="B75" s="1">
        <f>DATE(2010,5,2) + TIME(18,1,23)</f>
        <v>40300.750960648147</v>
      </c>
      <c r="C75">
        <v>80</v>
      </c>
      <c r="D75">
        <v>72.309150696000003</v>
      </c>
      <c r="E75">
        <v>50</v>
      </c>
      <c r="F75">
        <v>14.994124413</v>
      </c>
      <c r="G75">
        <v>1411.6445312000001</v>
      </c>
      <c r="H75">
        <v>1396.5197754000001</v>
      </c>
      <c r="I75">
        <v>1250.4388428</v>
      </c>
      <c r="J75">
        <v>1210.8944091999999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1.809426</v>
      </c>
      <c r="B76" s="1">
        <f>DATE(2010,5,2) + TIME(19,25,34)</f>
        <v>40300.809421296297</v>
      </c>
      <c r="C76">
        <v>80</v>
      </c>
      <c r="D76">
        <v>72.853202820000007</v>
      </c>
      <c r="E76">
        <v>50</v>
      </c>
      <c r="F76">
        <v>14.994159698000001</v>
      </c>
      <c r="G76">
        <v>1411.4213867000001</v>
      </c>
      <c r="H76">
        <v>1396.3778076000001</v>
      </c>
      <c r="I76">
        <v>1250.4420166</v>
      </c>
      <c r="J76">
        <v>1210.8953856999999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1.8685</v>
      </c>
      <c r="B77" s="1">
        <f>DATE(2010,5,2) + TIME(20,50,38)</f>
        <v>40300.868495370371</v>
      </c>
      <c r="C77">
        <v>80</v>
      </c>
      <c r="D77">
        <v>73.363815308</v>
      </c>
      <c r="E77">
        <v>50</v>
      </c>
      <c r="F77">
        <v>14.994194030999999</v>
      </c>
      <c r="G77">
        <v>1411.2059326000001</v>
      </c>
      <c r="H77">
        <v>1396.2373047000001</v>
      </c>
      <c r="I77">
        <v>1250.4450684000001</v>
      </c>
      <c r="J77">
        <v>1210.8964844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1.928269</v>
      </c>
      <c r="B78" s="1">
        <f>DATE(2010,5,2) + TIME(22,16,42)</f>
        <v>40300.928263888891</v>
      </c>
      <c r="C78">
        <v>80</v>
      </c>
      <c r="D78">
        <v>73.843093871999997</v>
      </c>
      <c r="E78">
        <v>50</v>
      </c>
      <c r="F78">
        <v>14.994227409000001</v>
      </c>
      <c r="G78">
        <v>1410.9971923999999</v>
      </c>
      <c r="H78">
        <v>1396.0980225000001</v>
      </c>
      <c r="I78">
        <v>1250.4481201000001</v>
      </c>
      <c r="J78">
        <v>1210.8974608999999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1.9888140000000001</v>
      </c>
      <c r="B79" s="1">
        <f>DATE(2010,5,2) + TIME(23,43,53)</f>
        <v>40300.988807870373</v>
      </c>
      <c r="C79">
        <v>80</v>
      </c>
      <c r="D79">
        <v>74.292999268000003</v>
      </c>
      <c r="E79">
        <v>50</v>
      </c>
      <c r="F79">
        <v>14.994260788</v>
      </c>
      <c r="G79">
        <v>1410.7945557</v>
      </c>
      <c r="H79">
        <v>1395.9595947</v>
      </c>
      <c r="I79">
        <v>1250.4510498</v>
      </c>
      <c r="J79">
        <v>1210.8984375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2.05023</v>
      </c>
      <c r="B80" s="1">
        <f>DATE(2010,5,3) + TIME(1,12,19)</f>
        <v>40301.050219907411</v>
      </c>
      <c r="C80">
        <v>80</v>
      </c>
      <c r="D80">
        <v>74.715362549000005</v>
      </c>
      <c r="E80">
        <v>50</v>
      </c>
      <c r="F80">
        <v>14.994293213000001</v>
      </c>
      <c r="G80">
        <v>1410.5972899999999</v>
      </c>
      <c r="H80">
        <v>1395.8218993999999</v>
      </c>
      <c r="I80">
        <v>1250.4538574000001</v>
      </c>
      <c r="J80">
        <v>1210.8995361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2.1126040000000001</v>
      </c>
      <c r="B81" s="1">
        <f>DATE(2010,5,3) + TIME(2,42,8)</f>
        <v>40301.112592592595</v>
      </c>
      <c r="C81">
        <v>80</v>
      </c>
      <c r="D81">
        <v>75.111732482999997</v>
      </c>
      <c r="E81">
        <v>50</v>
      </c>
      <c r="F81">
        <v>14.994324684</v>
      </c>
      <c r="G81">
        <v>1410.4047852000001</v>
      </c>
      <c r="H81">
        <v>1395.6845702999999</v>
      </c>
      <c r="I81">
        <v>1250.4566649999999</v>
      </c>
      <c r="J81">
        <v>1210.9005127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2.1760299999999999</v>
      </c>
      <c r="B82" s="1">
        <f>DATE(2010,5,3) + TIME(4,13,29)</f>
        <v>40301.176030092596</v>
      </c>
      <c r="C82">
        <v>80</v>
      </c>
      <c r="D82">
        <v>75.483482361</v>
      </c>
      <c r="E82">
        <v>50</v>
      </c>
      <c r="F82">
        <v>14.994356155</v>
      </c>
      <c r="G82">
        <v>1410.2165527</v>
      </c>
      <c r="H82">
        <v>1395.5474853999999</v>
      </c>
      <c r="I82">
        <v>1250.4593506000001</v>
      </c>
      <c r="J82">
        <v>1210.9016113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2.240605</v>
      </c>
      <c r="B83" s="1">
        <f>DATE(2010,5,3) + TIME(5,46,28)</f>
        <v>40301.240601851852</v>
      </c>
      <c r="C83">
        <v>80</v>
      </c>
      <c r="D83">
        <v>75.832206725999995</v>
      </c>
      <c r="E83">
        <v>50</v>
      </c>
      <c r="F83">
        <v>14.994386672999999</v>
      </c>
      <c r="G83">
        <v>1410.0321045000001</v>
      </c>
      <c r="H83">
        <v>1395.4105225000001</v>
      </c>
      <c r="I83">
        <v>1250.4620361</v>
      </c>
      <c r="J83">
        <v>1210.9027100000001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2.3064309999999999</v>
      </c>
      <c r="B84" s="1">
        <f>DATE(2010,5,3) + TIME(7,21,15)</f>
        <v>40301.306423611109</v>
      </c>
      <c r="C84">
        <v>80</v>
      </c>
      <c r="D84">
        <v>76.159179687999995</v>
      </c>
      <c r="E84">
        <v>50</v>
      </c>
      <c r="F84">
        <v>14.994417191</v>
      </c>
      <c r="G84">
        <v>1409.8509521000001</v>
      </c>
      <c r="H84">
        <v>1395.2733154</v>
      </c>
      <c r="I84">
        <v>1250.4645995999999</v>
      </c>
      <c r="J84">
        <v>1210.9038086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2.373615</v>
      </c>
      <c r="B85" s="1">
        <f>DATE(2010,5,3) + TIME(8,58,0)</f>
        <v>40301.373611111114</v>
      </c>
      <c r="C85">
        <v>80</v>
      </c>
      <c r="D85">
        <v>76.465576171999999</v>
      </c>
      <c r="E85">
        <v>50</v>
      </c>
      <c r="F85">
        <v>14.994446754</v>
      </c>
      <c r="G85">
        <v>1409.6726074000001</v>
      </c>
      <c r="H85">
        <v>1395.1358643000001</v>
      </c>
      <c r="I85">
        <v>1250.4671631000001</v>
      </c>
      <c r="J85">
        <v>1210.9049072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2.442275</v>
      </c>
      <c r="B86" s="1">
        <f>DATE(2010,5,3) + TIME(10,36,52)</f>
        <v>40301.44226851852</v>
      </c>
      <c r="C86">
        <v>80</v>
      </c>
      <c r="D86">
        <v>76.752510071000003</v>
      </c>
      <c r="E86">
        <v>50</v>
      </c>
      <c r="F86">
        <v>14.994476318</v>
      </c>
      <c r="G86">
        <v>1409.4967041</v>
      </c>
      <c r="H86">
        <v>1394.9979248</v>
      </c>
      <c r="I86">
        <v>1250.4697266000001</v>
      </c>
      <c r="J86">
        <v>1210.9060059000001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2.5125320000000002</v>
      </c>
      <c r="B87" s="1">
        <f>DATE(2010,5,3) + TIME(12,18,2)</f>
        <v>40301.512523148151</v>
      </c>
      <c r="C87">
        <v>80</v>
      </c>
      <c r="D87">
        <v>77.021003723000007</v>
      </c>
      <c r="E87">
        <v>50</v>
      </c>
      <c r="F87">
        <v>14.994505882</v>
      </c>
      <c r="G87">
        <v>1409.322876</v>
      </c>
      <c r="H87">
        <v>1394.859375</v>
      </c>
      <c r="I87">
        <v>1250.472168</v>
      </c>
      <c r="J87">
        <v>1210.9071045000001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2.5845310000000001</v>
      </c>
      <c r="B88" s="1">
        <f>DATE(2010,5,3) + TIME(14,1,43)</f>
        <v>40301.58452546296</v>
      </c>
      <c r="C88">
        <v>80</v>
      </c>
      <c r="D88">
        <v>77.272048949999999</v>
      </c>
      <c r="E88">
        <v>50</v>
      </c>
      <c r="F88">
        <v>14.994534492</v>
      </c>
      <c r="G88">
        <v>1409.1508789</v>
      </c>
      <c r="H88">
        <v>1394.7198486</v>
      </c>
      <c r="I88">
        <v>1250.4746094</v>
      </c>
      <c r="J88">
        <v>1210.9082031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2.6584310000000002</v>
      </c>
      <c r="B89" s="1">
        <f>DATE(2010,5,3) + TIME(15,48,8)</f>
        <v>40301.658425925925</v>
      </c>
      <c r="C89">
        <v>80</v>
      </c>
      <c r="D89">
        <v>77.506568908999995</v>
      </c>
      <c r="E89">
        <v>50</v>
      </c>
      <c r="F89">
        <v>14.994564056</v>
      </c>
      <c r="G89">
        <v>1408.9801024999999</v>
      </c>
      <c r="H89">
        <v>1394.5793457</v>
      </c>
      <c r="I89">
        <v>1250.4770507999999</v>
      </c>
      <c r="J89">
        <v>1210.9094238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2.7343660000000001</v>
      </c>
      <c r="B90" s="1">
        <f>DATE(2010,5,3) + TIME(17,37,29)</f>
        <v>40301.734363425923</v>
      </c>
      <c r="C90">
        <v>80</v>
      </c>
      <c r="D90">
        <v>77.725341796999999</v>
      </c>
      <c r="E90">
        <v>50</v>
      </c>
      <c r="F90">
        <v>14.994592666999999</v>
      </c>
      <c r="G90">
        <v>1408.8104248</v>
      </c>
      <c r="H90">
        <v>1394.4377440999999</v>
      </c>
      <c r="I90">
        <v>1250.4793701000001</v>
      </c>
      <c r="J90">
        <v>1210.9105225000001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2.8125089999999999</v>
      </c>
      <c r="B91" s="1">
        <f>DATE(2010,5,3) + TIME(19,30,0)</f>
        <v>40301.8125</v>
      </c>
      <c r="C91">
        <v>80</v>
      </c>
      <c r="D91">
        <v>77.929168700999995</v>
      </c>
      <c r="E91">
        <v>50</v>
      </c>
      <c r="F91">
        <v>14.994621277</v>
      </c>
      <c r="G91">
        <v>1408.6416016000001</v>
      </c>
      <c r="H91">
        <v>1394.2946777</v>
      </c>
      <c r="I91">
        <v>1250.4816894999999</v>
      </c>
      <c r="J91">
        <v>1210.9117432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2.8930500000000001</v>
      </c>
      <c r="B92" s="1">
        <f>DATE(2010,5,3) + TIME(21,25,59)</f>
        <v>40301.893043981479</v>
      </c>
      <c r="C92">
        <v>80</v>
      </c>
      <c r="D92">
        <v>78.118789672999995</v>
      </c>
      <c r="E92">
        <v>50</v>
      </c>
      <c r="F92">
        <v>14.994649887</v>
      </c>
      <c r="G92">
        <v>1408.4731445</v>
      </c>
      <c r="H92">
        <v>1394.1501464999999</v>
      </c>
      <c r="I92">
        <v>1250.4840088000001</v>
      </c>
      <c r="J92">
        <v>1210.9129639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2.9761959999999998</v>
      </c>
      <c r="B93" s="1">
        <f>DATE(2010,5,3) + TIME(23,25,43)</f>
        <v>40301.97619212963</v>
      </c>
      <c r="C93">
        <v>80</v>
      </c>
      <c r="D93">
        <v>78.294914246000005</v>
      </c>
      <c r="E93">
        <v>50</v>
      </c>
      <c r="F93">
        <v>14.994678497000001</v>
      </c>
      <c r="G93">
        <v>1408.3048096</v>
      </c>
      <c r="H93">
        <v>1394.0037841999999</v>
      </c>
      <c r="I93">
        <v>1250.4863281</v>
      </c>
      <c r="J93">
        <v>1210.9143065999999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3.0621779999999998</v>
      </c>
      <c r="B94" s="1">
        <f>DATE(2010,5,4) + TIME(1,29,32)</f>
        <v>40302.062175925923</v>
      </c>
      <c r="C94">
        <v>80</v>
      </c>
      <c r="D94">
        <v>78.458221436000002</v>
      </c>
      <c r="E94">
        <v>50</v>
      </c>
      <c r="F94">
        <v>14.994707108</v>
      </c>
      <c r="G94">
        <v>1408.1362305</v>
      </c>
      <c r="H94">
        <v>1393.8555908000001</v>
      </c>
      <c r="I94">
        <v>1250.4886475000001</v>
      </c>
      <c r="J94">
        <v>1210.9155272999999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3.1512530000000001</v>
      </c>
      <c r="B95" s="1">
        <f>DATE(2010,5,4) + TIME(3,37,48)</f>
        <v>40302.151250000003</v>
      </c>
      <c r="C95">
        <v>80</v>
      </c>
      <c r="D95">
        <v>78.609344481999997</v>
      </c>
      <c r="E95">
        <v>50</v>
      </c>
      <c r="F95">
        <v>14.994735717999999</v>
      </c>
      <c r="G95">
        <v>1407.9671631000001</v>
      </c>
      <c r="H95">
        <v>1393.7053223</v>
      </c>
      <c r="I95">
        <v>1250.4909668</v>
      </c>
      <c r="J95">
        <v>1210.9168701000001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3.243093</v>
      </c>
      <c r="B96" s="1">
        <f>DATE(2010,5,4) + TIME(5,50,3)</f>
        <v>40302.243090277778</v>
      </c>
      <c r="C96">
        <v>80</v>
      </c>
      <c r="D96">
        <v>78.748077393000003</v>
      </c>
      <c r="E96">
        <v>50</v>
      </c>
      <c r="F96">
        <v>14.994764328</v>
      </c>
      <c r="G96">
        <v>1407.7976074000001</v>
      </c>
      <c r="H96">
        <v>1393.5526123</v>
      </c>
      <c r="I96">
        <v>1250.4931641000001</v>
      </c>
      <c r="J96">
        <v>1210.9182129000001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3.3379099999999999</v>
      </c>
      <c r="B97" s="1">
        <f>DATE(2010,5,4) + TIME(8,6,35)</f>
        <v>40302.337905092594</v>
      </c>
      <c r="C97">
        <v>80</v>
      </c>
      <c r="D97">
        <v>78.875144958000007</v>
      </c>
      <c r="E97">
        <v>50</v>
      </c>
      <c r="F97">
        <v>14.994792938</v>
      </c>
      <c r="G97">
        <v>1407.6278076000001</v>
      </c>
      <c r="H97">
        <v>1393.3984375</v>
      </c>
      <c r="I97">
        <v>1250.4954834</v>
      </c>
      <c r="J97">
        <v>1210.9195557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3.4359459999999999</v>
      </c>
      <c r="B98" s="1">
        <f>DATE(2010,5,4) + TIME(10,27,45)</f>
        <v>40302.435937499999</v>
      </c>
      <c r="C98">
        <v>80</v>
      </c>
      <c r="D98">
        <v>78.991264342999997</v>
      </c>
      <c r="E98">
        <v>50</v>
      </c>
      <c r="F98">
        <v>14.994821548000001</v>
      </c>
      <c r="G98">
        <v>1407.4576416</v>
      </c>
      <c r="H98">
        <v>1393.2424315999999</v>
      </c>
      <c r="I98">
        <v>1250.4978027</v>
      </c>
      <c r="J98">
        <v>1210.9210204999999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3.5373199999999998</v>
      </c>
      <c r="B99" s="1">
        <f>DATE(2010,5,4) + TIME(12,53,44)</f>
        <v>40302.537314814814</v>
      </c>
      <c r="C99">
        <v>80</v>
      </c>
      <c r="D99">
        <v>79.096977233999993</v>
      </c>
      <c r="E99">
        <v>50</v>
      </c>
      <c r="F99">
        <v>14.994851111999999</v>
      </c>
      <c r="G99">
        <v>1407.2869873</v>
      </c>
      <c r="H99">
        <v>1393.0844727000001</v>
      </c>
      <c r="I99">
        <v>1250.5</v>
      </c>
      <c r="J99">
        <v>1210.9224853999999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3.6423359999999998</v>
      </c>
      <c r="B100" s="1">
        <f>DATE(2010,5,4) + TIME(15,24,57)</f>
        <v>40302.642326388886</v>
      </c>
      <c r="C100">
        <v>80</v>
      </c>
      <c r="D100">
        <v>79.192985535000005</v>
      </c>
      <c r="E100">
        <v>50</v>
      </c>
      <c r="F100">
        <v>14.994879723</v>
      </c>
      <c r="G100">
        <v>1407.1154785000001</v>
      </c>
      <c r="H100">
        <v>1392.9246826000001</v>
      </c>
      <c r="I100">
        <v>1250.5023193</v>
      </c>
      <c r="J100">
        <v>1210.9239502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3.7513260000000002</v>
      </c>
      <c r="B101" s="1">
        <f>DATE(2010,5,4) + TIME(18,1,54)</f>
        <v>40302.751319444447</v>
      </c>
      <c r="C101">
        <v>80</v>
      </c>
      <c r="D101">
        <v>79.279953003000003</v>
      </c>
      <c r="E101">
        <v>50</v>
      </c>
      <c r="F101">
        <v>14.994908333</v>
      </c>
      <c r="G101">
        <v>1406.9431152</v>
      </c>
      <c r="H101">
        <v>1392.7628173999999</v>
      </c>
      <c r="I101">
        <v>1250.5046387</v>
      </c>
      <c r="J101">
        <v>1210.9254149999999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3.8646639999999999</v>
      </c>
      <c r="B102" s="1">
        <f>DATE(2010,5,4) + TIME(20,45,6)</f>
        <v>40302.864652777775</v>
      </c>
      <c r="C102">
        <v>80</v>
      </c>
      <c r="D102">
        <v>79.358505249000004</v>
      </c>
      <c r="E102">
        <v>50</v>
      </c>
      <c r="F102">
        <v>14.994937897</v>
      </c>
      <c r="G102">
        <v>1406.7692870999999</v>
      </c>
      <c r="H102">
        <v>1392.5985106999999</v>
      </c>
      <c r="I102">
        <v>1250.5069579999999</v>
      </c>
      <c r="J102">
        <v>1210.9270019999999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3.982513</v>
      </c>
      <c r="B103" s="1">
        <f>DATE(2010,5,4) + TIME(23,34,49)</f>
        <v>40302.982511574075</v>
      </c>
      <c r="C103">
        <v>80</v>
      </c>
      <c r="D103">
        <v>79.429092406999999</v>
      </c>
      <c r="E103">
        <v>50</v>
      </c>
      <c r="F103">
        <v>14.994967461</v>
      </c>
      <c r="G103">
        <v>1406.5938721</v>
      </c>
      <c r="H103">
        <v>1392.4315185999999</v>
      </c>
      <c r="I103">
        <v>1250.5092772999999</v>
      </c>
      <c r="J103">
        <v>1210.9287108999999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4.1020909999999997</v>
      </c>
      <c r="B104" s="1">
        <f>DATE(2010,5,5) + TIME(2,27,0)</f>
        <v>40303.102083333331</v>
      </c>
      <c r="C104">
        <v>80</v>
      </c>
      <c r="D104">
        <v>79.490882873999993</v>
      </c>
      <c r="E104">
        <v>50</v>
      </c>
      <c r="F104">
        <v>14.994997025</v>
      </c>
      <c r="G104">
        <v>1406.4171143000001</v>
      </c>
      <c r="H104">
        <v>1392.262207</v>
      </c>
      <c r="I104">
        <v>1250.5117187999999</v>
      </c>
      <c r="J104">
        <v>1210.9302978999999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4.2219850000000001</v>
      </c>
      <c r="B105" s="1">
        <f>DATE(2010,5,5) + TIME(5,19,39)</f>
        <v>40303.221979166665</v>
      </c>
      <c r="C105">
        <v>80</v>
      </c>
      <c r="D105">
        <v>79.544334411999998</v>
      </c>
      <c r="E105">
        <v>50</v>
      </c>
      <c r="F105">
        <v>14.995025634999999</v>
      </c>
      <c r="G105">
        <v>1406.2429199000001</v>
      </c>
      <c r="H105">
        <v>1392.0944824000001</v>
      </c>
      <c r="I105">
        <v>1250.5140381000001</v>
      </c>
      <c r="J105">
        <v>1210.9320068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4.342422</v>
      </c>
      <c r="B106" s="1">
        <f>DATE(2010,5,5) + TIME(8,13,5)</f>
        <v>40303.342418981483</v>
      </c>
      <c r="C106">
        <v>80</v>
      </c>
      <c r="D106">
        <v>79.590644835999996</v>
      </c>
      <c r="E106">
        <v>50</v>
      </c>
      <c r="F106">
        <v>14.995053291</v>
      </c>
      <c r="G106">
        <v>1406.0731201000001</v>
      </c>
      <c r="H106">
        <v>1391.9301757999999</v>
      </c>
      <c r="I106">
        <v>1250.5162353999999</v>
      </c>
      <c r="J106">
        <v>1210.9335937999999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4.463355</v>
      </c>
      <c r="B107" s="1">
        <f>DATE(2010,5,5) + TIME(11,7,13)</f>
        <v>40303.46334490741</v>
      </c>
      <c r="C107">
        <v>80</v>
      </c>
      <c r="D107">
        <v>79.630744934000006</v>
      </c>
      <c r="E107">
        <v>50</v>
      </c>
      <c r="F107">
        <v>14.995080948</v>
      </c>
      <c r="G107">
        <v>1405.9071045000001</v>
      </c>
      <c r="H107">
        <v>1391.769043</v>
      </c>
      <c r="I107">
        <v>1250.5185547000001</v>
      </c>
      <c r="J107">
        <v>1210.9353027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4.5848519999999997</v>
      </c>
      <c r="B108" s="1">
        <f>DATE(2010,5,5) + TIME(14,2,11)</f>
        <v>40303.584849537037</v>
      </c>
      <c r="C108">
        <v>80</v>
      </c>
      <c r="D108">
        <v>79.665481567</v>
      </c>
      <c r="E108">
        <v>50</v>
      </c>
      <c r="F108">
        <v>14.995107651</v>
      </c>
      <c r="G108">
        <v>1405.7446289</v>
      </c>
      <c r="H108">
        <v>1391.6110839999999</v>
      </c>
      <c r="I108">
        <v>1250.5207519999999</v>
      </c>
      <c r="J108">
        <v>1210.9368896000001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4.7070939999999997</v>
      </c>
      <c r="B109" s="1">
        <f>DATE(2010,5,5) + TIME(16,58,12)</f>
        <v>40303.707083333335</v>
      </c>
      <c r="C109">
        <v>80</v>
      </c>
      <c r="D109">
        <v>79.695610045999999</v>
      </c>
      <c r="E109">
        <v>50</v>
      </c>
      <c r="F109">
        <v>14.9951334</v>
      </c>
      <c r="G109">
        <v>1405.5856934000001</v>
      </c>
      <c r="H109">
        <v>1391.4559326000001</v>
      </c>
      <c r="I109">
        <v>1250.5229492000001</v>
      </c>
      <c r="J109">
        <v>1210.9385986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4.8302329999999998</v>
      </c>
      <c r="B110" s="1">
        <f>DATE(2010,5,5) + TIME(19,55,32)</f>
        <v>40303.830231481479</v>
      </c>
      <c r="C110">
        <v>80</v>
      </c>
      <c r="D110">
        <v>79.721763611</v>
      </c>
      <c r="E110">
        <v>50</v>
      </c>
      <c r="F110">
        <v>14.995160103</v>
      </c>
      <c r="G110">
        <v>1405.4296875</v>
      </c>
      <c r="H110">
        <v>1391.3033447</v>
      </c>
      <c r="I110">
        <v>1250.5250243999999</v>
      </c>
      <c r="J110">
        <v>1210.9401855000001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4.9544639999999998</v>
      </c>
      <c r="B111" s="1">
        <f>DATE(2010,5,5) + TIME(22,54,25)</f>
        <v>40303.954456018517</v>
      </c>
      <c r="C111">
        <v>80</v>
      </c>
      <c r="D111">
        <v>79.744483947999996</v>
      </c>
      <c r="E111">
        <v>50</v>
      </c>
      <c r="F111">
        <v>14.995184898</v>
      </c>
      <c r="G111">
        <v>1405.2763672000001</v>
      </c>
      <c r="H111">
        <v>1391.1531981999999</v>
      </c>
      <c r="I111">
        <v>1250.5272216999999</v>
      </c>
      <c r="J111">
        <v>1210.9418945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5.0799649999999996</v>
      </c>
      <c r="B112" s="1">
        <f>DATE(2010,5,6) + TIME(1,55,8)</f>
        <v>40304.079953703702</v>
      </c>
      <c r="C112">
        <v>80</v>
      </c>
      <c r="D112">
        <v>79.764236449999999</v>
      </c>
      <c r="E112">
        <v>50</v>
      </c>
      <c r="F112">
        <v>14.995210648</v>
      </c>
      <c r="G112">
        <v>1405.1253661999999</v>
      </c>
      <c r="H112">
        <v>1391.0050048999999</v>
      </c>
      <c r="I112">
        <v>1250.5294189000001</v>
      </c>
      <c r="J112">
        <v>1210.9436035000001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5.206912</v>
      </c>
      <c r="B113" s="1">
        <f>DATE(2010,5,6) + TIME(4,57,57)</f>
        <v>40304.206909722219</v>
      </c>
      <c r="C113">
        <v>80</v>
      </c>
      <c r="D113">
        <v>79.781417847</v>
      </c>
      <c r="E113">
        <v>50</v>
      </c>
      <c r="F113">
        <v>14.995235443</v>
      </c>
      <c r="G113">
        <v>1404.9764404</v>
      </c>
      <c r="H113">
        <v>1390.8585204999999</v>
      </c>
      <c r="I113">
        <v>1250.5314940999999</v>
      </c>
      <c r="J113">
        <v>1210.9451904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5.3354879999999998</v>
      </c>
      <c r="B114" s="1">
        <f>DATE(2010,5,6) + TIME(8,3,6)</f>
        <v>40304.335486111115</v>
      </c>
      <c r="C114">
        <v>80</v>
      </c>
      <c r="D114">
        <v>79.796363830999994</v>
      </c>
      <c r="E114">
        <v>50</v>
      </c>
      <c r="F114">
        <v>14.995260239</v>
      </c>
      <c r="G114">
        <v>1404.8292236</v>
      </c>
      <c r="H114">
        <v>1390.7137451000001</v>
      </c>
      <c r="I114">
        <v>1250.5336914</v>
      </c>
      <c r="J114">
        <v>1210.9468993999999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5.4658800000000003</v>
      </c>
      <c r="B115" s="1">
        <f>DATE(2010,5,6) + TIME(11,10,52)</f>
        <v>40304.465879629628</v>
      </c>
      <c r="C115">
        <v>80</v>
      </c>
      <c r="D115">
        <v>79.809387207</v>
      </c>
      <c r="E115">
        <v>50</v>
      </c>
      <c r="F115">
        <v>14.995285034</v>
      </c>
      <c r="G115">
        <v>1404.6834716999999</v>
      </c>
      <c r="H115">
        <v>1390.5701904</v>
      </c>
      <c r="I115">
        <v>1250.5357666</v>
      </c>
      <c r="J115">
        <v>1210.9486084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5.5982839999999996</v>
      </c>
      <c r="B116" s="1">
        <f>DATE(2010,5,6) + TIME(14,21,31)</f>
        <v>40304.598275462966</v>
      </c>
      <c r="C116">
        <v>80</v>
      </c>
      <c r="D116">
        <v>79.820724487000007</v>
      </c>
      <c r="E116">
        <v>50</v>
      </c>
      <c r="F116">
        <v>14.995308875999999</v>
      </c>
      <c r="G116">
        <v>1404.5390625</v>
      </c>
      <c r="H116">
        <v>1390.4278564000001</v>
      </c>
      <c r="I116">
        <v>1250.5379639</v>
      </c>
      <c r="J116">
        <v>1210.9503173999999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5.7329030000000003</v>
      </c>
      <c r="B117" s="1">
        <f>DATE(2010,5,6) + TIME(17,35,22)</f>
        <v>40304.732893518521</v>
      </c>
      <c r="C117">
        <v>80</v>
      </c>
      <c r="D117">
        <v>79.830596924000005</v>
      </c>
      <c r="E117">
        <v>50</v>
      </c>
      <c r="F117">
        <v>14.995333671999999</v>
      </c>
      <c r="G117">
        <v>1404.3957519999999</v>
      </c>
      <c r="H117">
        <v>1390.2863769999999</v>
      </c>
      <c r="I117">
        <v>1250.5401611</v>
      </c>
      <c r="J117">
        <v>1210.9521483999999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5.8699539999999999</v>
      </c>
      <c r="B118" s="1">
        <f>DATE(2010,5,6) + TIME(20,52,44)</f>
        <v>40304.869953703703</v>
      </c>
      <c r="C118">
        <v>80</v>
      </c>
      <c r="D118">
        <v>79.839195251000007</v>
      </c>
      <c r="E118">
        <v>50</v>
      </c>
      <c r="F118">
        <v>14.995357513</v>
      </c>
      <c r="G118">
        <v>1404.2531738</v>
      </c>
      <c r="H118">
        <v>1390.1456298999999</v>
      </c>
      <c r="I118">
        <v>1250.5422363</v>
      </c>
      <c r="J118">
        <v>1210.9538574000001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6.0096679999999996</v>
      </c>
      <c r="B119" s="1">
        <f>DATE(2010,5,7) + TIME(0,13,55)</f>
        <v>40305.009664351855</v>
      </c>
      <c r="C119">
        <v>80</v>
      </c>
      <c r="D119">
        <v>79.846694946</v>
      </c>
      <c r="E119">
        <v>50</v>
      </c>
      <c r="F119">
        <v>14.995382309</v>
      </c>
      <c r="G119">
        <v>1404.1112060999999</v>
      </c>
      <c r="H119">
        <v>1390.0054932</v>
      </c>
      <c r="I119">
        <v>1250.5445557</v>
      </c>
      <c r="J119">
        <v>1210.9556885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6.1523450000000004</v>
      </c>
      <c r="B120" s="1">
        <f>DATE(2010,5,7) + TIME(3,39,22)</f>
        <v>40305.152337962965</v>
      </c>
      <c r="C120">
        <v>80</v>
      </c>
      <c r="D120">
        <v>79.853233337000006</v>
      </c>
      <c r="E120">
        <v>50</v>
      </c>
      <c r="F120">
        <v>14.995406150999999</v>
      </c>
      <c r="G120">
        <v>1403.9697266000001</v>
      </c>
      <c r="H120">
        <v>1389.8657227000001</v>
      </c>
      <c r="I120">
        <v>1250.5467529</v>
      </c>
      <c r="J120">
        <v>1210.9575195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6.2981249999999998</v>
      </c>
      <c r="B121" s="1">
        <f>DATE(2010,5,7) + TIME(7,9,18)</f>
        <v>40305.298125000001</v>
      </c>
      <c r="C121">
        <v>80</v>
      </c>
      <c r="D121">
        <v>79.858932495000005</v>
      </c>
      <c r="E121">
        <v>50</v>
      </c>
      <c r="F121">
        <v>14.995429993</v>
      </c>
      <c r="G121">
        <v>1403.8283690999999</v>
      </c>
      <c r="H121">
        <v>1389.7259521000001</v>
      </c>
      <c r="I121">
        <v>1250.5489502</v>
      </c>
      <c r="J121">
        <v>1210.9593506000001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6.4470150000000004</v>
      </c>
      <c r="B122" s="1">
        <f>DATE(2010,5,7) + TIME(10,43,42)</f>
        <v>40305.447013888886</v>
      </c>
      <c r="C122">
        <v>80</v>
      </c>
      <c r="D122">
        <v>79.863891601999995</v>
      </c>
      <c r="E122">
        <v>50</v>
      </c>
      <c r="F122">
        <v>14.995453834999999</v>
      </c>
      <c r="G122">
        <v>1403.6870117000001</v>
      </c>
      <c r="H122">
        <v>1389.5863036999999</v>
      </c>
      <c r="I122">
        <v>1250.5512695</v>
      </c>
      <c r="J122">
        <v>1210.9613036999999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6.5992810000000004</v>
      </c>
      <c r="B123" s="1">
        <f>DATE(2010,5,7) + TIME(14,22,57)</f>
        <v>40305.599270833336</v>
      </c>
      <c r="C123">
        <v>80</v>
      </c>
      <c r="D123">
        <v>79.868209839000002</v>
      </c>
      <c r="E123">
        <v>50</v>
      </c>
      <c r="F123">
        <v>14.995478629999999</v>
      </c>
      <c r="G123">
        <v>1403.5457764</v>
      </c>
      <c r="H123">
        <v>1389.4467772999999</v>
      </c>
      <c r="I123">
        <v>1250.5535889</v>
      </c>
      <c r="J123">
        <v>1210.9631348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6.7552260000000004</v>
      </c>
      <c r="B124" s="1">
        <f>DATE(2010,5,7) + TIME(18,7,31)</f>
        <v>40305.755219907405</v>
      </c>
      <c r="C124">
        <v>80</v>
      </c>
      <c r="D124">
        <v>79.871978760000005</v>
      </c>
      <c r="E124">
        <v>50</v>
      </c>
      <c r="F124">
        <v>14.995502472</v>
      </c>
      <c r="G124">
        <v>1403.4045410000001</v>
      </c>
      <c r="H124">
        <v>1389.3071289</v>
      </c>
      <c r="I124">
        <v>1250.5559082</v>
      </c>
      <c r="J124">
        <v>1210.9652100000001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6.9151819999999997</v>
      </c>
      <c r="B125" s="1">
        <f>DATE(2010,5,7) + TIME(21,57,51)</f>
        <v>40305.915173611109</v>
      </c>
      <c r="C125">
        <v>80</v>
      </c>
      <c r="D125">
        <v>79.875259399000001</v>
      </c>
      <c r="E125">
        <v>50</v>
      </c>
      <c r="F125">
        <v>14.995526313999999</v>
      </c>
      <c r="G125">
        <v>1403.2630615</v>
      </c>
      <c r="H125">
        <v>1389.1672363</v>
      </c>
      <c r="I125">
        <v>1250.5583495999999</v>
      </c>
      <c r="J125">
        <v>1210.9671631000001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7.0795130000000004</v>
      </c>
      <c r="B126" s="1">
        <f>DATE(2010,5,8) + TIME(1,54,29)</f>
        <v>40306.079502314817</v>
      </c>
      <c r="C126">
        <v>80</v>
      </c>
      <c r="D126">
        <v>79.878128051999994</v>
      </c>
      <c r="E126">
        <v>50</v>
      </c>
      <c r="F126">
        <v>14.995551109000001</v>
      </c>
      <c r="G126">
        <v>1403.1209716999999</v>
      </c>
      <c r="H126">
        <v>1389.0269774999999</v>
      </c>
      <c r="I126">
        <v>1250.5607910000001</v>
      </c>
      <c r="J126">
        <v>1210.9692382999999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7.2486199999999998</v>
      </c>
      <c r="B127" s="1">
        <f>DATE(2010,5,8) + TIME(5,58,0)</f>
        <v>40306.248611111114</v>
      </c>
      <c r="C127">
        <v>80</v>
      </c>
      <c r="D127">
        <v>79.880645752000007</v>
      </c>
      <c r="E127">
        <v>50</v>
      </c>
      <c r="F127">
        <v>14.995575905000001</v>
      </c>
      <c r="G127">
        <v>1402.9782714999999</v>
      </c>
      <c r="H127">
        <v>1388.8859863</v>
      </c>
      <c r="I127">
        <v>1250.5633545000001</v>
      </c>
      <c r="J127">
        <v>1210.9713135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7.4227869999999996</v>
      </c>
      <c r="B128" s="1">
        <f>DATE(2010,5,8) + TIME(10,8,48)</f>
        <v>40306.422777777778</v>
      </c>
      <c r="C128">
        <v>80</v>
      </c>
      <c r="D128">
        <v>79.882843018000003</v>
      </c>
      <c r="E128">
        <v>50</v>
      </c>
      <c r="F128">
        <v>14.995600700000001</v>
      </c>
      <c r="G128">
        <v>1402.8345947</v>
      </c>
      <c r="H128">
        <v>1388.7440185999999</v>
      </c>
      <c r="I128">
        <v>1250.565918</v>
      </c>
      <c r="J128">
        <v>1210.9735106999999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7.6022920000000003</v>
      </c>
      <c r="B129" s="1">
        <f>DATE(2010,5,8) + TIME(14,27,18)</f>
        <v>40306.60229166667</v>
      </c>
      <c r="C129">
        <v>80</v>
      </c>
      <c r="D129">
        <v>79.884765625</v>
      </c>
      <c r="E129">
        <v>50</v>
      </c>
      <c r="F129">
        <v>14.995625496000001</v>
      </c>
      <c r="G129">
        <v>1402.6898193</v>
      </c>
      <c r="H129">
        <v>1388.6011963000001</v>
      </c>
      <c r="I129">
        <v>1250.5684814000001</v>
      </c>
      <c r="J129">
        <v>1210.9757079999999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7.7870470000000003</v>
      </c>
      <c r="B130" s="1">
        <f>DATE(2010,5,8) + TIME(18,53,20)</f>
        <v>40306.787037037036</v>
      </c>
      <c r="C130">
        <v>80</v>
      </c>
      <c r="D130">
        <v>79.886451721</v>
      </c>
      <c r="E130">
        <v>50</v>
      </c>
      <c r="F130">
        <v>14.995650291</v>
      </c>
      <c r="G130">
        <v>1402.5440673999999</v>
      </c>
      <c r="H130">
        <v>1388.4571533000001</v>
      </c>
      <c r="I130">
        <v>1250.5711670000001</v>
      </c>
      <c r="J130">
        <v>1210.9780272999999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7.977436</v>
      </c>
      <c r="B131" s="1">
        <f>DATE(2010,5,8) + TIME(23,27,30)</f>
        <v>40306.977430555555</v>
      </c>
      <c r="C131">
        <v>80</v>
      </c>
      <c r="D131">
        <v>79.887931824000006</v>
      </c>
      <c r="E131">
        <v>50</v>
      </c>
      <c r="F131">
        <v>14.995676040999999</v>
      </c>
      <c r="G131">
        <v>1402.3972168</v>
      </c>
      <c r="H131">
        <v>1388.3123779</v>
      </c>
      <c r="I131">
        <v>1250.5739745999999</v>
      </c>
      <c r="J131">
        <v>1210.9804687999999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8.168018</v>
      </c>
      <c r="B132" s="1">
        <f>DATE(2010,5,9) + TIME(4,1,56)</f>
        <v>40307.168009259258</v>
      </c>
      <c r="C132">
        <v>80</v>
      </c>
      <c r="D132">
        <v>79.889198303000001</v>
      </c>
      <c r="E132">
        <v>50</v>
      </c>
      <c r="F132">
        <v>14.995700835999999</v>
      </c>
      <c r="G132">
        <v>1402.2493896000001</v>
      </c>
      <c r="H132">
        <v>1388.1665039</v>
      </c>
      <c r="I132">
        <v>1250.5767822</v>
      </c>
      <c r="J132">
        <v>1210.9827881000001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8.3587450000000008</v>
      </c>
      <c r="B133" s="1">
        <f>DATE(2010,5,9) + TIME(8,36,35)</f>
        <v>40307.358738425923</v>
      </c>
      <c r="C133">
        <v>80</v>
      </c>
      <c r="D133">
        <v>79.890296935999999</v>
      </c>
      <c r="E133">
        <v>50</v>
      </c>
      <c r="F133">
        <v>14.995725631999999</v>
      </c>
      <c r="G133">
        <v>1402.1046143000001</v>
      </c>
      <c r="H133">
        <v>1388.0238036999999</v>
      </c>
      <c r="I133">
        <v>1250.5795897999999</v>
      </c>
      <c r="J133">
        <v>1210.9852295000001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8.5499299999999998</v>
      </c>
      <c r="B134" s="1">
        <f>DATE(2010,5,9) + TIME(13,11,53)</f>
        <v>40307.54991898148</v>
      </c>
      <c r="C134">
        <v>80</v>
      </c>
      <c r="D134">
        <v>79.891242981000005</v>
      </c>
      <c r="E134">
        <v>50</v>
      </c>
      <c r="F134">
        <v>14.995749474</v>
      </c>
      <c r="G134">
        <v>1401.9628906</v>
      </c>
      <c r="H134">
        <v>1387.8841553</v>
      </c>
      <c r="I134">
        <v>1250.5823975000001</v>
      </c>
      <c r="J134">
        <v>1210.9875488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8.7418519999999997</v>
      </c>
      <c r="B135" s="1">
        <f>DATE(2010,5,9) + TIME(17,48,16)</f>
        <v>40307.741851851853</v>
      </c>
      <c r="C135">
        <v>80</v>
      </c>
      <c r="D135">
        <v>79.892066955999994</v>
      </c>
      <c r="E135">
        <v>50</v>
      </c>
      <c r="F135">
        <v>14.995773314999999</v>
      </c>
      <c r="G135">
        <v>1401.8238524999999</v>
      </c>
      <c r="H135">
        <v>1387.7471923999999</v>
      </c>
      <c r="I135">
        <v>1250.5850829999999</v>
      </c>
      <c r="J135">
        <v>1210.9899902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8.9348100000000006</v>
      </c>
      <c r="B136" s="1">
        <f>DATE(2010,5,9) + TIME(22,26,7)</f>
        <v>40307.934803240743</v>
      </c>
      <c r="C136">
        <v>80</v>
      </c>
      <c r="D136">
        <v>79.892791747999993</v>
      </c>
      <c r="E136">
        <v>50</v>
      </c>
      <c r="F136">
        <v>14.995796203999999</v>
      </c>
      <c r="G136">
        <v>1401.6872559000001</v>
      </c>
      <c r="H136">
        <v>1387.6126709</v>
      </c>
      <c r="I136">
        <v>1250.5878906</v>
      </c>
      <c r="J136">
        <v>1210.9924315999999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9.1291130000000003</v>
      </c>
      <c r="B137" s="1">
        <f>DATE(2010,5,10) + TIME(3,5,55)</f>
        <v>40308.129108796296</v>
      </c>
      <c r="C137">
        <v>80</v>
      </c>
      <c r="D137">
        <v>79.893432617000002</v>
      </c>
      <c r="E137">
        <v>50</v>
      </c>
      <c r="F137">
        <v>14.995820045</v>
      </c>
      <c r="G137">
        <v>1401.5527344</v>
      </c>
      <c r="H137">
        <v>1387.4803466999999</v>
      </c>
      <c r="I137">
        <v>1250.5906981999999</v>
      </c>
      <c r="J137">
        <v>1210.9948730000001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9.3250519999999995</v>
      </c>
      <c r="B138" s="1">
        <f>DATE(2010,5,10) + TIME(7,48,4)</f>
        <v>40308.325046296297</v>
      </c>
      <c r="C138">
        <v>80</v>
      </c>
      <c r="D138">
        <v>79.894004821999999</v>
      </c>
      <c r="E138">
        <v>50</v>
      </c>
      <c r="F138">
        <v>14.995842934000001</v>
      </c>
      <c r="G138">
        <v>1401.4201660000001</v>
      </c>
      <c r="H138">
        <v>1387.3498535000001</v>
      </c>
      <c r="I138">
        <v>1250.5935059000001</v>
      </c>
      <c r="J138">
        <v>1210.9971923999999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9.5229219999999994</v>
      </c>
      <c r="B139" s="1">
        <f>DATE(2010,5,10) + TIME(12,33,0)</f>
        <v>40308.522916666669</v>
      </c>
      <c r="C139">
        <v>80</v>
      </c>
      <c r="D139">
        <v>79.894515991000006</v>
      </c>
      <c r="E139">
        <v>50</v>
      </c>
      <c r="F139">
        <v>14.995865822000001</v>
      </c>
      <c r="G139">
        <v>1401.2890625</v>
      </c>
      <c r="H139">
        <v>1387.2209473</v>
      </c>
      <c r="I139">
        <v>1250.5963135</v>
      </c>
      <c r="J139">
        <v>1210.9997559000001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9.7230220000000003</v>
      </c>
      <c r="B140" s="1">
        <f>DATE(2010,5,10) + TIME(17,21,9)</f>
        <v>40308.723020833335</v>
      </c>
      <c r="C140">
        <v>80</v>
      </c>
      <c r="D140">
        <v>79.894973754999995</v>
      </c>
      <c r="E140">
        <v>50</v>
      </c>
      <c r="F140">
        <v>14.995887756</v>
      </c>
      <c r="G140">
        <v>1401.1593018000001</v>
      </c>
      <c r="H140">
        <v>1387.0935059000001</v>
      </c>
      <c r="I140">
        <v>1250.5991211</v>
      </c>
      <c r="J140">
        <v>1211.0021973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9.9256589999999996</v>
      </c>
      <c r="B141" s="1">
        <f>DATE(2010,5,10) + TIME(22,12,56)</f>
        <v>40308.92564814815</v>
      </c>
      <c r="C141">
        <v>80</v>
      </c>
      <c r="D141">
        <v>79.895378113000007</v>
      </c>
      <c r="E141">
        <v>50</v>
      </c>
      <c r="F141">
        <v>14.995910645</v>
      </c>
      <c r="G141">
        <v>1401.0306396000001</v>
      </c>
      <c r="H141">
        <v>1386.9670410000001</v>
      </c>
      <c r="I141">
        <v>1250.6020507999999</v>
      </c>
      <c r="J141">
        <v>1211.0046387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10.131154</v>
      </c>
      <c r="B142" s="1">
        <f>DATE(2010,5,11) + TIME(3,8,51)</f>
        <v>40309.131145833337</v>
      </c>
      <c r="C142">
        <v>80</v>
      </c>
      <c r="D142">
        <v>79.895751953000001</v>
      </c>
      <c r="E142">
        <v>50</v>
      </c>
      <c r="F142">
        <v>14.995932579</v>
      </c>
      <c r="G142">
        <v>1400.9029541</v>
      </c>
      <c r="H142">
        <v>1386.8416748</v>
      </c>
      <c r="I142">
        <v>1250.6048584</v>
      </c>
      <c r="J142">
        <v>1211.0072021000001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10.339842000000001</v>
      </c>
      <c r="B143" s="1">
        <f>DATE(2010,5,11) + TIME(8,9,22)</f>
        <v>40309.339837962965</v>
      </c>
      <c r="C143">
        <v>80</v>
      </c>
      <c r="D143">
        <v>79.896087645999998</v>
      </c>
      <c r="E143">
        <v>50</v>
      </c>
      <c r="F143">
        <v>14.995954513999999</v>
      </c>
      <c r="G143">
        <v>1400.776001</v>
      </c>
      <c r="H143">
        <v>1386.7170410000001</v>
      </c>
      <c r="I143">
        <v>1250.6077881000001</v>
      </c>
      <c r="J143">
        <v>1211.0097656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10.551518</v>
      </c>
      <c r="B144" s="1">
        <f>DATE(2010,5,11) + TIME(13,14,11)</f>
        <v>40309.551516203705</v>
      </c>
      <c r="C144">
        <v>80</v>
      </c>
      <c r="D144">
        <v>79.896400451999995</v>
      </c>
      <c r="E144">
        <v>50</v>
      </c>
      <c r="F144">
        <v>14.995977401999999</v>
      </c>
      <c r="G144">
        <v>1400.6495361</v>
      </c>
      <c r="H144">
        <v>1386.5930175999999</v>
      </c>
      <c r="I144">
        <v>1250.6108397999999</v>
      </c>
      <c r="J144">
        <v>1211.0123291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10.766393000000001</v>
      </c>
      <c r="B145" s="1">
        <f>DATE(2010,5,11) + TIME(18,23,36)</f>
        <v>40309.766388888886</v>
      </c>
      <c r="C145">
        <v>80</v>
      </c>
      <c r="D145">
        <v>79.896675110000004</v>
      </c>
      <c r="E145">
        <v>50</v>
      </c>
      <c r="F145">
        <v>14.995999336000001</v>
      </c>
      <c r="G145">
        <v>1400.5238036999999</v>
      </c>
      <c r="H145">
        <v>1386.4696045000001</v>
      </c>
      <c r="I145">
        <v>1250.6137695</v>
      </c>
      <c r="J145">
        <v>1211.0150146000001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10.984832000000001</v>
      </c>
      <c r="B146" s="1">
        <f>DATE(2010,5,11) + TIME(23,38,9)</f>
        <v>40309.984826388885</v>
      </c>
      <c r="C146">
        <v>80</v>
      </c>
      <c r="D146">
        <v>79.896934509000005</v>
      </c>
      <c r="E146">
        <v>50</v>
      </c>
      <c r="F146">
        <v>14.996021271</v>
      </c>
      <c r="G146">
        <v>1400.3985596</v>
      </c>
      <c r="H146">
        <v>1386.3468018000001</v>
      </c>
      <c r="I146">
        <v>1250.6168213000001</v>
      </c>
      <c r="J146">
        <v>1211.0177002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11.207265</v>
      </c>
      <c r="B147" s="1">
        <f>DATE(2010,5,12) + TIME(4,58,27)</f>
        <v>40310.207256944443</v>
      </c>
      <c r="C147">
        <v>80</v>
      </c>
      <c r="D147">
        <v>79.897171021000005</v>
      </c>
      <c r="E147">
        <v>50</v>
      </c>
      <c r="F147">
        <v>14.996043204999999</v>
      </c>
      <c r="G147">
        <v>1400.2735596</v>
      </c>
      <c r="H147">
        <v>1386.2242432</v>
      </c>
      <c r="I147">
        <v>1250.6198730000001</v>
      </c>
      <c r="J147">
        <v>1211.0203856999999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11.434009</v>
      </c>
      <c r="B148" s="1">
        <f>DATE(2010,5,12) + TIME(10,24,58)</f>
        <v>40310.434004629627</v>
      </c>
      <c r="C148">
        <v>80</v>
      </c>
      <c r="D148">
        <v>79.897384643999999</v>
      </c>
      <c r="E148">
        <v>50</v>
      </c>
      <c r="F148">
        <v>14.996065140000001</v>
      </c>
      <c r="G148">
        <v>1400.1488036999999</v>
      </c>
      <c r="H148">
        <v>1386.1020507999999</v>
      </c>
      <c r="I148">
        <v>1250.6230469</v>
      </c>
      <c r="J148">
        <v>1211.0231934000001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11.665494000000001</v>
      </c>
      <c r="B149" s="1">
        <f>DATE(2010,5,12) + TIME(15,58,18)</f>
        <v>40310.665486111109</v>
      </c>
      <c r="C149">
        <v>80</v>
      </c>
      <c r="D149">
        <v>79.897583007999998</v>
      </c>
      <c r="E149">
        <v>50</v>
      </c>
      <c r="F149">
        <v>14.996087074</v>
      </c>
      <c r="G149">
        <v>1400.0240478999999</v>
      </c>
      <c r="H149">
        <v>1385.9798584</v>
      </c>
      <c r="I149">
        <v>1250.6262207</v>
      </c>
      <c r="J149">
        <v>1211.026001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11.902177999999999</v>
      </c>
      <c r="B150" s="1">
        <f>DATE(2010,5,12) + TIME(21,39,8)</f>
        <v>40310.902175925927</v>
      </c>
      <c r="C150">
        <v>80</v>
      </c>
      <c r="D150">
        <v>79.897766113000003</v>
      </c>
      <c r="E150">
        <v>50</v>
      </c>
      <c r="F150">
        <v>14.996109009</v>
      </c>
      <c r="G150">
        <v>1399.8990478999999</v>
      </c>
      <c r="H150">
        <v>1385.8574219</v>
      </c>
      <c r="I150">
        <v>1250.6295166</v>
      </c>
      <c r="J150">
        <v>1211.0289307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12.14456</v>
      </c>
      <c r="B151" s="1">
        <f>DATE(2010,5,13) + TIME(3,28,10)</f>
        <v>40311.144560185188</v>
      </c>
      <c r="C151">
        <v>80</v>
      </c>
      <c r="D151">
        <v>79.897941588999998</v>
      </c>
      <c r="E151">
        <v>50</v>
      </c>
      <c r="F151">
        <v>14.996130943000001</v>
      </c>
      <c r="G151">
        <v>1399.7738036999999</v>
      </c>
      <c r="H151">
        <v>1385.7347411999999</v>
      </c>
      <c r="I151">
        <v>1250.6328125</v>
      </c>
      <c r="J151">
        <v>1211.0318603999999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12.392818</v>
      </c>
      <c r="B152" s="1">
        <f>DATE(2010,5,13) + TIME(9,25,39)</f>
        <v>40311.392812500002</v>
      </c>
      <c r="C152">
        <v>80</v>
      </c>
      <c r="D152">
        <v>79.898101807000003</v>
      </c>
      <c r="E152">
        <v>50</v>
      </c>
      <c r="F152">
        <v>14.996152878</v>
      </c>
      <c r="G152">
        <v>1399.6478271000001</v>
      </c>
      <c r="H152">
        <v>1385.6115723</v>
      </c>
      <c r="I152">
        <v>1250.6361084</v>
      </c>
      <c r="J152">
        <v>1211.0347899999999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12.64723</v>
      </c>
      <c r="B153" s="1">
        <f>DATE(2010,5,13) + TIME(15,32,0)</f>
        <v>40311.647222222222</v>
      </c>
      <c r="C153">
        <v>80</v>
      </c>
      <c r="D153">
        <v>79.898246764999996</v>
      </c>
      <c r="E153">
        <v>50</v>
      </c>
      <c r="F153">
        <v>14.996175766</v>
      </c>
      <c r="G153">
        <v>1399.5213623</v>
      </c>
      <c r="H153">
        <v>1385.4879149999999</v>
      </c>
      <c r="I153">
        <v>1250.6396483999999</v>
      </c>
      <c r="J153">
        <v>1211.0379639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12.907451</v>
      </c>
      <c r="B154" s="1">
        <f>DATE(2010,5,13) + TIME(21,46,43)</f>
        <v>40311.907442129632</v>
      </c>
      <c r="C154">
        <v>80</v>
      </c>
      <c r="D154">
        <v>79.898384093999994</v>
      </c>
      <c r="E154">
        <v>50</v>
      </c>
      <c r="F154">
        <v>14.996197701</v>
      </c>
      <c r="G154">
        <v>1399.3942870999999</v>
      </c>
      <c r="H154">
        <v>1385.3635254000001</v>
      </c>
      <c r="I154">
        <v>1250.6431885</v>
      </c>
      <c r="J154">
        <v>1211.0410156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13.171028</v>
      </c>
      <c r="B155" s="1">
        <f>DATE(2010,5,14) + TIME(4,6,16)</f>
        <v>40312.171018518522</v>
      </c>
      <c r="C155">
        <v>80</v>
      </c>
      <c r="D155">
        <v>79.898513793999996</v>
      </c>
      <c r="E155">
        <v>50</v>
      </c>
      <c r="F155">
        <v>14.996219634999999</v>
      </c>
      <c r="G155">
        <v>1399.2667236</v>
      </c>
      <c r="H155">
        <v>1385.2388916</v>
      </c>
      <c r="I155">
        <v>1250.6467285000001</v>
      </c>
      <c r="J155">
        <v>1211.0443115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13.434934</v>
      </c>
      <c r="B156" s="1">
        <f>DATE(2010,5,14) + TIME(10,26,18)</f>
        <v>40312.434930555559</v>
      </c>
      <c r="C156">
        <v>80</v>
      </c>
      <c r="D156">
        <v>79.898628235000004</v>
      </c>
      <c r="E156">
        <v>50</v>
      </c>
      <c r="F156">
        <v>14.996242522999999</v>
      </c>
      <c r="G156">
        <v>1399.1400146000001</v>
      </c>
      <c r="H156">
        <v>1385.1151123</v>
      </c>
      <c r="I156">
        <v>1250.6503906</v>
      </c>
      <c r="J156">
        <v>1211.0474853999999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13.699547000000001</v>
      </c>
      <c r="B157" s="1">
        <f>DATE(2010,5,14) + TIME(16,47,20)</f>
        <v>40312.699537037035</v>
      </c>
      <c r="C157">
        <v>80</v>
      </c>
      <c r="D157">
        <v>79.898727417000003</v>
      </c>
      <c r="E157">
        <v>50</v>
      </c>
      <c r="F157">
        <v>14.996263504</v>
      </c>
      <c r="G157">
        <v>1399.0155029</v>
      </c>
      <c r="H157">
        <v>1384.9935303</v>
      </c>
      <c r="I157">
        <v>1250.6540527</v>
      </c>
      <c r="J157">
        <v>1211.0507812000001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13.965342</v>
      </c>
      <c r="B158" s="1">
        <f>DATE(2010,5,14) + TIME(23,10,5)</f>
        <v>40312.96533564815</v>
      </c>
      <c r="C158">
        <v>80</v>
      </c>
      <c r="D158">
        <v>79.898826599000003</v>
      </c>
      <c r="E158">
        <v>50</v>
      </c>
      <c r="F158">
        <v>14.996285438999999</v>
      </c>
      <c r="G158">
        <v>1398.8930664</v>
      </c>
      <c r="H158">
        <v>1384.8739014</v>
      </c>
      <c r="I158">
        <v>1250.6575928</v>
      </c>
      <c r="J158">
        <v>1211.0540771000001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14.232737999999999</v>
      </c>
      <c r="B159" s="1">
        <f>DATE(2010,5,15) + TIME(5,35,8)</f>
        <v>40313.232731481483</v>
      </c>
      <c r="C159">
        <v>80</v>
      </c>
      <c r="D159">
        <v>79.898918151999993</v>
      </c>
      <c r="E159">
        <v>50</v>
      </c>
      <c r="F159">
        <v>14.996306419</v>
      </c>
      <c r="G159">
        <v>1398.7723389</v>
      </c>
      <c r="H159">
        <v>1384.7559814000001</v>
      </c>
      <c r="I159">
        <v>1250.6612548999999</v>
      </c>
      <c r="J159">
        <v>1211.0573730000001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14.502154000000001</v>
      </c>
      <c r="B160" s="1">
        <f>DATE(2010,5,15) + TIME(12,3,6)</f>
        <v>40313.502152777779</v>
      </c>
      <c r="C160">
        <v>80</v>
      </c>
      <c r="D160">
        <v>79.899002074999999</v>
      </c>
      <c r="E160">
        <v>50</v>
      </c>
      <c r="F160">
        <v>14.9963274</v>
      </c>
      <c r="G160">
        <v>1398.6530762</v>
      </c>
      <c r="H160">
        <v>1384.6396483999999</v>
      </c>
      <c r="I160">
        <v>1250.6649170000001</v>
      </c>
      <c r="J160">
        <v>1211.0606689000001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14.774011</v>
      </c>
      <c r="B161" s="1">
        <f>DATE(2010,5,15) + TIME(18,34,34)</f>
        <v>40313.774004629631</v>
      </c>
      <c r="C161">
        <v>80</v>
      </c>
      <c r="D161">
        <v>79.899078368999994</v>
      </c>
      <c r="E161">
        <v>50</v>
      </c>
      <c r="F161">
        <v>14.996348381000001</v>
      </c>
      <c r="G161">
        <v>1398.5350341999999</v>
      </c>
      <c r="H161">
        <v>1384.5245361</v>
      </c>
      <c r="I161">
        <v>1250.6687012</v>
      </c>
      <c r="J161">
        <v>1211.0639647999999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15.048738999999999</v>
      </c>
      <c r="B162" s="1">
        <f>DATE(2010,5,16) + TIME(1,10,11)</f>
        <v>40314.048738425925</v>
      </c>
      <c r="C162">
        <v>80</v>
      </c>
      <c r="D162">
        <v>79.899154663000004</v>
      </c>
      <c r="E162">
        <v>50</v>
      </c>
      <c r="F162">
        <v>14.996369361999999</v>
      </c>
      <c r="G162">
        <v>1398.4180908000001</v>
      </c>
      <c r="H162">
        <v>1384.4105225000001</v>
      </c>
      <c r="I162">
        <v>1250.6723632999999</v>
      </c>
      <c r="J162">
        <v>1211.0673827999999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15.326782</v>
      </c>
      <c r="B163" s="1">
        <f>DATE(2010,5,16) + TIME(7,50,33)</f>
        <v>40314.326770833337</v>
      </c>
      <c r="C163">
        <v>80</v>
      </c>
      <c r="D163">
        <v>79.899223328000005</v>
      </c>
      <c r="E163">
        <v>50</v>
      </c>
      <c r="F163">
        <v>14.996390343</v>
      </c>
      <c r="G163">
        <v>1398.3020019999999</v>
      </c>
      <c r="H163">
        <v>1384.2973632999999</v>
      </c>
      <c r="I163">
        <v>1250.6761475000001</v>
      </c>
      <c r="J163">
        <v>1211.0708007999999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15.607564999999999</v>
      </c>
      <c r="B164" s="1">
        <f>DATE(2010,5,16) + TIME(14,34,53)</f>
        <v>40314.607557870368</v>
      </c>
      <c r="C164">
        <v>80</v>
      </c>
      <c r="D164">
        <v>79.899291992000002</v>
      </c>
      <c r="E164">
        <v>50</v>
      </c>
      <c r="F164">
        <v>14.99641037</v>
      </c>
      <c r="G164">
        <v>1398.1866454999999</v>
      </c>
      <c r="H164">
        <v>1384.1848144999999</v>
      </c>
      <c r="I164">
        <v>1250.6799315999999</v>
      </c>
      <c r="J164">
        <v>1211.0742187999999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15.891373</v>
      </c>
      <c r="B165" s="1">
        <f>DATE(2010,5,16) + TIME(21,23,34)</f>
        <v>40314.891365740739</v>
      </c>
      <c r="C165">
        <v>80</v>
      </c>
      <c r="D165">
        <v>79.899353027000004</v>
      </c>
      <c r="E165">
        <v>50</v>
      </c>
      <c r="F165">
        <v>14.996430396999999</v>
      </c>
      <c r="G165">
        <v>1398.0721435999999</v>
      </c>
      <c r="H165">
        <v>1384.0732422000001</v>
      </c>
      <c r="I165">
        <v>1250.6838379000001</v>
      </c>
      <c r="J165">
        <v>1211.0776367000001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16.178635</v>
      </c>
      <c r="B166" s="1">
        <f>DATE(2010,5,17) + TIME(4,17,14)</f>
        <v>40315.17863425926</v>
      </c>
      <c r="C166">
        <v>80</v>
      </c>
      <c r="D166">
        <v>79.899414062000005</v>
      </c>
      <c r="E166">
        <v>50</v>
      </c>
      <c r="F166">
        <v>14.996451378</v>
      </c>
      <c r="G166">
        <v>1397.958374</v>
      </c>
      <c r="H166">
        <v>1383.9624022999999</v>
      </c>
      <c r="I166">
        <v>1250.6877440999999</v>
      </c>
      <c r="J166">
        <v>1211.0811768000001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16.469795000000001</v>
      </c>
      <c r="B167" s="1">
        <f>DATE(2010,5,17) + TIME(11,16,30)</f>
        <v>40315.46979166667</v>
      </c>
      <c r="C167">
        <v>80</v>
      </c>
      <c r="D167">
        <v>79.899475097999996</v>
      </c>
      <c r="E167">
        <v>50</v>
      </c>
      <c r="F167">
        <v>14.996471404999999</v>
      </c>
      <c r="G167">
        <v>1397.8452147999999</v>
      </c>
      <c r="H167">
        <v>1383.8521728999999</v>
      </c>
      <c r="I167">
        <v>1250.6916504000001</v>
      </c>
      <c r="J167">
        <v>1211.0848389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16.765381999999999</v>
      </c>
      <c r="B168" s="1">
        <f>DATE(2010,5,17) + TIME(18,22,8)</f>
        <v>40315.765370370369</v>
      </c>
      <c r="C168">
        <v>80</v>
      </c>
      <c r="D168">
        <v>79.899528502999999</v>
      </c>
      <c r="E168">
        <v>50</v>
      </c>
      <c r="F168">
        <v>14.996491431999999</v>
      </c>
      <c r="G168">
        <v>1397.7324219</v>
      </c>
      <c r="H168">
        <v>1383.7423096</v>
      </c>
      <c r="I168">
        <v>1250.6955565999999</v>
      </c>
      <c r="J168">
        <v>1211.0883789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17.065905000000001</v>
      </c>
      <c r="B169" s="1">
        <f>DATE(2010,5,18) + TIME(1,34,54)</f>
        <v>40316.06590277778</v>
      </c>
      <c r="C169">
        <v>80</v>
      </c>
      <c r="D169">
        <v>79.899581909000005</v>
      </c>
      <c r="E169">
        <v>50</v>
      </c>
      <c r="F169">
        <v>14.996511459000001</v>
      </c>
      <c r="G169">
        <v>1397.6198730000001</v>
      </c>
      <c r="H169">
        <v>1383.6328125</v>
      </c>
      <c r="I169">
        <v>1250.699707</v>
      </c>
      <c r="J169">
        <v>1211.0920410000001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17.371836999999999</v>
      </c>
      <c r="B170" s="1">
        <f>DATE(2010,5,18) + TIME(8,55,26)</f>
        <v>40316.371828703705</v>
      </c>
      <c r="C170">
        <v>80</v>
      </c>
      <c r="D170">
        <v>79.899635314999998</v>
      </c>
      <c r="E170">
        <v>50</v>
      </c>
      <c r="F170">
        <v>14.996531487</v>
      </c>
      <c r="G170">
        <v>1397.5074463000001</v>
      </c>
      <c r="H170">
        <v>1383.5233154</v>
      </c>
      <c r="I170">
        <v>1250.7037353999999</v>
      </c>
      <c r="J170">
        <v>1211.0958252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17.683744999999998</v>
      </c>
      <c r="B171" s="1">
        <f>DATE(2010,5,18) + TIME(16,24,35)</f>
        <v>40316.683738425927</v>
      </c>
      <c r="C171">
        <v>80</v>
      </c>
      <c r="D171">
        <v>79.899688721000004</v>
      </c>
      <c r="E171">
        <v>50</v>
      </c>
      <c r="F171">
        <v>14.996551514</v>
      </c>
      <c r="G171">
        <v>1397.3950195</v>
      </c>
      <c r="H171">
        <v>1383.4138184000001</v>
      </c>
      <c r="I171">
        <v>1250.7078856999999</v>
      </c>
      <c r="J171">
        <v>1211.0996094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18.002241999999999</v>
      </c>
      <c r="B172" s="1">
        <f>DATE(2010,5,19) + TIME(0,3,13)</f>
        <v>40317.002233796295</v>
      </c>
      <c r="C172">
        <v>80</v>
      </c>
      <c r="D172">
        <v>79.899734496999997</v>
      </c>
      <c r="E172">
        <v>50</v>
      </c>
      <c r="F172">
        <v>14.996572495000001</v>
      </c>
      <c r="G172">
        <v>1397.2822266000001</v>
      </c>
      <c r="H172">
        <v>1383.3041992000001</v>
      </c>
      <c r="I172">
        <v>1250.7121582</v>
      </c>
      <c r="J172">
        <v>1211.1035156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18.327760999999999</v>
      </c>
      <c r="B173" s="1">
        <f>DATE(2010,5,19) + TIME(7,51,58)</f>
        <v>40317.32775462963</v>
      </c>
      <c r="C173">
        <v>80</v>
      </c>
      <c r="D173">
        <v>79.899787903000004</v>
      </c>
      <c r="E173">
        <v>50</v>
      </c>
      <c r="F173">
        <v>14.996592522</v>
      </c>
      <c r="G173">
        <v>1397.1690673999999</v>
      </c>
      <c r="H173">
        <v>1383.1940918</v>
      </c>
      <c r="I173">
        <v>1250.7165527</v>
      </c>
      <c r="J173">
        <v>1211.1075439000001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18.660254999999999</v>
      </c>
      <c r="B174" s="1">
        <f>DATE(2010,5,19) + TIME(15,50,46)</f>
        <v>40317.660254629627</v>
      </c>
      <c r="C174">
        <v>80</v>
      </c>
      <c r="D174">
        <v>79.899833678999997</v>
      </c>
      <c r="E174">
        <v>50</v>
      </c>
      <c r="F174">
        <v>14.996612549</v>
      </c>
      <c r="G174">
        <v>1397.0552978999999</v>
      </c>
      <c r="H174">
        <v>1383.0834961</v>
      </c>
      <c r="I174">
        <v>1250.7210693</v>
      </c>
      <c r="J174">
        <v>1211.1115723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18.999057000000001</v>
      </c>
      <c r="B175" s="1">
        <f>DATE(2010,5,19) + TIME(23,58,38)</f>
        <v>40317.999050925922</v>
      </c>
      <c r="C175">
        <v>80</v>
      </c>
      <c r="D175">
        <v>79.899887085000003</v>
      </c>
      <c r="E175">
        <v>50</v>
      </c>
      <c r="F175">
        <v>14.99663353</v>
      </c>
      <c r="G175">
        <v>1396.9411620999999</v>
      </c>
      <c r="H175">
        <v>1382.9724120999999</v>
      </c>
      <c r="I175">
        <v>1250.7255858999999</v>
      </c>
      <c r="J175">
        <v>1211.1157227000001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19.340216999999999</v>
      </c>
      <c r="B176" s="1">
        <f>DATE(2010,5,20) + TIME(8,9,54)</f>
        <v>40318.340208333335</v>
      </c>
      <c r="C176">
        <v>80</v>
      </c>
      <c r="D176">
        <v>79.899932860999996</v>
      </c>
      <c r="E176">
        <v>50</v>
      </c>
      <c r="F176">
        <v>14.996653557</v>
      </c>
      <c r="G176">
        <v>1396.8267822</v>
      </c>
      <c r="H176">
        <v>1382.8613281</v>
      </c>
      <c r="I176">
        <v>1250.7302245999999</v>
      </c>
      <c r="J176">
        <v>1211.1199951000001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19.682116000000001</v>
      </c>
      <c r="B177" s="1">
        <f>DATE(2010,5,20) + TIME(16,22,14)</f>
        <v>40318.682106481479</v>
      </c>
      <c r="C177">
        <v>80</v>
      </c>
      <c r="D177">
        <v>79.899986267000003</v>
      </c>
      <c r="E177">
        <v>50</v>
      </c>
      <c r="F177">
        <v>14.996673584</v>
      </c>
      <c r="G177">
        <v>1396.7136230000001</v>
      </c>
      <c r="H177">
        <v>1382.7512207</v>
      </c>
      <c r="I177">
        <v>1250.7348632999999</v>
      </c>
      <c r="J177">
        <v>1211.1242675999999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20.025372000000001</v>
      </c>
      <c r="B178" s="1">
        <f>DATE(2010,5,21) + TIME(0,36,32)</f>
        <v>40319.025370370371</v>
      </c>
      <c r="C178">
        <v>80</v>
      </c>
      <c r="D178">
        <v>79.900032042999996</v>
      </c>
      <c r="E178">
        <v>50</v>
      </c>
      <c r="F178">
        <v>14.996693611</v>
      </c>
      <c r="G178">
        <v>1396.6020507999999</v>
      </c>
      <c r="H178">
        <v>1382.6428223</v>
      </c>
      <c r="I178">
        <v>1250.7395019999999</v>
      </c>
      <c r="J178">
        <v>1211.1285399999999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20.370543999999999</v>
      </c>
      <c r="B179" s="1">
        <f>DATE(2010,5,21) + TIME(8,53,35)</f>
        <v>40319.37054398148</v>
      </c>
      <c r="C179">
        <v>80</v>
      </c>
      <c r="D179">
        <v>79.900077820000007</v>
      </c>
      <c r="E179">
        <v>50</v>
      </c>
      <c r="F179">
        <v>14.996713637999999</v>
      </c>
      <c r="G179">
        <v>1396.4919434000001</v>
      </c>
      <c r="H179">
        <v>1382.5358887</v>
      </c>
      <c r="I179">
        <v>1250.7441406</v>
      </c>
      <c r="J179">
        <v>1211.1328125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20.718192999999999</v>
      </c>
      <c r="B180" s="1">
        <f>DATE(2010,5,21) + TIME(17,14,11)</f>
        <v>40319.718182870369</v>
      </c>
      <c r="C180">
        <v>80</v>
      </c>
      <c r="D180">
        <v>79.900123596</v>
      </c>
      <c r="E180">
        <v>50</v>
      </c>
      <c r="F180">
        <v>14.996732712</v>
      </c>
      <c r="G180">
        <v>1396.3830565999999</v>
      </c>
      <c r="H180">
        <v>1382.4300536999999</v>
      </c>
      <c r="I180">
        <v>1250.7489014</v>
      </c>
      <c r="J180">
        <v>1211.1370850000001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21.068887</v>
      </c>
      <c r="B181" s="1">
        <f>DATE(2010,5,22) + TIME(1,39,11)</f>
        <v>40320.068877314814</v>
      </c>
      <c r="C181">
        <v>80</v>
      </c>
      <c r="D181">
        <v>79.900169372999997</v>
      </c>
      <c r="E181">
        <v>50</v>
      </c>
      <c r="F181">
        <v>14.996752739</v>
      </c>
      <c r="G181">
        <v>1396.2751464999999</v>
      </c>
      <c r="H181">
        <v>1382.3251952999999</v>
      </c>
      <c r="I181">
        <v>1250.7535399999999</v>
      </c>
      <c r="J181">
        <v>1211.1414795000001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21.421927</v>
      </c>
      <c r="B182" s="1">
        <f>DATE(2010,5,22) + TIME(10,7,34)</f>
        <v>40320.4219212963</v>
      </c>
      <c r="C182">
        <v>80</v>
      </c>
      <c r="D182">
        <v>79.900215149000005</v>
      </c>
      <c r="E182">
        <v>50</v>
      </c>
      <c r="F182">
        <v>14.996771812</v>
      </c>
      <c r="G182">
        <v>1396.1680908000001</v>
      </c>
      <c r="H182">
        <v>1382.2211914</v>
      </c>
      <c r="I182">
        <v>1250.7584228999999</v>
      </c>
      <c r="J182">
        <v>1211.145874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21.777332000000001</v>
      </c>
      <c r="B183" s="1">
        <f>DATE(2010,5,22) + TIME(18,39,21)</f>
        <v>40320.777326388888</v>
      </c>
      <c r="C183">
        <v>80</v>
      </c>
      <c r="D183">
        <v>79.900260924999998</v>
      </c>
      <c r="E183">
        <v>50</v>
      </c>
      <c r="F183">
        <v>14.996790885999999</v>
      </c>
      <c r="G183">
        <v>1396.0620117000001</v>
      </c>
      <c r="H183">
        <v>1382.1181641000001</v>
      </c>
      <c r="I183">
        <v>1250.7631836</v>
      </c>
      <c r="J183">
        <v>1211.1503906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22.135629999999999</v>
      </c>
      <c r="B184" s="1">
        <f>DATE(2010,5,23) + TIME(3,15,18)</f>
        <v>40321.135625000003</v>
      </c>
      <c r="C184">
        <v>80</v>
      </c>
      <c r="D184">
        <v>79.900306701999995</v>
      </c>
      <c r="E184">
        <v>50</v>
      </c>
      <c r="F184">
        <v>14.996809959</v>
      </c>
      <c r="G184">
        <v>1395.9569091999999</v>
      </c>
      <c r="H184">
        <v>1382.0161132999999</v>
      </c>
      <c r="I184">
        <v>1250.7680664</v>
      </c>
      <c r="J184">
        <v>1211.1547852000001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22.497356</v>
      </c>
      <c r="B185" s="1">
        <f>DATE(2010,5,23) + TIME(11,56,11)</f>
        <v>40321.497349537036</v>
      </c>
      <c r="C185">
        <v>80</v>
      </c>
      <c r="D185">
        <v>79.900360106999997</v>
      </c>
      <c r="E185">
        <v>50</v>
      </c>
      <c r="F185">
        <v>14.996829032999999</v>
      </c>
      <c r="G185">
        <v>1395.8525391000001</v>
      </c>
      <c r="H185">
        <v>1381.9149170000001</v>
      </c>
      <c r="I185">
        <v>1250.7729492000001</v>
      </c>
      <c r="J185">
        <v>1211.1594238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22.863060000000001</v>
      </c>
      <c r="B186" s="1">
        <f>DATE(2010,5,23) + TIME(20,42,48)</f>
        <v>40321.863055555557</v>
      </c>
      <c r="C186">
        <v>80</v>
      </c>
      <c r="D186">
        <v>79.900405883999994</v>
      </c>
      <c r="E186">
        <v>50</v>
      </c>
      <c r="F186">
        <v>14.996848106</v>
      </c>
      <c r="G186">
        <v>1395.7489014</v>
      </c>
      <c r="H186">
        <v>1381.8142089999999</v>
      </c>
      <c r="I186">
        <v>1250.7779541</v>
      </c>
      <c r="J186">
        <v>1211.1639404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23.233312000000002</v>
      </c>
      <c r="B187" s="1">
        <f>DATE(2010,5,24) + TIME(5,35,58)</f>
        <v>40322.233310185184</v>
      </c>
      <c r="C187">
        <v>80</v>
      </c>
      <c r="D187">
        <v>79.900451660000002</v>
      </c>
      <c r="E187">
        <v>50</v>
      </c>
      <c r="F187">
        <v>14.996866226</v>
      </c>
      <c r="G187">
        <v>1395.6457519999999</v>
      </c>
      <c r="H187">
        <v>1381.7141113</v>
      </c>
      <c r="I187">
        <v>1250.7828368999999</v>
      </c>
      <c r="J187">
        <v>1211.1685791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23.608794</v>
      </c>
      <c r="B188" s="1">
        <f>DATE(2010,5,24) + TIME(14,36,39)</f>
        <v>40322.608784722222</v>
      </c>
      <c r="C188">
        <v>80</v>
      </c>
      <c r="D188">
        <v>79.900505065999994</v>
      </c>
      <c r="E188">
        <v>50</v>
      </c>
      <c r="F188">
        <v>14.996885300000001</v>
      </c>
      <c r="G188">
        <v>1395.5428466999999</v>
      </c>
      <c r="H188">
        <v>1381.6142577999999</v>
      </c>
      <c r="I188">
        <v>1250.7879639</v>
      </c>
      <c r="J188">
        <v>1211.1732178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23.990141000000001</v>
      </c>
      <c r="B189" s="1">
        <f>DATE(2010,5,24) + TIME(23,45,48)</f>
        <v>40322.99013888889</v>
      </c>
      <c r="C189">
        <v>80</v>
      </c>
      <c r="D189">
        <v>79.900550842000001</v>
      </c>
      <c r="E189">
        <v>50</v>
      </c>
      <c r="F189">
        <v>14.996904373</v>
      </c>
      <c r="G189">
        <v>1395.4401855000001</v>
      </c>
      <c r="H189">
        <v>1381.5146483999999</v>
      </c>
      <c r="I189">
        <v>1250.7930908000001</v>
      </c>
      <c r="J189">
        <v>1211.1779785000001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24.377928000000001</v>
      </c>
      <c r="B190" s="1">
        <f>DATE(2010,5,25) + TIME(9,4,12)</f>
        <v>40323.377916666665</v>
      </c>
      <c r="C190">
        <v>80</v>
      </c>
      <c r="D190">
        <v>79.900604247999993</v>
      </c>
      <c r="E190">
        <v>50</v>
      </c>
      <c r="F190">
        <v>14.996922493</v>
      </c>
      <c r="G190">
        <v>1395.3375243999999</v>
      </c>
      <c r="H190">
        <v>1381.4149170000001</v>
      </c>
      <c r="I190">
        <v>1250.7983397999999</v>
      </c>
      <c r="J190">
        <v>1211.1828613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24.772908000000001</v>
      </c>
      <c r="B191" s="1">
        <f>DATE(2010,5,25) + TIME(18,32,59)</f>
        <v>40323.772905092592</v>
      </c>
      <c r="C191">
        <v>80</v>
      </c>
      <c r="D191">
        <v>79.900650024000001</v>
      </c>
      <c r="E191">
        <v>50</v>
      </c>
      <c r="F191">
        <v>14.996941566</v>
      </c>
      <c r="G191">
        <v>1395.2346190999999</v>
      </c>
      <c r="H191">
        <v>1381.3151855000001</v>
      </c>
      <c r="I191">
        <v>1250.8035889</v>
      </c>
      <c r="J191">
        <v>1211.1877440999999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25.175857000000001</v>
      </c>
      <c r="B192" s="1">
        <f>DATE(2010,5,26) + TIME(4,13,14)</f>
        <v>40324.175856481481</v>
      </c>
      <c r="C192">
        <v>80</v>
      </c>
      <c r="D192">
        <v>79.900703429999993</v>
      </c>
      <c r="E192">
        <v>50</v>
      </c>
      <c r="F192">
        <v>14.996960639999999</v>
      </c>
      <c r="G192">
        <v>1395.1315918</v>
      </c>
      <c r="H192">
        <v>1381.2150879000001</v>
      </c>
      <c r="I192">
        <v>1250.809082</v>
      </c>
      <c r="J192">
        <v>1211.1928711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25.586929999999999</v>
      </c>
      <c r="B193" s="1">
        <f>DATE(2010,5,26) + TIME(14,5,10)</f>
        <v>40324.586921296293</v>
      </c>
      <c r="C193">
        <v>80</v>
      </c>
      <c r="D193">
        <v>79.900756835999999</v>
      </c>
      <c r="E193">
        <v>50</v>
      </c>
      <c r="F193">
        <v>14.996978759999999</v>
      </c>
      <c r="G193">
        <v>1395.0279541</v>
      </c>
      <c r="H193">
        <v>1381.114624</v>
      </c>
      <c r="I193">
        <v>1250.8145752</v>
      </c>
      <c r="J193">
        <v>1211.1979980000001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26.004836999999998</v>
      </c>
      <c r="B194" s="1">
        <f>DATE(2010,5,27) + TIME(0,6,57)</f>
        <v>40325.004826388889</v>
      </c>
      <c r="C194">
        <v>80</v>
      </c>
      <c r="D194">
        <v>79.900810242000006</v>
      </c>
      <c r="E194">
        <v>50</v>
      </c>
      <c r="F194">
        <v>14.996997833</v>
      </c>
      <c r="G194">
        <v>1394.9239502</v>
      </c>
      <c r="H194">
        <v>1381.0137939000001</v>
      </c>
      <c r="I194">
        <v>1250.8203125</v>
      </c>
      <c r="J194">
        <v>1211.2032471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26.429753000000002</v>
      </c>
      <c r="B195" s="1">
        <f>DATE(2010,5,27) + TIME(10,18,50)</f>
        <v>40325.429745370369</v>
      </c>
      <c r="C195">
        <v>80</v>
      </c>
      <c r="D195">
        <v>79.900871276999993</v>
      </c>
      <c r="E195">
        <v>50</v>
      </c>
      <c r="F195">
        <v>14.997016907000001</v>
      </c>
      <c r="G195">
        <v>1394.8198242000001</v>
      </c>
      <c r="H195">
        <v>1380.9128418</v>
      </c>
      <c r="I195">
        <v>1250.8260498</v>
      </c>
      <c r="J195">
        <v>1211.2086182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26.857292999999999</v>
      </c>
      <c r="B196" s="1">
        <f>DATE(2010,5,27) + TIME(20,34,30)</f>
        <v>40325.857291666667</v>
      </c>
      <c r="C196">
        <v>80</v>
      </c>
      <c r="D196">
        <v>79.900924683</v>
      </c>
      <c r="E196">
        <v>50</v>
      </c>
      <c r="F196">
        <v>14.99703598</v>
      </c>
      <c r="G196">
        <v>1394.7155762</v>
      </c>
      <c r="H196">
        <v>1380.8116454999999</v>
      </c>
      <c r="I196">
        <v>1250.8319091999999</v>
      </c>
      <c r="J196">
        <v>1211.2139893000001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27.286750999999999</v>
      </c>
      <c r="B197" s="1">
        <f>DATE(2010,5,28) + TIME(6,52,55)</f>
        <v>40326.286747685182</v>
      </c>
      <c r="C197">
        <v>80</v>
      </c>
      <c r="D197">
        <v>79.900978088000002</v>
      </c>
      <c r="E197">
        <v>50</v>
      </c>
      <c r="F197">
        <v>14.997055054</v>
      </c>
      <c r="G197">
        <v>1394.6123047000001</v>
      </c>
      <c r="H197">
        <v>1380.7115478999999</v>
      </c>
      <c r="I197">
        <v>1250.8377685999999</v>
      </c>
      <c r="J197">
        <v>1211.2194824000001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27.718859999999999</v>
      </c>
      <c r="B198" s="1">
        <f>DATE(2010,5,28) + TIME(17,15,9)</f>
        <v>40326.718854166669</v>
      </c>
      <c r="C198">
        <v>80</v>
      </c>
      <c r="D198">
        <v>79.901039123999993</v>
      </c>
      <c r="E198">
        <v>50</v>
      </c>
      <c r="F198">
        <v>14.997073174000001</v>
      </c>
      <c r="G198">
        <v>1394.5101318</v>
      </c>
      <c r="H198">
        <v>1380.6124268000001</v>
      </c>
      <c r="I198">
        <v>1250.84375</v>
      </c>
      <c r="J198">
        <v>1211.2250977000001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28.152270000000001</v>
      </c>
      <c r="B199" s="1">
        <f>DATE(2010,5,29) + TIME(3,39,16)</f>
        <v>40327.152268518519</v>
      </c>
      <c r="C199">
        <v>80</v>
      </c>
      <c r="D199">
        <v>79.901092528999996</v>
      </c>
      <c r="E199">
        <v>50</v>
      </c>
      <c r="F199">
        <v>14.997092246999999</v>
      </c>
      <c r="G199">
        <v>1394.4089355000001</v>
      </c>
      <c r="H199">
        <v>1380.5142822</v>
      </c>
      <c r="I199">
        <v>1250.8497314000001</v>
      </c>
      <c r="J199">
        <v>1211.2307129000001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28.587156</v>
      </c>
      <c r="B200" s="1">
        <f>DATE(2010,5,29) + TIME(14,5,30)</f>
        <v>40327.587152777778</v>
      </c>
      <c r="C200">
        <v>80</v>
      </c>
      <c r="D200">
        <v>79.901153563999998</v>
      </c>
      <c r="E200">
        <v>50</v>
      </c>
      <c r="F200">
        <v>14.997110366999999</v>
      </c>
      <c r="G200">
        <v>1394.3089600000001</v>
      </c>
      <c r="H200">
        <v>1380.4173584</v>
      </c>
      <c r="I200">
        <v>1250.8557129000001</v>
      </c>
      <c r="J200">
        <v>1211.2363281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29.024179</v>
      </c>
      <c r="B201" s="1">
        <f>DATE(2010,5,30) + TIME(0,34,49)</f>
        <v>40328.024178240739</v>
      </c>
      <c r="C201">
        <v>80</v>
      </c>
      <c r="D201">
        <v>79.901206970000004</v>
      </c>
      <c r="E201">
        <v>50</v>
      </c>
      <c r="F201">
        <v>14.997128486999999</v>
      </c>
      <c r="G201">
        <v>1394.2100829999999</v>
      </c>
      <c r="H201">
        <v>1380.3214111</v>
      </c>
      <c r="I201">
        <v>1250.8618164</v>
      </c>
      <c r="J201">
        <v>1211.2419434000001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29.463992000000001</v>
      </c>
      <c r="B202" s="1">
        <f>DATE(2010,5,30) + TIME(11,8,8)</f>
        <v>40328.46398148148</v>
      </c>
      <c r="C202">
        <v>80</v>
      </c>
      <c r="D202">
        <v>79.901268005000006</v>
      </c>
      <c r="E202">
        <v>50</v>
      </c>
      <c r="F202">
        <v>14.997146605999999</v>
      </c>
      <c r="G202">
        <v>1394.1121826000001</v>
      </c>
      <c r="H202">
        <v>1380.2265625</v>
      </c>
      <c r="I202">
        <v>1250.8679199000001</v>
      </c>
      <c r="J202">
        <v>1211.2475586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29.907253000000001</v>
      </c>
      <c r="B203" s="1">
        <f>DATE(2010,5,30) + TIME(21,46,26)</f>
        <v>40328.90724537037</v>
      </c>
      <c r="C203">
        <v>80</v>
      </c>
      <c r="D203">
        <v>79.901329040999997</v>
      </c>
      <c r="E203">
        <v>50</v>
      </c>
      <c r="F203">
        <v>14.997164725999999</v>
      </c>
      <c r="G203">
        <v>1394.0150146000001</v>
      </c>
      <c r="H203">
        <v>1380.1323242000001</v>
      </c>
      <c r="I203">
        <v>1250.8740233999999</v>
      </c>
      <c r="J203">
        <v>1211.2532959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30.354635999999999</v>
      </c>
      <c r="B204" s="1">
        <f>DATE(2010,5,31) + TIME(8,30,40)</f>
        <v>40329.354629629626</v>
      </c>
      <c r="C204">
        <v>80</v>
      </c>
      <c r="D204">
        <v>79.901390075999998</v>
      </c>
      <c r="E204">
        <v>50</v>
      </c>
      <c r="F204">
        <v>14.997181892</v>
      </c>
      <c r="G204">
        <v>1393.9185791</v>
      </c>
      <c r="H204">
        <v>1380.0388184000001</v>
      </c>
      <c r="I204">
        <v>1250.8801269999999</v>
      </c>
      <c r="J204">
        <v>1211.2591553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30.806832</v>
      </c>
      <c r="B205" s="1">
        <f>DATE(2010,5,31) + TIME(19,21,50)</f>
        <v>40329.806828703702</v>
      </c>
      <c r="C205">
        <v>80</v>
      </c>
      <c r="D205">
        <v>79.901451111</v>
      </c>
      <c r="E205">
        <v>50</v>
      </c>
      <c r="F205">
        <v>14.997200012</v>
      </c>
      <c r="G205">
        <v>1393.8226318</v>
      </c>
      <c r="H205">
        <v>1379.9458007999999</v>
      </c>
      <c r="I205">
        <v>1250.8864745999999</v>
      </c>
      <c r="J205">
        <v>1211.2650146000001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31</v>
      </c>
      <c r="B206" s="1">
        <f>DATE(2010,6,1) + TIME(0,0,0)</f>
        <v>40330</v>
      </c>
      <c r="C206">
        <v>80</v>
      </c>
      <c r="D206">
        <v>79.901466369999994</v>
      </c>
      <c r="E206">
        <v>50</v>
      </c>
      <c r="F206">
        <v>14.997209549000001</v>
      </c>
      <c r="G206">
        <v>1393.7266846</v>
      </c>
      <c r="H206">
        <v>1379.8527832</v>
      </c>
      <c r="I206">
        <v>1250.8922118999999</v>
      </c>
      <c r="J206">
        <v>1211.2703856999999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31.457726999999998</v>
      </c>
      <c r="B207" s="1">
        <f>DATE(2010,6,1) + TIME(10,59,7)</f>
        <v>40330.457719907405</v>
      </c>
      <c r="C207">
        <v>80</v>
      </c>
      <c r="D207">
        <v>79.901535034000005</v>
      </c>
      <c r="E207">
        <v>50</v>
      </c>
      <c r="F207">
        <v>14.997226715</v>
      </c>
      <c r="G207">
        <v>1393.6860352000001</v>
      </c>
      <c r="H207">
        <v>1379.8133545000001</v>
      </c>
      <c r="I207">
        <v>1250.8955077999999</v>
      </c>
      <c r="J207">
        <v>1211.2735596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31.924901999999999</v>
      </c>
      <c r="B208" s="1">
        <f>DATE(2010,6,1) + TIME(22,11,51)</f>
        <v>40330.924895833334</v>
      </c>
      <c r="C208">
        <v>80</v>
      </c>
      <c r="D208">
        <v>79.901603699000006</v>
      </c>
      <c r="E208">
        <v>50</v>
      </c>
      <c r="F208">
        <v>14.997243880999999</v>
      </c>
      <c r="G208">
        <v>1393.5916748</v>
      </c>
      <c r="H208">
        <v>1379.7218018000001</v>
      </c>
      <c r="I208">
        <v>1250.9019774999999</v>
      </c>
      <c r="J208">
        <v>1211.2795410000001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32.399434999999997</v>
      </c>
      <c r="B209" s="1">
        <f>DATE(2010,6,2) + TIME(9,35,11)</f>
        <v>40331.39943287037</v>
      </c>
      <c r="C209">
        <v>80</v>
      </c>
      <c r="D209">
        <v>79.901664733999993</v>
      </c>
      <c r="E209">
        <v>50</v>
      </c>
      <c r="F209">
        <v>14.997261047</v>
      </c>
      <c r="G209">
        <v>1393.4962158000001</v>
      </c>
      <c r="H209">
        <v>1379.6293945</v>
      </c>
      <c r="I209">
        <v>1250.9085693</v>
      </c>
      <c r="J209">
        <v>1211.2856445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32.882244</v>
      </c>
      <c r="B210" s="1">
        <f>DATE(2010,6,2) + TIME(21,10,25)</f>
        <v>40331.882233796299</v>
      </c>
      <c r="C210">
        <v>80</v>
      </c>
      <c r="D210">
        <v>79.901733398000005</v>
      </c>
      <c r="E210">
        <v>50</v>
      </c>
      <c r="F210">
        <v>14.997278214</v>
      </c>
      <c r="G210">
        <v>1393.4007568</v>
      </c>
      <c r="H210">
        <v>1379.5367432</v>
      </c>
      <c r="I210">
        <v>1250.9152832</v>
      </c>
      <c r="J210">
        <v>1211.2919922000001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33.374327999999998</v>
      </c>
      <c r="B211" s="1">
        <f>DATE(2010,6,3) + TIME(8,59,1)</f>
        <v>40332.37431712963</v>
      </c>
      <c r="C211">
        <v>80</v>
      </c>
      <c r="D211">
        <v>79.901802063000005</v>
      </c>
      <c r="E211">
        <v>50</v>
      </c>
      <c r="F211">
        <v>14.997296333</v>
      </c>
      <c r="G211">
        <v>1393.3048096</v>
      </c>
      <c r="H211">
        <v>1379.4437256000001</v>
      </c>
      <c r="I211">
        <v>1250.9221190999999</v>
      </c>
      <c r="J211">
        <v>1211.2984618999999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33.875619999999998</v>
      </c>
      <c r="B212" s="1">
        <f>DATE(2010,6,3) + TIME(21,0,53)</f>
        <v>40332.875613425924</v>
      </c>
      <c r="C212">
        <v>80</v>
      </c>
      <c r="D212">
        <v>79.901870728000006</v>
      </c>
      <c r="E212">
        <v>50</v>
      </c>
      <c r="F212">
        <v>14.997313499000001</v>
      </c>
      <c r="G212">
        <v>1393.2086182</v>
      </c>
      <c r="H212">
        <v>1379.3503418</v>
      </c>
      <c r="I212">
        <v>1250.9290771000001</v>
      </c>
      <c r="J212">
        <v>1211.3049315999999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34.383732000000002</v>
      </c>
      <c r="B213" s="1">
        <f>DATE(2010,6,4) + TIME(9,12,34)</f>
        <v>40333.383726851855</v>
      </c>
      <c r="C213">
        <v>80</v>
      </c>
      <c r="D213">
        <v>79.901939392000003</v>
      </c>
      <c r="E213">
        <v>50</v>
      </c>
      <c r="F213">
        <v>14.997331619000001</v>
      </c>
      <c r="G213">
        <v>1393.1118164</v>
      </c>
      <c r="H213">
        <v>1379.2565918</v>
      </c>
      <c r="I213">
        <v>1250.9362793</v>
      </c>
      <c r="J213">
        <v>1211.3116454999999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34.896203999999997</v>
      </c>
      <c r="B214" s="1">
        <f>DATE(2010,6,4) + TIME(21,30,32)</f>
        <v>40333.896203703705</v>
      </c>
      <c r="C214">
        <v>80</v>
      </c>
      <c r="D214">
        <v>79.902008057000003</v>
      </c>
      <c r="E214">
        <v>50</v>
      </c>
      <c r="F214">
        <v>14.997349739000001</v>
      </c>
      <c r="G214">
        <v>1393.0152588000001</v>
      </c>
      <c r="H214">
        <v>1379.1629639</v>
      </c>
      <c r="I214">
        <v>1250.9434814000001</v>
      </c>
      <c r="J214">
        <v>1211.3184814000001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35.409626000000003</v>
      </c>
      <c r="B215" s="1">
        <f>DATE(2010,6,5) + TIME(9,49,51)</f>
        <v>40334.409618055557</v>
      </c>
      <c r="C215">
        <v>80</v>
      </c>
      <c r="D215">
        <v>79.902084350999999</v>
      </c>
      <c r="E215">
        <v>50</v>
      </c>
      <c r="F215">
        <v>14.997366905</v>
      </c>
      <c r="G215">
        <v>1392.9190673999999</v>
      </c>
      <c r="H215">
        <v>1379.0697021000001</v>
      </c>
      <c r="I215">
        <v>1250.9508057</v>
      </c>
      <c r="J215">
        <v>1211.3254394999999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35.923217999999999</v>
      </c>
      <c r="B216" s="1">
        <f>DATE(2010,6,5) + TIME(22,9,25)</f>
        <v>40334.923206018517</v>
      </c>
      <c r="C216">
        <v>80</v>
      </c>
      <c r="D216">
        <v>79.902153014999996</v>
      </c>
      <c r="E216">
        <v>50</v>
      </c>
      <c r="F216">
        <v>14.997385025</v>
      </c>
      <c r="G216">
        <v>1392.8242187999999</v>
      </c>
      <c r="H216">
        <v>1378.9776611</v>
      </c>
      <c r="I216">
        <v>1250.9581298999999</v>
      </c>
      <c r="J216">
        <v>1211.3322754000001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36.437786000000003</v>
      </c>
      <c r="B217" s="1">
        <f>DATE(2010,6,6) + TIME(10,30,24)</f>
        <v>40335.437777777777</v>
      </c>
      <c r="C217">
        <v>80</v>
      </c>
      <c r="D217">
        <v>79.902221679999997</v>
      </c>
      <c r="E217">
        <v>50</v>
      </c>
      <c r="F217">
        <v>14.997402191000001</v>
      </c>
      <c r="G217">
        <v>1392.7304687999999</v>
      </c>
      <c r="H217">
        <v>1378.8868408000001</v>
      </c>
      <c r="I217">
        <v>1250.9655762</v>
      </c>
      <c r="J217">
        <v>1211.3392334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36.954123000000003</v>
      </c>
      <c r="B218" s="1">
        <f>DATE(2010,6,6) + TIME(22,53,56)</f>
        <v>40335.95412037037</v>
      </c>
      <c r="C218">
        <v>80</v>
      </c>
      <c r="D218">
        <v>79.902297974000007</v>
      </c>
      <c r="E218">
        <v>50</v>
      </c>
      <c r="F218">
        <v>14.997419357</v>
      </c>
      <c r="G218">
        <v>1392.6379394999999</v>
      </c>
      <c r="H218">
        <v>1378.7971190999999</v>
      </c>
      <c r="I218">
        <v>1250.9730225000001</v>
      </c>
      <c r="J218">
        <v>1211.3461914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37.472994999999997</v>
      </c>
      <c r="B219" s="1">
        <f>DATE(2010,6,7) + TIME(11,21,6)</f>
        <v>40336.472986111112</v>
      </c>
      <c r="C219">
        <v>80</v>
      </c>
      <c r="D219">
        <v>79.902366638000004</v>
      </c>
      <c r="E219">
        <v>50</v>
      </c>
      <c r="F219">
        <v>14.997436522999999</v>
      </c>
      <c r="G219">
        <v>1392.5463867000001</v>
      </c>
      <c r="H219">
        <v>1378.708374</v>
      </c>
      <c r="I219">
        <v>1250.9804687999999</v>
      </c>
      <c r="J219">
        <v>1211.3532714999999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37.995185999999997</v>
      </c>
      <c r="B220" s="1">
        <f>DATE(2010,6,7) + TIME(23,53,4)</f>
        <v>40336.995185185187</v>
      </c>
      <c r="C220">
        <v>80</v>
      </c>
      <c r="D220">
        <v>79.902442932</v>
      </c>
      <c r="E220">
        <v>50</v>
      </c>
      <c r="F220">
        <v>14.99745369</v>
      </c>
      <c r="G220">
        <v>1392.4555664</v>
      </c>
      <c r="H220">
        <v>1378.6202393000001</v>
      </c>
      <c r="I220">
        <v>1250.9879149999999</v>
      </c>
      <c r="J220">
        <v>1211.3603516000001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38.521490999999997</v>
      </c>
      <c r="B221" s="1">
        <f>DATE(2010,6,8) + TIME(12,30,56)</f>
        <v>40337.521481481483</v>
      </c>
      <c r="C221">
        <v>80</v>
      </c>
      <c r="D221">
        <v>79.902511597</v>
      </c>
      <c r="E221">
        <v>50</v>
      </c>
      <c r="F221">
        <v>14.997470856</v>
      </c>
      <c r="G221">
        <v>1392.3653564000001</v>
      </c>
      <c r="H221">
        <v>1378.5328368999999</v>
      </c>
      <c r="I221">
        <v>1250.9956055</v>
      </c>
      <c r="J221">
        <v>1211.3675536999999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39.052720000000001</v>
      </c>
      <c r="B222" s="1">
        <f>DATE(2010,6,9) + TIME(1,15,55)</f>
        <v>40338.052719907406</v>
      </c>
      <c r="C222">
        <v>80</v>
      </c>
      <c r="D222">
        <v>79.902587890999996</v>
      </c>
      <c r="E222">
        <v>50</v>
      </c>
      <c r="F222">
        <v>14.997487068</v>
      </c>
      <c r="G222">
        <v>1392.2757568</v>
      </c>
      <c r="H222">
        <v>1378.4458007999999</v>
      </c>
      <c r="I222">
        <v>1251.0031738</v>
      </c>
      <c r="J222">
        <v>1211.3747559000001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39.589709999999997</v>
      </c>
      <c r="B223" s="1">
        <f>DATE(2010,6,9) + TIME(14,9,10)</f>
        <v>40338.589699074073</v>
      </c>
      <c r="C223">
        <v>80</v>
      </c>
      <c r="D223">
        <v>79.902664185000006</v>
      </c>
      <c r="E223">
        <v>50</v>
      </c>
      <c r="F223">
        <v>14.997504234000001</v>
      </c>
      <c r="G223">
        <v>1392.1864014</v>
      </c>
      <c r="H223">
        <v>1378.3591309000001</v>
      </c>
      <c r="I223">
        <v>1251.0109863</v>
      </c>
      <c r="J223">
        <v>1211.3820800999999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40.133457999999997</v>
      </c>
      <c r="B224" s="1">
        <f>DATE(2010,6,10) + TIME(3,12,10)</f>
        <v>40339.133449074077</v>
      </c>
      <c r="C224">
        <v>80</v>
      </c>
      <c r="D224">
        <v>79.902740479000002</v>
      </c>
      <c r="E224">
        <v>50</v>
      </c>
      <c r="F224">
        <v>14.9975214</v>
      </c>
      <c r="G224">
        <v>1392.0972899999999</v>
      </c>
      <c r="H224">
        <v>1378.2727050999999</v>
      </c>
      <c r="I224">
        <v>1251.0189209</v>
      </c>
      <c r="J224">
        <v>1211.3895264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40.684883999999997</v>
      </c>
      <c r="B225" s="1">
        <f>DATE(2010,6,10) + TIME(16,26,13)</f>
        <v>40339.684872685182</v>
      </c>
      <c r="C225">
        <v>80</v>
      </c>
      <c r="D225">
        <v>79.902824401999993</v>
      </c>
      <c r="E225">
        <v>50</v>
      </c>
      <c r="F225">
        <v>14.997537613</v>
      </c>
      <c r="G225">
        <v>1392.0081786999999</v>
      </c>
      <c r="H225">
        <v>1378.1862793</v>
      </c>
      <c r="I225">
        <v>1251.0268555</v>
      </c>
      <c r="J225">
        <v>1211.3970947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41.244838000000001</v>
      </c>
      <c r="B226" s="1">
        <f>DATE(2010,6,11) + TIME(5,52,34)</f>
        <v>40340.244837962964</v>
      </c>
      <c r="C226">
        <v>80</v>
      </c>
      <c r="D226">
        <v>79.902900696000003</v>
      </c>
      <c r="E226">
        <v>50</v>
      </c>
      <c r="F226">
        <v>14.997554779</v>
      </c>
      <c r="G226">
        <v>1391.9190673999999</v>
      </c>
      <c r="H226">
        <v>1378.0998535000001</v>
      </c>
      <c r="I226">
        <v>1251.0350341999999</v>
      </c>
      <c r="J226">
        <v>1211.4047852000001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41.814284000000001</v>
      </c>
      <c r="B227" s="1">
        <f>DATE(2010,6,11) + TIME(19,32,34)</f>
        <v>40340.814282407409</v>
      </c>
      <c r="C227">
        <v>80</v>
      </c>
      <c r="D227">
        <v>79.902984618999994</v>
      </c>
      <c r="E227">
        <v>50</v>
      </c>
      <c r="F227">
        <v>14.997570992</v>
      </c>
      <c r="G227">
        <v>1391.8297118999999</v>
      </c>
      <c r="H227">
        <v>1378.0131836</v>
      </c>
      <c r="I227">
        <v>1251.0433350000001</v>
      </c>
      <c r="J227">
        <v>1211.4125977000001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42.394374999999997</v>
      </c>
      <c r="B228" s="1">
        <f>DATE(2010,6,12) + TIME(9,27,53)</f>
        <v>40341.394363425927</v>
      </c>
      <c r="C228">
        <v>80</v>
      </c>
      <c r="D228">
        <v>79.903068542</v>
      </c>
      <c r="E228">
        <v>50</v>
      </c>
      <c r="F228">
        <v>14.997588157999999</v>
      </c>
      <c r="G228">
        <v>1391.7401123</v>
      </c>
      <c r="H228">
        <v>1377.9262695</v>
      </c>
      <c r="I228">
        <v>1251.0517577999999</v>
      </c>
      <c r="J228">
        <v>1211.4206543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42.984343000000003</v>
      </c>
      <c r="B229" s="1">
        <f>DATE(2010,6,12) + TIME(23,37,27)</f>
        <v>40341.984340277777</v>
      </c>
      <c r="C229">
        <v>80</v>
      </c>
      <c r="D229">
        <v>79.903152465999995</v>
      </c>
      <c r="E229">
        <v>50</v>
      </c>
      <c r="F229">
        <v>14.997605324</v>
      </c>
      <c r="G229">
        <v>1391.6499022999999</v>
      </c>
      <c r="H229">
        <v>1377.8387451000001</v>
      </c>
      <c r="I229">
        <v>1251.0604248</v>
      </c>
      <c r="J229">
        <v>1211.4288329999999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43.282876000000002</v>
      </c>
      <c r="B230" s="1">
        <f>DATE(2010,6,13) + TIME(6,47,20)</f>
        <v>40342.282870370371</v>
      </c>
      <c r="C230">
        <v>80</v>
      </c>
      <c r="D230">
        <v>79.903182982999994</v>
      </c>
      <c r="E230">
        <v>50</v>
      </c>
      <c r="F230">
        <v>14.997615814</v>
      </c>
      <c r="G230">
        <v>1391.5589600000001</v>
      </c>
      <c r="H230">
        <v>1377.7503661999999</v>
      </c>
      <c r="I230">
        <v>1251.0688477000001</v>
      </c>
      <c r="J230">
        <v>1211.4367675999999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43.581409999999998</v>
      </c>
      <c r="B231" s="1">
        <f>DATE(2010,6,13) + TIME(13,57,13)</f>
        <v>40342.581400462965</v>
      </c>
      <c r="C231">
        <v>80</v>
      </c>
      <c r="D231">
        <v>79.903228760000005</v>
      </c>
      <c r="E231">
        <v>50</v>
      </c>
      <c r="F231">
        <v>14.997626305000001</v>
      </c>
      <c r="G231">
        <v>1391.5128173999999</v>
      </c>
      <c r="H231">
        <v>1377.7055664</v>
      </c>
      <c r="I231">
        <v>1251.0734863</v>
      </c>
      <c r="J231">
        <v>1211.4410399999999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43.879942999999997</v>
      </c>
      <c r="B232" s="1">
        <f>DATE(2010,6,13) + TIME(21,7,7)</f>
        <v>40342.879942129628</v>
      </c>
      <c r="C232">
        <v>80</v>
      </c>
      <c r="D232">
        <v>79.903266907000003</v>
      </c>
      <c r="E232">
        <v>50</v>
      </c>
      <c r="F232">
        <v>14.997635840999999</v>
      </c>
      <c r="G232">
        <v>1391.4677733999999</v>
      </c>
      <c r="H232">
        <v>1377.6618652</v>
      </c>
      <c r="I232">
        <v>1251.0780029</v>
      </c>
      <c r="J232">
        <v>1211.4453125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44.178476000000003</v>
      </c>
      <c r="B233" s="1">
        <f>DATE(2010,6,14) + TIME(4,17,0)</f>
        <v>40343.178472222222</v>
      </c>
      <c r="C233">
        <v>80</v>
      </c>
      <c r="D233">
        <v>79.903312682999996</v>
      </c>
      <c r="E233">
        <v>50</v>
      </c>
      <c r="F233">
        <v>14.997645378</v>
      </c>
      <c r="G233">
        <v>1391.4229736</v>
      </c>
      <c r="H233">
        <v>1377.6184082</v>
      </c>
      <c r="I233">
        <v>1251.0825195</v>
      </c>
      <c r="J233">
        <v>1211.4495850000001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44.477009000000002</v>
      </c>
      <c r="B234" s="1">
        <f>DATE(2010,6,14) + TIME(11,26,53)</f>
        <v>40343.477002314816</v>
      </c>
      <c r="C234">
        <v>80</v>
      </c>
      <c r="D234">
        <v>79.903358459000003</v>
      </c>
      <c r="E234">
        <v>50</v>
      </c>
      <c r="F234">
        <v>14.997654915</v>
      </c>
      <c r="G234">
        <v>1391.3785399999999</v>
      </c>
      <c r="H234">
        <v>1377.5751952999999</v>
      </c>
      <c r="I234">
        <v>1251.0870361</v>
      </c>
      <c r="J234">
        <v>1211.4538574000001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44.775542000000002</v>
      </c>
      <c r="B235" s="1">
        <f>DATE(2010,6,14) + TIME(18,36,46)</f>
        <v>40343.77553240741</v>
      </c>
      <c r="C235">
        <v>80</v>
      </c>
      <c r="D235">
        <v>79.903396606000001</v>
      </c>
      <c r="E235">
        <v>50</v>
      </c>
      <c r="F235">
        <v>14.997663498</v>
      </c>
      <c r="G235">
        <v>1391.3343506000001</v>
      </c>
      <c r="H235">
        <v>1377.5322266000001</v>
      </c>
      <c r="I235">
        <v>1251.0915527</v>
      </c>
      <c r="J235">
        <v>1211.4581298999999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45.074075999999998</v>
      </c>
      <c r="B236" s="1">
        <f>DATE(2010,6,15) + TIME(1,46,40)</f>
        <v>40344.074074074073</v>
      </c>
      <c r="C236">
        <v>80</v>
      </c>
      <c r="D236">
        <v>79.903442382999998</v>
      </c>
      <c r="E236">
        <v>50</v>
      </c>
      <c r="F236">
        <v>14.997672080999999</v>
      </c>
      <c r="G236">
        <v>1391.2904053</v>
      </c>
      <c r="H236">
        <v>1377.489624</v>
      </c>
      <c r="I236">
        <v>1251.0960693</v>
      </c>
      <c r="J236">
        <v>1211.4624022999999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45.671142000000003</v>
      </c>
      <c r="B237" s="1">
        <f>DATE(2010,6,15) + TIME(16,6,26)</f>
        <v>40344.671134259261</v>
      </c>
      <c r="C237">
        <v>80</v>
      </c>
      <c r="D237">
        <v>79.903533936000002</v>
      </c>
      <c r="E237">
        <v>50</v>
      </c>
      <c r="F237">
        <v>14.997685432000001</v>
      </c>
      <c r="G237">
        <v>1391.2475586</v>
      </c>
      <c r="H237">
        <v>1377.4481201000001</v>
      </c>
      <c r="I237">
        <v>1251.1009521000001</v>
      </c>
      <c r="J237">
        <v>1211.4671631000001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46.268377000000001</v>
      </c>
      <c r="B238" s="1">
        <f>DATE(2010,6,16) + TIME(6,26,27)</f>
        <v>40345.268368055556</v>
      </c>
      <c r="C238">
        <v>80</v>
      </c>
      <c r="D238">
        <v>79.903625488000003</v>
      </c>
      <c r="E238">
        <v>50</v>
      </c>
      <c r="F238">
        <v>14.997699738</v>
      </c>
      <c r="G238">
        <v>1391.1616211</v>
      </c>
      <c r="H238">
        <v>1377.364624</v>
      </c>
      <c r="I238">
        <v>1251.1099853999999</v>
      </c>
      <c r="J238">
        <v>1211.4757079999999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46.868876999999998</v>
      </c>
      <c r="B239" s="1">
        <f>DATE(2010,6,16) + TIME(20,51,10)</f>
        <v>40345.86886574074</v>
      </c>
      <c r="C239">
        <v>80</v>
      </c>
      <c r="D239">
        <v>79.903709411999998</v>
      </c>
      <c r="E239">
        <v>50</v>
      </c>
      <c r="F239">
        <v>14.997714995999999</v>
      </c>
      <c r="G239">
        <v>1391.0762939000001</v>
      </c>
      <c r="H239">
        <v>1377.2818603999999</v>
      </c>
      <c r="I239">
        <v>1251.1191406</v>
      </c>
      <c r="J239">
        <v>1211.484375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47.473525000000002</v>
      </c>
      <c r="B240" s="1">
        <f>DATE(2010,6,17) + TIME(11,21,52)</f>
        <v>40346.47351851852</v>
      </c>
      <c r="C240">
        <v>80</v>
      </c>
      <c r="D240">
        <v>79.903800963999998</v>
      </c>
      <c r="E240">
        <v>50</v>
      </c>
      <c r="F240">
        <v>14.997730255</v>
      </c>
      <c r="G240">
        <v>1390.9915771000001</v>
      </c>
      <c r="H240">
        <v>1377.1995850000001</v>
      </c>
      <c r="I240">
        <v>1251.1282959</v>
      </c>
      <c r="J240">
        <v>1211.4930420000001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48.083233999999997</v>
      </c>
      <c r="B241" s="1">
        <f>DATE(2010,6,18) + TIME(1,59,51)</f>
        <v>40347.083229166667</v>
      </c>
      <c r="C241">
        <v>80</v>
      </c>
      <c r="D241">
        <v>79.903884887999993</v>
      </c>
      <c r="E241">
        <v>50</v>
      </c>
      <c r="F241">
        <v>14.997746468000001</v>
      </c>
      <c r="G241">
        <v>1390.9072266000001</v>
      </c>
      <c r="H241">
        <v>1377.1176757999999</v>
      </c>
      <c r="I241">
        <v>1251.1376952999999</v>
      </c>
      <c r="J241">
        <v>1211.5018310999999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48.698943</v>
      </c>
      <c r="B242" s="1">
        <f>DATE(2010,6,18) + TIME(16,46,28)</f>
        <v>40347.698935185188</v>
      </c>
      <c r="C242">
        <v>80</v>
      </c>
      <c r="D242">
        <v>79.903976439999994</v>
      </c>
      <c r="E242">
        <v>50</v>
      </c>
      <c r="F242">
        <v>14.997761726</v>
      </c>
      <c r="G242">
        <v>1390.8233643000001</v>
      </c>
      <c r="H242">
        <v>1377.0361327999999</v>
      </c>
      <c r="I242">
        <v>1251.1470947</v>
      </c>
      <c r="J242">
        <v>1211.5108643000001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49.321624999999997</v>
      </c>
      <c r="B243" s="1">
        <f>DATE(2010,6,19) + TIME(7,43,8)</f>
        <v>40348.321620370371</v>
      </c>
      <c r="C243">
        <v>80</v>
      </c>
      <c r="D243">
        <v>79.904067992999998</v>
      </c>
      <c r="E243">
        <v>50</v>
      </c>
      <c r="F243">
        <v>14.997777939000001</v>
      </c>
      <c r="G243">
        <v>1390.739624</v>
      </c>
      <c r="H243">
        <v>1376.9548339999999</v>
      </c>
      <c r="I243">
        <v>1251.1566161999999</v>
      </c>
      <c r="J243">
        <v>1211.5198975000001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49.952550000000002</v>
      </c>
      <c r="B244" s="1">
        <f>DATE(2010,6,19) + TIME(22,51,40)</f>
        <v>40348.952546296299</v>
      </c>
      <c r="C244">
        <v>80</v>
      </c>
      <c r="D244">
        <v>79.904159546000002</v>
      </c>
      <c r="E244">
        <v>50</v>
      </c>
      <c r="F244">
        <v>14.997794151000001</v>
      </c>
      <c r="G244">
        <v>1390.6558838000001</v>
      </c>
      <c r="H244">
        <v>1376.8736572</v>
      </c>
      <c r="I244">
        <v>1251.1662598</v>
      </c>
      <c r="J244">
        <v>1211.5290527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50.592593999999998</v>
      </c>
      <c r="B245" s="1">
        <f>DATE(2010,6,20) + TIME(14,13,20)</f>
        <v>40349.592592592591</v>
      </c>
      <c r="C245">
        <v>80</v>
      </c>
      <c r="D245">
        <v>79.904251099000007</v>
      </c>
      <c r="E245">
        <v>50</v>
      </c>
      <c r="F245">
        <v>14.99780941</v>
      </c>
      <c r="G245">
        <v>1390.5721435999999</v>
      </c>
      <c r="H245">
        <v>1376.7922363</v>
      </c>
      <c r="I245">
        <v>1251.1761475000001</v>
      </c>
      <c r="J245">
        <v>1211.5384521000001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51.242843999999998</v>
      </c>
      <c r="B246" s="1">
        <f>DATE(2010,6,21) + TIME(5,49,41)</f>
        <v>40350.242835648147</v>
      </c>
      <c r="C246">
        <v>80</v>
      </c>
      <c r="D246">
        <v>79.904342650999993</v>
      </c>
      <c r="E246">
        <v>50</v>
      </c>
      <c r="F246">
        <v>14.997825623000001</v>
      </c>
      <c r="G246">
        <v>1390.4882812000001</v>
      </c>
      <c r="H246">
        <v>1376.7106934000001</v>
      </c>
      <c r="I246">
        <v>1251.1862793</v>
      </c>
      <c r="J246">
        <v>1211.5479736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51.904454999999999</v>
      </c>
      <c r="B247" s="1">
        <f>DATE(2010,6,21) + TIME(21,42,24)</f>
        <v>40350.904444444444</v>
      </c>
      <c r="C247">
        <v>80</v>
      </c>
      <c r="D247">
        <v>79.904441833000007</v>
      </c>
      <c r="E247">
        <v>50</v>
      </c>
      <c r="F247">
        <v>14.997841834999999</v>
      </c>
      <c r="G247">
        <v>1390.4040527</v>
      </c>
      <c r="H247">
        <v>1376.6289062000001</v>
      </c>
      <c r="I247">
        <v>1251.1965332</v>
      </c>
      <c r="J247">
        <v>1211.5577393000001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52.578744</v>
      </c>
      <c r="B248" s="1">
        <f>DATE(2010,6,22) + TIME(13,53,23)</f>
        <v>40351.578738425924</v>
      </c>
      <c r="C248">
        <v>80</v>
      </c>
      <c r="D248">
        <v>79.904541015999996</v>
      </c>
      <c r="E248">
        <v>50</v>
      </c>
      <c r="F248">
        <v>14.997858046999999</v>
      </c>
      <c r="G248">
        <v>1390.3193358999999</v>
      </c>
      <c r="H248">
        <v>1376.5466309000001</v>
      </c>
      <c r="I248">
        <v>1251.2070312000001</v>
      </c>
      <c r="J248">
        <v>1211.5676269999999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53.262121</v>
      </c>
      <c r="B249" s="1">
        <f>DATE(2010,6,23) + TIME(6,17,27)</f>
        <v>40352.262118055558</v>
      </c>
      <c r="C249">
        <v>80</v>
      </c>
      <c r="D249">
        <v>79.904640197999996</v>
      </c>
      <c r="E249">
        <v>50</v>
      </c>
      <c r="F249">
        <v>14.99787426</v>
      </c>
      <c r="G249">
        <v>1390.2341309000001</v>
      </c>
      <c r="H249">
        <v>1376.4638672000001</v>
      </c>
      <c r="I249">
        <v>1251.2176514</v>
      </c>
      <c r="J249">
        <v>1211.5778809000001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53.604228999999997</v>
      </c>
      <c r="B250" s="1">
        <f>DATE(2010,6,23) + TIME(14,30,5)</f>
        <v>40352.604224537034</v>
      </c>
      <c r="C250">
        <v>80</v>
      </c>
      <c r="D250">
        <v>79.904685974000003</v>
      </c>
      <c r="E250">
        <v>50</v>
      </c>
      <c r="F250">
        <v>14.997884750000001</v>
      </c>
      <c r="G250">
        <v>1390.1484375</v>
      </c>
      <c r="H250">
        <v>1376.3803711</v>
      </c>
      <c r="I250">
        <v>1251.2281493999999</v>
      </c>
      <c r="J250">
        <v>1211.5877685999999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53.946337999999997</v>
      </c>
      <c r="B251" s="1">
        <f>DATE(2010,6,23) + TIME(22,42,43)</f>
        <v>40352.946331018517</v>
      </c>
      <c r="C251">
        <v>80</v>
      </c>
      <c r="D251">
        <v>79.904731749999996</v>
      </c>
      <c r="E251">
        <v>50</v>
      </c>
      <c r="F251">
        <v>14.997895241</v>
      </c>
      <c r="G251">
        <v>1390.1053466999999</v>
      </c>
      <c r="H251">
        <v>1376.338501</v>
      </c>
      <c r="I251">
        <v>1251.2337646000001</v>
      </c>
      <c r="J251">
        <v>1211.5931396000001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54.288446</v>
      </c>
      <c r="B252" s="1">
        <f>DATE(2010,6,24) + TIME(6,55,21)</f>
        <v>40353.288437499999</v>
      </c>
      <c r="C252">
        <v>80</v>
      </c>
      <c r="D252">
        <v>79.904785156000003</v>
      </c>
      <c r="E252">
        <v>50</v>
      </c>
      <c r="F252">
        <v>14.997903824</v>
      </c>
      <c r="G252">
        <v>1390.0631103999999</v>
      </c>
      <c r="H252">
        <v>1376.2974853999999</v>
      </c>
      <c r="I252">
        <v>1251.2392577999999</v>
      </c>
      <c r="J252">
        <v>1211.5983887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54.630555000000001</v>
      </c>
      <c r="B253" s="1">
        <f>DATE(2010,6,24) + TIME(15,7,59)</f>
        <v>40353.630543981482</v>
      </c>
      <c r="C253">
        <v>80</v>
      </c>
      <c r="D253">
        <v>79.904830933</v>
      </c>
      <c r="E253">
        <v>50</v>
      </c>
      <c r="F253">
        <v>14.997913361</v>
      </c>
      <c r="G253">
        <v>1390.0212402</v>
      </c>
      <c r="H253">
        <v>1376.2567139</v>
      </c>
      <c r="I253">
        <v>1251.2448730000001</v>
      </c>
      <c r="J253">
        <v>1211.6036377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54.972664000000002</v>
      </c>
      <c r="B254" s="1">
        <f>DATE(2010,6,24) + TIME(23,20,38)</f>
        <v>40353.972662037035</v>
      </c>
      <c r="C254">
        <v>80</v>
      </c>
      <c r="D254">
        <v>79.904884338000002</v>
      </c>
      <c r="E254">
        <v>50</v>
      </c>
      <c r="F254">
        <v>14.997921944</v>
      </c>
      <c r="G254">
        <v>1389.9797363</v>
      </c>
      <c r="H254">
        <v>1376.2163086</v>
      </c>
      <c r="I254">
        <v>1251.2503661999999</v>
      </c>
      <c r="J254">
        <v>1211.6088867000001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55.656880999999998</v>
      </c>
      <c r="B255" s="1">
        <f>DATE(2010,6,25) + TIME(15,45,54)</f>
        <v>40354.656875000001</v>
      </c>
      <c r="C255">
        <v>80</v>
      </c>
      <c r="D255">
        <v>79.904991150000001</v>
      </c>
      <c r="E255">
        <v>50</v>
      </c>
      <c r="F255">
        <v>14.997934341000001</v>
      </c>
      <c r="G255">
        <v>1389.9390868999999</v>
      </c>
      <c r="H255">
        <v>1376.1768798999999</v>
      </c>
      <c r="I255">
        <v>1251.2563477000001</v>
      </c>
      <c r="J255">
        <v>1211.6145019999999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56.341383</v>
      </c>
      <c r="B256" s="1">
        <f>DATE(2010,6,26) + TIME(8,11,35)</f>
        <v>40355.341377314813</v>
      </c>
      <c r="C256">
        <v>80</v>
      </c>
      <c r="D256">
        <v>79.905090332</v>
      </c>
      <c r="E256">
        <v>50</v>
      </c>
      <c r="F256">
        <v>14.997948646999999</v>
      </c>
      <c r="G256">
        <v>1389.8575439000001</v>
      </c>
      <c r="H256">
        <v>1376.0975341999999</v>
      </c>
      <c r="I256">
        <v>1251.2673339999999</v>
      </c>
      <c r="J256">
        <v>1211.6251221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57.029437000000001</v>
      </c>
      <c r="B257" s="1">
        <f>DATE(2010,6,27) + TIME(0,42,23)</f>
        <v>40356.029432870368</v>
      </c>
      <c r="C257">
        <v>80</v>
      </c>
      <c r="D257">
        <v>79.905189514</v>
      </c>
      <c r="E257">
        <v>50</v>
      </c>
      <c r="F257">
        <v>14.997962952</v>
      </c>
      <c r="G257">
        <v>1389.7764893000001</v>
      </c>
      <c r="H257">
        <v>1376.0187988</v>
      </c>
      <c r="I257">
        <v>1251.2785644999999</v>
      </c>
      <c r="J257">
        <v>1211.6357422000001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57.722079000000001</v>
      </c>
      <c r="B258" s="1">
        <f>DATE(2010,6,27) + TIME(17,19,47)</f>
        <v>40356.722071759257</v>
      </c>
      <c r="C258">
        <v>80</v>
      </c>
      <c r="D258">
        <v>79.905288696</v>
      </c>
      <c r="E258">
        <v>50</v>
      </c>
      <c r="F258">
        <v>14.997978209999999</v>
      </c>
      <c r="G258">
        <v>1389.6960449000001</v>
      </c>
      <c r="H258">
        <v>1375.9404297000001</v>
      </c>
      <c r="I258">
        <v>1251.2897949000001</v>
      </c>
      <c r="J258">
        <v>1211.6463623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58.420389</v>
      </c>
      <c r="B259" s="1">
        <f>DATE(2010,6,28) + TIME(10,5,21)</f>
        <v>40357.420381944445</v>
      </c>
      <c r="C259">
        <v>80</v>
      </c>
      <c r="D259">
        <v>79.905395507999998</v>
      </c>
      <c r="E259">
        <v>50</v>
      </c>
      <c r="F259">
        <v>14.997993469000001</v>
      </c>
      <c r="G259">
        <v>1389.6159668</v>
      </c>
      <c r="H259">
        <v>1375.8625488</v>
      </c>
      <c r="I259">
        <v>1251.3012695</v>
      </c>
      <c r="J259">
        <v>1211.6572266000001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59.125464000000001</v>
      </c>
      <c r="B260" s="1">
        <f>DATE(2010,6,29) + TIME(3,0,40)</f>
        <v>40358.125462962962</v>
      </c>
      <c r="C260">
        <v>80</v>
      </c>
      <c r="D260">
        <v>79.905494689999998</v>
      </c>
      <c r="E260">
        <v>50</v>
      </c>
      <c r="F260">
        <v>14.998008728</v>
      </c>
      <c r="G260">
        <v>1389.5361327999999</v>
      </c>
      <c r="H260">
        <v>1375.7849120999999</v>
      </c>
      <c r="I260">
        <v>1251.3128661999999</v>
      </c>
      <c r="J260">
        <v>1211.6683350000001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59.838459999999998</v>
      </c>
      <c r="B261" s="1">
        <f>DATE(2010,6,29) + TIME(20,7,22)</f>
        <v>40358.838449074072</v>
      </c>
      <c r="C261">
        <v>80</v>
      </c>
      <c r="D261">
        <v>79.905601501000007</v>
      </c>
      <c r="E261">
        <v>50</v>
      </c>
      <c r="F261">
        <v>14.998023987</v>
      </c>
      <c r="G261">
        <v>1389.4564209</v>
      </c>
      <c r="H261">
        <v>1375.7072754000001</v>
      </c>
      <c r="I261">
        <v>1251.3245850000001</v>
      </c>
      <c r="J261">
        <v>1211.6794434000001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60.560870999999999</v>
      </c>
      <c r="B262" s="1">
        <f>DATE(2010,6,30) + TIME(13,27,39)</f>
        <v>40359.560868055552</v>
      </c>
      <c r="C262">
        <v>80</v>
      </c>
      <c r="D262">
        <v>79.905708313000005</v>
      </c>
      <c r="E262">
        <v>50</v>
      </c>
      <c r="F262">
        <v>14.998040199</v>
      </c>
      <c r="G262">
        <v>1389.3767089999999</v>
      </c>
      <c r="H262">
        <v>1375.6297606999999</v>
      </c>
      <c r="I262">
        <v>1251.3365478999999</v>
      </c>
      <c r="J262">
        <v>1211.6907959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61</v>
      </c>
      <c r="B263" s="1">
        <f>DATE(2010,7,1) + TIME(0,0,0)</f>
        <v>40360</v>
      </c>
      <c r="C263">
        <v>80</v>
      </c>
      <c r="D263">
        <v>79.905769348000007</v>
      </c>
      <c r="E263">
        <v>50</v>
      </c>
      <c r="F263">
        <v>14.998051643</v>
      </c>
      <c r="G263">
        <v>1389.2966309000001</v>
      </c>
      <c r="H263">
        <v>1375.5517577999999</v>
      </c>
      <c r="I263">
        <v>1251.3482666</v>
      </c>
      <c r="J263">
        <v>1211.7020264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61.732793000000001</v>
      </c>
      <c r="B264" s="1">
        <f>DATE(2010,7,1) + TIME(17,35,13)</f>
        <v>40360.732789351852</v>
      </c>
      <c r="C264">
        <v>80</v>
      </c>
      <c r="D264">
        <v>79.905876160000005</v>
      </c>
      <c r="E264">
        <v>50</v>
      </c>
      <c r="F264">
        <v>14.998065948000001</v>
      </c>
      <c r="G264">
        <v>1389.2485352000001</v>
      </c>
      <c r="H264">
        <v>1375.5050048999999</v>
      </c>
      <c r="I264">
        <v>1251.3560791</v>
      </c>
      <c r="J264">
        <v>1211.7094727000001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62.485039999999998</v>
      </c>
      <c r="B265" s="1">
        <f>DATE(2010,7,2) + TIME(11,38,27)</f>
        <v>40361.485034722224</v>
      </c>
      <c r="C265">
        <v>80</v>
      </c>
      <c r="D265">
        <v>79.905990600999999</v>
      </c>
      <c r="E265">
        <v>50</v>
      </c>
      <c r="F265">
        <v>14.998081207</v>
      </c>
      <c r="G265">
        <v>1389.1693115</v>
      </c>
      <c r="H265">
        <v>1375.4278564000001</v>
      </c>
      <c r="I265">
        <v>1251.3685303</v>
      </c>
      <c r="J265">
        <v>1211.7213135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63.250889999999998</v>
      </c>
      <c r="B266" s="1">
        <f>DATE(2010,7,3) + TIME(6,1,16)</f>
        <v>40362.250879629632</v>
      </c>
      <c r="C266">
        <v>80</v>
      </c>
      <c r="D266">
        <v>79.906105041999993</v>
      </c>
      <c r="E266">
        <v>50</v>
      </c>
      <c r="F266">
        <v>14.998096466</v>
      </c>
      <c r="G266">
        <v>1389.0886230000001</v>
      </c>
      <c r="H266">
        <v>1375.3492432</v>
      </c>
      <c r="I266">
        <v>1251.3813477000001</v>
      </c>
      <c r="J266">
        <v>1211.7335204999999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63.637098000000002</v>
      </c>
      <c r="B267" s="1">
        <f>DATE(2010,7,3) + TIME(15,17,25)</f>
        <v>40362.637094907404</v>
      </c>
      <c r="C267">
        <v>80</v>
      </c>
      <c r="D267">
        <v>79.906150818</v>
      </c>
      <c r="E267">
        <v>50</v>
      </c>
      <c r="F267">
        <v>14.998106956000001</v>
      </c>
      <c r="G267">
        <v>1389.0070800999999</v>
      </c>
      <c r="H267">
        <v>1375.2697754000001</v>
      </c>
      <c r="I267">
        <v>1251.394043</v>
      </c>
      <c r="J267">
        <v>1211.7454834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64.023045999999994</v>
      </c>
      <c r="B268" s="1">
        <f>DATE(2010,7,4) + TIME(0,33,11)</f>
        <v>40363.023043981484</v>
      </c>
      <c r="C268">
        <v>80</v>
      </c>
      <c r="D268">
        <v>79.906204224000007</v>
      </c>
      <c r="E268">
        <v>50</v>
      </c>
      <c r="F268">
        <v>14.998116492999999</v>
      </c>
      <c r="G268">
        <v>1388.9656981999999</v>
      </c>
      <c r="H268">
        <v>1375.2294922000001</v>
      </c>
      <c r="I268">
        <v>1251.4008789</v>
      </c>
      <c r="J268">
        <v>1211.7519531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64.408942999999994</v>
      </c>
      <c r="B269" s="1">
        <f>DATE(2010,7,4) + TIME(9,48,52)</f>
        <v>40363.408935185187</v>
      </c>
      <c r="C269">
        <v>80</v>
      </c>
      <c r="D269">
        <v>79.906265258999994</v>
      </c>
      <c r="E269">
        <v>50</v>
      </c>
      <c r="F269">
        <v>14.998125076000001</v>
      </c>
      <c r="G269">
        <v>1388.925293</v>
      </c>
      <c r="H269">
        <v>1375.1900635</v>
      </c>
      <c r="I269">
        <v>1251.4074707</v>
      </c>
      <c r="J269">
        <v>1211.7584228999999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64.794841000000005</v>
      </c>
      <c r="B270" s="1">
        <f>DATE(2010,7,4) + TIME(19,4,34)</f>
        <v>40363.79483796296</v>
      </c>
      <c r="C270">
        <v>80</v>
      </c>
      <c r="D270">
        <v>79.906318665000001</v>
      </c>
      <c r="E270">
        <v>50</v>
      </c>
      <c r="F270">
        <v>14.998133659000001</v>
      </c>
      <c r="G270">
        <v>1388.8851318</v>
      </c>
      <c r="H270">
        <v>1375.1508789</v>
      </c>
      <c r="I270">
        <v>1251.4141846</v>
      </c>
      <c r="J270">
        <v>1211.7647704999999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65.180738000000005</v>
      </c>
      <c r="B271" s="1">
        <f>DATE(2010,7,5) + TIME(4,20,15)</f>
        <v>40364.18072916667</v>
      </c>
      <c r="C271">
        <v>80</v>
      </c>
      <c r="D271">
        <v>79.906379700000002</v>
      </c>
      <c r="E271">
        <v>50</v>
      </c>
      <c r="F271">
        <v>14.998142242</v>
      </c>
      <c r="G271">
        <v>1388.8452147999999</v>
      </c>
      <c r="H271">
        <v>1375.1120605000001</v>
      </c>
      <c r="I271">
        <v>1251.4208983999999</v>
      </c>
      <c r="J271">
        <v>1211.7711182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65.566636000000003</v>
      </c>
      <c r="B272" s="1">
        <f>DATE(2010,7,5) + TIME(13,35,57)</f>
        <v>40364.566631944443</v>
      </c>
      <c r="C272">
        <v>80</v>
      </c>
      <c r="D272">
        <v>79.906433105000005</v>
      </c>
      <c r="E272">
        <v>50</v>
      </c>
      <c r="F272">
        <v>14.998150826</v>
      </c>
      <c r="G272">
        <v>1388.8055420000001</v>
      </c>
      <c r="H272">
        <v>1375.0733643000001</v>
      </c>
      <c r="I272">
        <v>1251.4277344</v>
      </c>
      <c r="J272">
        <v>1211.7775879000001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65.952533000000003</v>
      </c>
      <c r="B273" s="1">
        <f>DATE(2010,7,5) + TIME(22,51,38)</f>
        <v>40364.952523148146</v>
      </c>
      <c r="C273">
        <v>80</v>
      </c>
      <c r="D273">
        <v>79.906486510999997</v>
      </c>
      <c r="E273">
        <v>50</v>
      </c>
      <c r="F273">
        <v>14.998158455</v>
      </c>
      <c r="G273">
        <v>1388.7661132999999</v>
      </c>
      <c r="H273">
        <v>1375.0347899999999</v>
      </c>
      <c r="I273">
        <v>1251.4344481999999</v>
      </c>
      <c r="J273">
        <v>1211.7840576000001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66.338431</v>
      </c>
      <c r="B274" s="1">
        <f>DATE(2010,7,6) + TIME(8,7,20)</f>
        <v>40365.338425925926</v>
      </c>
      <c r="C274">
        <v>80</v>
      </c>
      <c r="D274">
        <v>79.906547545999999</v>
      </c>
      <c r="E274">
        <v>50</v>
      </c>
      <c r="F274">
        <v>14.998166083999999</v>
      </c>
      <c r="G274">
        <v>1388.7268065999999</v>
      </c>
      <c r="H274">
        <v>1374.996582</v>
      </c>
      <c r="I274">
        <v>1251.4412841999999</v>
      </c>
      <c r="J274">
        <v>1211.7905272999999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67.110225999999997</v>
      </c>
      <c r="B275" s="1">
        <f>DATE(2010,7,7) + TIME(2,38,43)</f>
        <v>40366.110219907408</v>
      </c>
      <c r="C275">
        <v>80</v>
      </c>
      <c r="D275">
        <v>79.906661987000007</v>
      </c>
      <c r="E275">
        <v>50</v>
      </c>
      <c r="F275">
        <v>14.998178482</v>
      </c>
      <c r="G275">
        <v>1388.6884766000001</v>
      </c>
      <c r="H275">
        <v>1374.9592285000001</v>
      </c>
      <c r="I275">
        <v>1251.4484863</v>
      </c>
      <c r="J275">
        <v>1211.7973632999999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67.882480000000001</v>
      </c>
      <c r="B276" s="1">
        <f>DATE(2010,7,7) + TIME(21,10,46)</f>
        <v>40366.882476851853</v>
      </c>
      <c r="C276">
        <v>80</v>
      </c>
      <c r="D276">
        <v>79.906776428000001</v>
      </c>
      <c r="E276">
        <v>50</v>
      </c>
      <c r="F276">
        <v>14.998190879999999</v>
      </c>
      <c r="G276">
        <v>1388.6114502</v>
      </c>
      <c r="H276">
        <v>1374.8841553</v>
      </c>
      <c r="I276">
        <v>1251.4620361</v>
      </c>
      <c r="J276">
        <v>1211.8103027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68.659951000000007</v>
      </c>
      <c r="B277" s="1">
        <f>DATE(2010,7,8) + TIME(15,50,19)</f>
        <v>40367.659942129627</v>
      </c>
      <c r="C277">
        <v>80</v>
      </c>
      <c r="D277">
        <v>79.906890868999994</v>
      </c>
      <c r="E277">
        <v>50</v>
      </c>
      <c r="F277">
        <v>14.998205185</v>
      </c>
      <c r="G277">
        <v>1388.5347899999999</v>
      </c>
      <c r="H277">
        <v>1374.8094481999999</v>
      </c>
      <c r="I277">
        <v>1251.4757079999999</v>
      </c>
      <c r="J277">
        <v>1211.8233643000001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69.443805999999995</v>
      </c>
      <c r="B278" s="1">
        <f>DATE(2010,7,9) + TIME(10,39,4)</f>
        <v>40368.443796296298</v>
      </c>
      <c r="C278">
        <v>80</v>
      </c>
      <c r="D278">
        <v>79.907005310000002</v>
      </c>
      <c r="E278">
        <v>50</v>
      </c>
      <c r="F278">
        <v>14.99821949</v>
      </c>
      <c r="G278">
        <v>1388.4584961</v>
      </c>
      <c r="H278">
        <v>1374.7349853999999</v>
      </c>
      <c r="I278">
        <v>1251.489624</v>
      </c>
      <c r="J278">
        <v>1211.8365478999999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70.235282999999995</v>
      </c>
      <c r="B279" s="1">
        <f>DATE(2010,7,10) + TIME(5,38,48)</f>
        <v>40369.235277777778</v>
      </c>
      <c r="C279">
        <v>80</v>
      </c>
      <c r="D279">
        <v>79.907119750999996</v>
      </c>
      <c r="E279">
        <v>50</v>
      </c>
      <c r="F279">
        <v>14.998234749</v>
      </c>
      <c r="G279">
        <v>1388.3824463000001</v>
      </c>
      <c r="H279">
        <v>1374.6607666</v>
      </c>
      <c r="I279">
        <v>1251.5037841999999</v>
      </c>
      <c r="J279">
        <v>1211.8499756000001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71.035653999999994</v>
      </c>
      <c r="B280" s="1">
        <f>DATE(2010,7,11) + TIME(0,51,20)</f>
        <v>40370.03564814815</v>
      </c>
      <c r="C280">
        <v>80</v>
      </c>
      <c r="D280">
        <v>79.907241821</v>
      </c>
      <c r="E280">
        <v>50</v>
      </c>
      <c r="F280">
        <v>14.998250007999999</v>
      </c>
      <c r="G280">
        <v>1388.3063964999999</v>
      </c>
      <c r="H280">
        <v>1374.5866699000001</v>
      </c>
      <c r="I280">
        <v>1251.5180664</v>
      </c>
      <c r="J280">
        <v>1211.8636475000001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71.846609000000001</v>
      </c>
      <c r="B281" s="1">
        <f>DATE(2010,7,11) + TIME(20,19,7)</f>
        <v>40370.846608796295</v>
      </c>
      <c r="C281">
        <v>80</v>
      </c>
      <c r="D281">
        <v>79.907356261999993</v>
      </c>
      <c r="E281">
        <v>50</v>
      </c>
      <c r="F281">
        <v>14.998264313</v>
      </c>
      <c r="G281">
        <v>1388.2303466999999</v>
      </c>
      <c r="H281">
        <v>1374.5124512</v>
      </c>
      <c r="I281">
        <v>1251.5325928</v>
      </c>
      <c r="J281">
        <v>1211.8775635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72.669246999999999</v>
      </c>
      <c r="B282" s="1">
        <f>DATE(2010,7,12) + TIME(16,3,42)</f>
        <v>40371.669236111113</v>
      </c>
      <c r="C282">
        <v>80</v>
      </c>
      <c r="D282">
        <v>79.907478333</v>
      </c>
      <c r="E282">
        <v>50</v>
      </c>
      <c r="F282">
        <v>14.998279572</v>
      </c>
      <c r="G282">
        <v>1388.1540527</v>
      </c>
      <c r="H282">
        <v>1374.4379882999999</v>
      </c>
      <c r="I282">
        <v>1251.5474853999999</v>
      </c>
      <c r="J282">
        <v>1211.8917236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73.505049999999997</v>
      </c>
      <c r="B283" s="1">
        <f>DATE(2010,7,13) + TIME(12,7,16)</f>
        <v>40372.505046296297</v>
      </c>
      <c r="C283">
        <v>80</v>
      </c>
      <c r="D283">
        <v>79.907600403000004</v>
      </c>
      <c r="E283">
        <v>50</v>
      </c>
      <c r="F283">
        <v>14.998294830000001</v>
      </c>
      <c r="G283">
        <v>1388.0775146000001</v>
      </c>
      <c r="H283">
        <v>1374.3632812000001</v>
      </c>
      <c r="I283">
        <v>1251.5627440999999</v>
      </c>
      <c r="J283">
        <v>1211.9061279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74.350077999999996</v>
      </c>
      <c r="B284" s="1">
        <f>DATE(2010,7,14) + TIME(8,24,6)</f>
        <v>40373.350069444445</v>
      </c>
      <c r="C284">
        <v>80</v>
      </c>
      <c r="D284">
        <v>79.907722473000007</v>
      </c>
      <c r="E284">
        <v>50</v>
      </c>
      <c r="F284">
        <v>14.998310089</v>
      </c>
      <c r="G284">
        <v>1388.0006103999999</v>
      </c>
      <c r="H284">
        <v>1374.2882079999999</v>
      </c>
      <c r="I284">
        <v>1251.5782471</v>
      </c>
      <c r="J284">
        <v>1211.9208983999999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75.199849</v>
      </c>
      <c r="B285" s="1">
        <f>DATE(2010,7,15) + TIME(4,47,46)</f>
        <v>40374.199837962966</v>
      </c>
      <c r="C285">
        <v>80</v>
      </c>
      <c r="D285">
        <v>79.907844542999996</v>
      </c>
      <c r="E285">
        <v>50</v>
      </c>
      <c r="F285">
        <v>14.998325348</v>
      </c>
      <c r="G285">
        <v>1387.9235839999999</v>
      </c>
      <c r="H285">
        <v>1374.2130127</v>
      </c>
      <c r="I285">
        <v>1251.5939940999999</v>
      </c>
      <c r="J285">
        <v>1211.9360352000001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76.055767000000003</v>
      </c>
      <c r="B286" s="1">
        <f>DATE(2010,7,16) + TIME(1,20,18)</f>
        <v>40375.055763888886</v>
      </c>
      <c r="C286">
        <v>80</v>
      </c>
      <c r="D286">
        <v>79.907966614000003</v>
      </c>
      <c r="E286">
        <v>50</v>
      </c>
      <c r="F286">
        <v>14.998340606999999</v>
      </c>
      <c r="G286">
        <v>1387.8469238</v>
      </c>
      <c r="H286">
        <v>1374.1381836</v>
      </c>
      <c r="I286">
        <v>1251.6099853999999</v>
      </c>
      <c r="J286">
        <v>1211.9511719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76.912076999999996</v>
      </c>
      <c r="B287" s="1">
        <f>DATE(2010,7,16) + TIME(21,53,23)</f>
        <v>40375.91207175926</v>
      </c>
      <c r="C287">
        <v>80</v>
      </c>
      <c r="D287">
        <v>79.908088684000006</v>
      </c>
      <c r="E287">
        <v>50</v>
      </c>
      <c r="F287">
        <v>14.998355865000001</v>
      </c>
      <c r="G287">
        <v>1387.7706298999999</v>
      </c>
      <c r="H287">
        <v>1374.0635986</v>
      </c>
      <c r="I287">
        <v>1251.6262207</v>
      </c>
      <c r="J287">
        <v>1211.9666748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77.769835</v>
      </c>
      <c r="B288" s="1">
        <f>DATE(2010,7,17) + TIME(18,28,33)</f>
        <v>40376.769826388889</v>
      </c>
      <c r="C288">
        <v>80</v>
      </c>
      <c r="D288">
        <v>79.908210753999995</v>
      </c>
      <c r="E288">
        <v>50</v>
      </c>
      <c r="F288">
        <v>14.998371124</v>
      </c>
      <c r="G288">
        <v>1387.6950684000001</v>
      </c>
      <c r="H288">
        <v>1373.9897461</v>
      </c>
      <c r="I288">
        <v>1251.6425781</v>
      </c>
      <c r="J288">
        <v>1211.9821777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78.630466999999996</v>
      </c>
      <c r="B289" s="1">
        <f>DATE(2010,7,18) + TIME(15,7,52)</f>
        <v>40377.630462962959</v>
      </c>
      <c r="C289">
        <v>80</v>
      </c>
      <c r="D289">
        <v>79.908340453999998</v>
      </c>
      <c r="E289">
        <v>50</v>
      </c>
      <c r="F289">
        <v>14.998386383</v>
      </c>
      <c r="G289">
        <v>1387.6201172000001</v>
      </c>
      <c r="H289">
        <v>1373.9165039</v>
      </c>
      <c r="I289">
        <v>1251.6590576000001</v>
      </c>
      <c r="J289">
        <v>1211.9979248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79.495385999999996</v>
      </c>
      <c r="B290" s="1">
        <f>DATE(2010,7,19) + TIME(11,53,21)</f>
        <v>40378.495381944442</v>
      </c>
      <c r="C290">
        <v>80</v>
      </c>
      <c r="D290">
        <v>79.908462524000001</v>
      </c>
      <c r="E290">
        <v>50</v>
      </c>
      <c r="F290">
        <v>14.998401641999999</v>
      </c>
      <c r="G290">
        <v>1387.5456543</v>
      </c>
      <c r="H290">
        <v>1373.84375</v>
      </c>
      <c r="I290">
        <v>1251.6757812000001</v>
      </c>
      <c r="J290">
        <v>1212.0137939000001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80.366001999999995</v>
      </c>
      <c r="B291" s="1">
        <f>DATE(2010,7,20) + TIME(8,47,2)</f>
        <v>40379.365995370368</v>
      </c>
      <c r="C291">
        <v>80</v>
      </c>
      <c r="D291">
        <v>79.908584594999994</v>
      </c>
      <c r="E291">
        <v>50</v>
      </c>
      <c r="F291">
        <v>14.998416901000001</v>
      </c>
      <c r="G291">
        <v>1387.4716797000001</v>
      </c>
      <c r="H291">
        <v>1373.7713623</v>
      </c>
      <c r="I291">
        <v>1251.6926269999999</v>
      </c>
      <c r="J291">
        <v>1212.0299072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81.243385000000004</v>
      </c>
      <c r="B292" s="1">
        <f>DATE(2010,7,21) + TIME(5,50,28)</f>
        <v>40380.243379629632</v>
      </c>
      <c r="C292">
        <v>80</v>
      </c>
      <c r="D292">
        <v>79.908714294000006</v>
      </c>
      <c r="E292">
        <v>50</v>
      </c>
      <c r="F292">
        <v>14.998432159</v>
      </c>
      <c r="G292">
        <v>1387.3978271000001</v>
      </c>
      <c r="H292">
        <v>1373.6992187999999</v>
      </c>
      <c r="I292">
        <v>1251.7097168</v>
      </c>
      <c r="J292">
        <v>1212.0461425999999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82.128928999999999</v>
      </c>
      <c r="B293" s="1">
        <f>DATE(2010,7,22) + TIME(3,5,39)</f>
        <v>40381.128923611112</v>
      </c>
      <c r="C293">
        <v>80</v>
      </c>
      <c r="D293">
        <v>79.908843993999994</v>
      </c>
      <c r="E293">
        <v>50</v>
      </c>
      <c r="F293">
        <v>14.998446465000001</v>
      </c>
      <c r="G293">
        <v>1387.3242187999999</v>
      </c>
      <c r="H293">
        <v>1373.6273193</v>
      </c>
      <c r="I293">
        <v>1251.7271728999999</v>
      </c>
      <c r="J293">
        <v>1212.0627440999999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83.022987000000001</v>
      </c>
      <c r="B294" s="1">
        <f>DATE(2010,7,23) + TIME(0,33,6)</f>
        <v>40382.022986111115</v>
      </c>
      <c r="C294">
        <v>80</v>
      </c>
      <c r="D294">
        <v>79.908966063999998</v>
      </c>
      <c r="E294">
        <v>50</v>
      </c>
      <c r="F294">
        <v>14.998461723</v>
      </c>
      <c r="G294">
        <v>1387.2507324000001</v>
      </c>
      <c r="H294">
        <v>1373.5552978999999</v>
      </c>
      <c r="I294">
        <v>1251.744751</v>
      </c>
      <c r="J294">
        <v>1212.0795897999999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83.923651000000007</v>
      </c>
      <c r="B295" s="1">
        <f>DATE(2010,7,23) + TIME(22,10,3)</f>
        <v>40382.923645833333</v>
      </c>
      <c r="C295">
        <v>80</v>
      </c>
      <c r="D295">
        <v>79.909095764</v>
      </c>
      <c r="E295">
        <v>50</v>
      </c>
      <c r="F295">
        <v>14.998476982</v>
      </c>
      <c r="G295">
        <v>1387.177124</v>
      </c>
      <c r="H295">
        <v>1373.4833983999999</v>
      </c>
      <c r="I295">
        <v>1251.7628173999999</v>
      </c>
      <c r="J295">
        <v>1212.0966797000001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84.826347999999996</v>
      </c>
      <c r="B296" s="1">
        <f>DATE(2010,7,24) + TIME(19,49,56)</f>
        <v>40383.826342592591</v>
      </c>
      <c r="C296">
        <v>80</v>
      </c>
      <c r="D296">
        <v>79.909225464000002</v>
      </c>
      <c r="E296">
        <v>50</v>
      </c>
      <c r="F296">
        <v>14.998492240999999</v>
      </c>
      <c r="G296">
        <v>1387.1037598</v>
      </c>
      <c r="H296">
        <v>1373.4116211</v>
      </c>
      <c r="I296">
        <v>1251.7810059000001</v>
      </c>
      <c r="J296">
        <v>1212.1140137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85.732623000000004</v>
      </c>
      <c r="B297" s="1">
        <f>DATE(2010,7,25) + TIME(17,34,58)</f>
        <v>40384.732615740744</v>
      </c>
      <c r="C297">
        <v>80</v>
      </c>
      <c r="D297">
        <v>79.909355164000004</v>
      </c>
      <c r="E297">
        <v>50</v>
      </c>
      <c r="F297">
        <v>14.998507500000001</v>
      </c>
      <c r="G297">
        <v>1387.0310059000001</v>
      </c>
      <c r="H297">
        <v>1373.340332</v>
      </c>
      <c r="I297">
        <v>1251.7995605000001</v>
      </c>
      <c r="J297">
        <v>1212.1315918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86.643994000000006</v>
      </c>
      <c r="B298" s="1">
        <f>DATE(2010,7,26) + TIME(15,27,21)</f>
        <v>40385.643993055557</v>
      </c>
      <c r="C298">
        <v>80</v>
      </c>
      <c r="D298">
        <v>79.909484863000003</v>
      </c>
      <c r="E298">
        <v>50</v>
      </c>
      <c r="F298">
        <v>14.998522758</v>
      </c>
      <c r="G298">
        <v>1386.9586182</v>
      </c>
      <c r="H298">
        <v>1373.2695312000001</v>
      </c>
      <c r="I298">
        <v>1251.8182373</v>
      </c>
      <c r="J298">
        <v>1212.1494141000001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87.561967999999993</v>
      </c>
      <c r="B299" s="1">
        <f>DATE(2010,7,27) + TIME(13,29,14)</f>
        <v>40386.561967592592</v>
      </c>
      <c r="C299">
        <v>80</v>
      </c>
      <c r="D299">
        <v>79.909614563000005</v>
      </c>
      <c r="E299">
        <v>50</v>
      </c>
      <c r="F299">
        <v>14.998538017</v>
      </c>
      <c r="G299">
        <v>1386.8865966999999</v>
      </c>
      <c r="H299">
        <v>1373.1989745999999</v>
      </c>
      <c r="I299">
        <v>1251.8371582</v>
      </c>
      <c r="J299">
        <v>1212.1673584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88.488062999999997</v>
      </c>
      <c r="B300" s="1">
        <f>DATE(2010,7,28) + TIME(11,42,48)</f>
        <v>40387.488055555557</v>
      </c>
      <c r="C300">
        <v>80</v>
      </c>
      <c r="D300">
        <v>79.909744262999993</v>
      </c>
      <c r="E300">
        <v>50</v>
      </c>
      <c r="F300">
        <v>14.99855423</v>
      </c>
      <c r="G300">
        <v>1386.8146973</v>
      </c>
      <c r="H300">
        <v>1373.1285399999999</v>
      </c>
      <c r="I300">
        <v>1251.8564452999999</v>
      </c>
      <c r="J300">
        <v>1212.1856689000001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89.423885999999996</v>
      </c>
      <c r="B301" s="1">
        <f>DATE(2010,7,29) + TIME(10,10,23)</f>
        <v>40388.423877314817</v>
      </c>
      <c r="C301">
        <v>80</v>
      </c>
      <c r="D301">
        <v>79.909881592000005</v>
      </c>
      <c r="E301">
        <v>50</v>
      </c>
      <c r="F301">
        <v>14.998569488999999</v>
      </c>
      <c r="G301">
        <v>1386.7427978999999</v>
      </c>
      <c r="H301">
        <v>1373.0581055</v>
      </c>
      <c r="I301">
        <v>1251.8759766000001</v>
      </c>
      <c r="J301">
        <v>1212.2043457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90.365690999999998</v>
      </c>
      <c r="B302" s="1">
        <f>DATE(2010,7,30) + TIME(8,46,35)</f>
        <v>40389.365682870368</v>
      </c>
      <c r="C302">
        <v>80</v>
      </c>
      <c r="D302">
        <v>79.910011291999993</v>
      </c>
      <c r="E302">
        <v>50</v>
      </c>
      <c r="F302">
        <v>14.998585701</v>
      </c>
      <c r="G302">
        <v>1386.6708983999999</v>
      </c>
      <c r="H302">
        <v>1372.9876709</v>
      </c>
      <c r="I302">
        <v>1251.8959961</v>
      </c>
      <c r="J302">
        <v>1212.2232666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91.311475000000002</v>
      </c>
      <c r="B303" s="1">
        <f>DATE(2010,7,31) + TIME(7,28,31)</f>
        <v>40390.311469907407</v>
      </c>
      <c r="C303">
        <v>80</v>
      </c>
      <c r="D303">
        <v>79.910148621000005</v>
      </c>
      <c r="E303">
        <v>50</v>
      </c>
      <c r="F303">
        <v>14.998601913</v>
      </c>
      <c r="G303">
        <v>1386.5992432</v>
      </c>
      <c r="H303">
        <v>1372.9173584</v>
      </c>
      <c r="I303">
        <v>1251.9162598</v>
      </c>
      <c r="J303">
        <v>1212.2425536999999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92</v>
      </c>
      <c r="B304" s="1">
        <f>DATE(2010,8,1) + TIME(0,0,0)</f>
        <v>40391</v>
      </c>
      <c r="C304">
        <v>80</v>
      </c>
      <c r="D304">
        <v>79.910240173000005</v>
      </c>
      <c r="E304">
        <v>50</v>
      </c>
      <c r="F304">
        <v>14.998616219000001</v>
      </c>
      <c r="G304">
        <v>1386.5277100000001</v>
      </c>
      <c r="H304">
        <v>1372.8472899999999</v>
      </c>
      <c r="I304">
        <v>1251.9365233999999</v>
      </c>
      <c r="J304">
        <v>1212.2618408000001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92.951254000000006</v>
      </c>
      <c r="B305" s="1">
        <f>DATE(2010,8,1) + TIME(22,49,48)</f>
        <v>40391.951249999998</v>
      </c>
      <c r="C305">
        <v>80</v>
      </c>
      <c r="D305">
        <v>79.910377502000003</v>
      </c>
      <c r="E305">
        <v>50</v>
      </c>
      <c r="F305">
        <v>14.998631477</v>
      </c>
      <c r="G305">
        <v>1386.4763184000001</v>
      </c>
      <c r="H305">
        <v>1372.7967529</v>
      </c>
      <c r="I305">
        <v>1251.9519043</v>
      </c>
      <c r="J305">
        <v>1212.2764893000001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93.427178999999995</v>
      </c>
      <c r="B306" s="1">
        <f>DATE(2010,8,2) + TIME(10,15,8)</f>
        <v>40392.427175925928</v>
      </c>
      <c r="C306">
        <v>80</v>
      </c>
      <c r="D306">
        <v>79.910438537999994</v>
      </c>
      <c r="E306">
        <v>50</v>
      </c>
      <c r="F306">
        <v>14.998642921</v>
      </c>
      <c r="G306">
        <v>1386.4055175999999</v>
      </c>
      <c r="H306">
        <v>1372.7274170000001</v>
      </c>
      <c r="I306">
        <v>1251.9724120999999</v>
      </c>
      <c r="J306">
        <v>1212.2958983999999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93.903103000000002</v>
      </c>
      <c r="B307" s="1">
        <f>DATE(2010,8,2) + TIME(21,40,28)</f>
        <v>40392.903101851851</v>
      </c>
      <c r="C307">
        <v>80</v>
      </c>
      <c r="D307">
        <v>79.910507202000005</v>
      </c>
      <c r="E307">
        <v>50</v>
      </c>
      <c r="F307">
        <v>14.998653411999999</v>
      </c>
      <c r="G307">
        <v>1386.3698730000001</v>
      </c>
      <c r="H307">
        <v>1372.6923827999999</v>
      </c>
      <c r="I307">
        <v>1251.9831543</v>
      </c>
      <c r="J307">
        <v>1212.3061522999999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94.379028000000005</v>
      </c>
      <c r="B308" s="1">
        <f>DATE(2010,8,3) + TIME(9,5,48)</f>
        <v>40393.379027777781</v>
      </c>
      <c r="C308">
        <v>80</v>
      </c>
      <c r="D308">
        <v>79.910575867000006</v>
      </c>
      <c r="E308">
        <v>50</v>
      </c>
      <c r="F308">
        <v>14.998662949</v>
      </c>
      <c r="G308">
        <v>1386.3348389</v>
      </c>
      <c r="H308">
        <v>1372.6580810999999</v>
      </c>
      <c r="I308">
        <v>1251.9938964999999</v>
      </c>
      <c r="J308">
        <v>1212.3162841999999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94.854952999999995</v>
      </c>
      <c r="B309" s="1">
        <f>DATE(2010,8,3) + TIME(20,31,7)</f>
        <v>40393.854942129627</v>
      </c>
      <c r="C309">
        <v>80</v>
      </c>
      <c r="D309">
        <v>79.910644531000003</v>
      </c>
      <c r="E309">
        <v>50</v>
      </c>
      <c r="F309">
        <v>14.998673438999999</v>
      </c>
      <c r="G309">
        <v>1386.3000488</v>
      </c>
      <c r="H309">
        <v>1372.6239014</v>
      </c>
      <c r="I309">
        <v>1252.0046387</v>
      </c>
      <c r="J309">
        <v>1212.3264160000001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95.330877000000001</v>
      </c>
      <c r="B310" s="1">
        <f>DATE(2010,8,4) + TIME(7,56,27)</f>
        <v>40394.330868055556</v>
      </c>
      <c r="C310">
        <v>80</v>
      </c>
      <c r="D310">
        <v>79.910705566000004</v>
      </c>
      <c r="E310">
        <v>50</v>
      </c>
      <c r="F310">
        <v>14.998682976</v>
      </c>
      <c r="G310">
        <v>1386.2655029</v>
      </c>
      <c r="H310">
        <v>1372.5898437999999</v>
      </c>
      <c r="I310">
        <v>1252.0153809000001</v>
      </c>
      <c r="J310">
        <v>1212.3366699000001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95.806802000000005</v>
      </c>
      <c r="B311" s="1">
        <f>DATE(2010,8,4) + TIME(19,21,47)</f>
        <v>40394.806793981479</v>
      </c>
      <c r="C311">
        <v>80</v>
      </c>
      <c r="D311">
        <v>79.910774231000005</v>
      </c>
      <c r="E311">
        <v>50</v>
      </c>
      <c r="F311">
        <v>14.998692513</v>
      </c>
      <c r="G311">
        <v>1386.230957</v>
      </c>
      <c r="H311">
        <v>1372.5560303</v>
      </c>
      <c r="I311">
        <v>1252.0262451000001</v>
      </c>
      <c r="J311">
        <v>1212.3469238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96.758651</v>
      </c>
      <c r="B312" s="1">
        <f>DATE(2010,8,5) + TIME(18,12,27)</f>
        <v>40395.758645833332</v>
      </c>
      <c r="C312">
        <v>80</v>
      </c>
      <c r="D312">
        <v>79.910911560000002</v>
      </c>
      <c r="E312">
        <v>50</v>
      </c>
      <c r="F312">
        <v>14.998705864</v>
      </c>
      <c r="G312">
        <v>1386.1972656</v>
      </c>
      <c r="H312">
        <v>1372.5229492000001</v>
      </c>
      <c r="I312">
        <v>1252.0374756000001</v>
      </c>
      <c r="J312">
        <v>1212.3576660000001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97.710823000000005</v>
      </c>
      <c r="B313" s="1">
        <f>DATE(2010,8,6) + TIME(17,3,35)</f>
        <v>40396.710821759261</v>
      </c>
      <c r="C313">
        <v>80</v>
      </c>
      <c r="D313">
        <v>79.911048889</v>
      </c>
      <c r="E313">
        <v>50</v>
      </c>
      <c r="F313">
        <v>14.998722076</v>
      </c>
      <c r="G313">
        <v>1386.1293945</v>
      </c>
      <c r="H313">
        <v>1372.4564209</v>
      </c>
      <c r="I313">
        <v>1252.0592041</v>
      </c>
      <c r="J313">
        <v>1212.3782959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98.669954000000004</v>
      </c>
      <c r="B314" s="1">
        <f>DATE(2010,8,7) + TIME(16,4,44)</f>
        <v>40397.669953703706</v>
      </c>
      <c r="C314">
        <v>80</v>
      </c>
      <c r="D314">
        <v>79.911178589000002</v>
      </c>
      <c r="E314">
        <v>50</v>
      </c>
      <c r="F314">
        <v>14.998741150000001</v>
      </c>
      <c r="G314">
        <v>1386.0618896000001</v>
      </c>
      <c r="H314">
        <v>1372.3901367000001</v>
      </c>
      <c r="I314">
        <v>1252.0811768000001</v>
      </c>
      <c r="J314">
        <v>1212.3991699000001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99.637559999999993</v>
      </c>
      <c r="B315" s="1">
        <f>DATE(2010,8,8) + TIME(15,18,5)</f>
        <v>40398.637557870374</v>
      </c>
      <c r="C315">
        <v>80</v>
      </c>
      <c r="D315">
        <v>79.911315918</v>
      </c>
      <c r="E315">
        <v>50</v>
      </c>
      <c r="F315">
        <v>14.998762130999999</v>
      </c>
      <c r="G315">
        <v>1385.9945068</v>
      </c>
      <c r="H315">
        <v>1372.3238524999999</v>
      </c>
      <c r="I315">
        <v>1252.1036377</v>
      </c>
      <c r="J315">
        <v>1212.4204102000001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100.61530999999999</v>
      </c>
      <c r="B316" s="1">
        <f>DATE(2010,8,9) + TIME(14,46,2)</f>
        <v>40399.615300925929</v>
      </c>
      <c r="C316">
        <v>80</v>
      </c>
      <c r="D316">
        <v>79.911453246999997</v>
      </c>
      <c r="E316">
        <v>50</v>
      </c>
      <c r="F316">
        <v>14.998784065000001</v>
      </c>
      <c r="G316">
        <v>1385.9270019999999</v>
      </c>
      <c r="H316">
        <v>1372.2575684000001</v>
      </c>
      <c r="I316">
        <v>1252.1264647999999</v>
      </c>
      <c r="J316">
        <v>1212.4421387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101.604851</v>
      </c>
      <c r="B317" s="1">
        <f>DATE(2010,8,10) + TIME(14,30,59)</f>
        <v>40400.604849537034</v>
      </c>
      <c r="C317">
        <v>80</v>
      </c>
      <c r="D317">
        <v>79.911582946999999</v>
      </c>
      <c r="E317">
        <v>50</v>
      </c>
      <c r="F317">
        <v>14.998807907</v>
      </c>
      <c r="G317">
        <v>1385.8594971</v>
      </c>
      <c r="H317">
        <v>1372.1911620999999</v>
      </c>
      <c r="I317">
        <v>1252.1499022999999</v>
      </c>
      <c r="J317">
        <v>1212.4642334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102.607894</v>
      </c>
      <c r="B318" s="1">
        <f>DATE(2010,8,11) + TIME(14,35,22)</f>
        <v>40401.607893518521</v>
      </c>
      <c r="C318">
        <v>80</v>
      </c>
      <c r="D318">
        <v>79.911727905000006</v>
      </c>
      <c r="E318">
        <v>50</v>
      </c>
      <c r="F318">
        <v>14.998834609999999</v>
      </c>
      <c r="G318">
        <v>1385.791626</v>
      </c>
      <c r="H318">
        <v>1372.1246338000001</v>
      </c>
      <c r="I318">
        <v>1252.1737060999999</v>
      </c>
      <c r="J318">
        <v>1212.4868164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103.111062</v>
      </c>
      <c r="B319" s="1">
        <f>DATE(2010,8,12) + TIME(2,39,55)</f>
        <v>40402.11105324074</v>
      </c>
      <c r="C319">
        <v>80</v>
      </c>
      <c r="D319">
        <v>79.911788939999994</v>
      </c>
      <c r="E319">
        <v>50</v>
      </c>
      <c r="F319">
        <v>14.998854637000001</v>
      </c>
      <c r="G319">
        <v>1385.7232666</v>
      </c>
      <c r="H319">
        <v>1372.0573730000001</v>
      </c>
      <c r="I319">
        <v>1252.1977539</v>
      </c>
      <c r="J319">
        <v>1212.5095214999999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103.61423000000001</v>
      </c>
      <c r="B320" s="1">
        <f>DATE(2010,8,12) + TIME(14,44,29)</f>
        <v>40402.614224537036</v>
      </c>
      <c r="C320">
        <v>80</v>
      </c>
      <c r="D320">
        <v>79.911857604999994</v>
      </c>
      <c r="E320">
        <v>50</v>
      </c>
      <c r="F320">
        <v>14.998873711</v>
      </c>
      <c r="G320">
        <v>1385.6887207</v>
      </c>
      <c r="H320">
        <v>1372.0233154</v>
      </c>
      <c r="I320">
        <v>1252.2103271000001</v>
      </c>
      <c r="J320">
        <v>1212.5213623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104.11739799999999</v>
      </c>
      <c r="B321" s="1">
        <f>DATE(2010,8,13) + TIME(2,49,3)</f>
        <v>40403.117395833331</v>
      </c>
      <c r="C321">
        <v>80</v>
      </c>
      <c r="D321">
        <v>79.911926269999995</v>
      </c>
      <c r="E321">
        <v>50</v>
      </c>
      <c r="F321">
        <v>14.998892784000001</v>
      </c>
      <c r="G321">
        <v>1385.6547852000001</v>
      </c>
      <c r="H321">
        <v>1371.9899902</v>
      </c>
      <c r="I321">
        <v>1252.2227783000001</v>
      </c>
      <c r="J321">
        <v>1212.5332031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104.620566</v>
      </c>
      <c r="B322" s="1">
        <f>DATE(2010,8,13) + TIME(14,53,36)</f>
        <v>40403.620555555557</v>
      </c>
      <c r="C322">
        <v>80</v>
      </c>
      <c r="D322">
        <v>79.911994934000006</v>
      </c>
      <c r="E322">
        <v>50</v>
      </c>
      <c r="F322">
        <v>14.998910904000001</v>
      </c>
      <c r="G322">
        <v>1385.6210937999999</v>
      </c>
      <c r="H322">
        <v>1371.9567870999999</v>
      </c>
      <c r="I322">
        <v>1252.2353516000001</v>
      </c>
      <c r="J322">
        <v>1212.5451660000001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105.123735</v>
      </c>
      <c r="B323" s="1">
        <f>DATE(2010,8,14) + TIME(2,58,10)</f>
        <v>40404.123726851853</v>
      </c>
      <c r="C323">
        <v>80</v>
      </c>
      <c r="D323">
        <v>79.912071228000002</v>
      </c>
      <c r="E323">
        <v>50</v>
      </c>
      <c r="F323">
        <v>14.998929977</v>
      </c>
      <c r="G323">
        <v>1385.5875243999999</v>
      </c>
      <c r="H323">
        <v>1371.9237060999999</v>
      </c>
      <c r="I323">
        <v>1252.2480469</v>
      </c>
      <c r="J323">
        <v>1212.5570068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105.626903</v>
      </c>
      <c r="B324" s="1">
        <f>DATE(2010,8,14) + TIME(15,2,44)</f>
        <v>40404.626898148148</v>
      </c>
      <c r="C324">
        <v>80</v>
      </c>
      <c r="D324">
        <v>79.912139893000003</v>
      </c>
      <c r="E324">
        <v>50</v>
      </c>
      <c r="F324">
        <v>14.998950004999999</v>
      </c>
      <c r="G324">
        <v>1385.5540771000001</v>
      </c>
      <c r="H324">
        <v>1371.8908690999999</v>
      </c>
      <c r="I324">
        <v>1252.2607422000001</v>
      </c>
      <c r="J324">
        <v>1212.5690918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106.130071</v>
      </c>
      <c r="B325" s="1">
        <f>DATE(2010,8,15) + TIME(3,7,18)</f>
        <v>40405.130069444444</v>
      </c>
      <c r="C325">
        <v>80</v>
      </c>
      <c r="D325">
        <v>79.912208557</v>
      </c>
      <c r="E325">
        <v>50</v>
      </c>
      <c r="F325">
        <v>14.998970032000001</v>
      </c>
      <c r="G325">
        <v>1385.5207519999999</v>
      </c>
      <c r="H325">
        <v>1371.8580322</v>
      </c>
      <c r="I325">
        <v>1252.2735596</v>
      </c>
      <c r="J325">
        <v>1212.5811768000001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106.633239</v>
      </c>
      <c r="B326" s="1">
        <f>DATE(2010,8,15) + TIME(15,11,51)</f>
        <v>40405.633229166669</v>
      </c>
      <c r="C326">
        <v>80</v>
      </c>
      <c r="D326">
        <v>79.912277222</v>
      </c>
      <c r="E326">
        <v>50</v>
      </c>
      <c r="F326">
        <v>14.998991966</v>
      </c>
      <c r="G326">
        <v>1385.4876709</v>
      </c>
      <c r="H326">
        <v>1371.8254394999999</v>
      </c>
      <c r="I326">
        <v>1252.2863769999999</v>
      </c>
      <c r="J326">
        <v>1212.5932617000001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107.13640700000001</v>
      </c>
      <c r="B327" s="1">
        <f>DATE(2010,8,16) + TIME(3,16,25)</f>
        <v>40406.136400462965</v>
      </c>
      <c r="C327">
        <v>80</v>
      </c>
      <c r="D327">
        <v>79.912345885999997</v>
      </c>
      <c r="E327">
        <v>50</v>
      </c>
      <c r="F327">
        <v>14.999014854</v>
      </c>
      <c r="G327">
        <v>1385.4545897999999</v>
      </c>
      <c r="H327">
        <v>1371.7929687999999</v>
      </c>
      <c r="I327">
        <v>1252.2993164</v>
      </c>
      <c r="J327">
        <v>1212.6054687999999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107.63957499999999</v>
      </c>
      <c r="B328" s="1">
        <f>DATE(2010,8,16) + TIME(15,20,59)</f>
        <v>40406.63957175926</v>
      </c>
      <c r="C328">
        <v>80</v>
      </c>
      <c r="D328">
        <v>79.912414550999998</v>
      </c>
      <c r="E328">
        <v>50</v>
      </c>
      <c r="F328">
        <v>14.999038696</v>
      </c>
      <c r="G328">
        <v>1385.4217529</v>
      </c>
      <c r="H328">
        <v>1371.7606201000001</v>
      </c>
      <c r="I328">
        <v>1252.3123779</v>
      </c>
      <c r="J328">
        <v>1212.6177978999999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108.142743</v>
      </c>
      <c r="B329" s="1">
        <f>DATE(2010,8,17) + TIME(3,25,33)</f>
        <v>40407.142743055556</v>
      </c>
      <c r="C329">
        <v>80</v>
      </c>
      <c r="D329">
        <v>79.912483214999995</v>
      </c>
      <c r="E329">
        <v>50</v>
      </c>
      <c r="F329">
        <v>14.999064445</v>
      </c>
      <c r="G329">
        <v>1385.3889160000001</v>
      </c>
      <c r="H329">
        <v>1371.7282714999999</v>
      </c>
      <c r="I329">
        <v>1252.3254394999999</v>
      </c>
      <c r="J329">
        <v>1212.6301269999999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108.645912</v>
      </c>
      <c r="B330" s="1">
        <f>DATE(2010,8,17) + TIME(15,30,6)</f>
        <v>40407.645902777775</v>
      </c>
      <c r="C330">
        <v>80</v>
      </c>
      <c r="D330">
        <v>79.912551879999995</v>
      </c>
      <c r="E330">
        <v>50</v>
      </c>
      <c r="F330">
        <v>14.999092102000001</v>
      </c>
      <c r="G330">
        <v>1385.3563231999999</v>
      </c>
      <c r="H330">
        <v>1371.6961670000001</v>
      </c>
      <c r="I330">
        <v>1252.3386230000001</v>
      </c>
      <c r="J330">
        <v>1212.6425781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109.14908</v>
      </c>
      <c r="B331" s="1">
        <f>DATE(2010,8,18) + TIME(3,34,40)</f>
        <v>40408.149074074077</v>
      </c>
      <c r="C331">
        <v>80</v>
      </c>
      <c r="D331">
        <v>79.912620544000006</v>
      </c>
      <c r="E331">
        <v>50</v>
      </c>
      <c r="F331">
        <v>14.999120712</v>
      </c>
      <c r="G331">
        <v>1385.3238524999999</v>
      </c>
      <c r="H331">
        <v>1371.6641846</v>
      </c>
      <c r="I331">
        <v>1252.3518065999999</v>
      </c>
      <c r="J331">
        <v>1212.6550293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109.652248</v>
      </c>
      <c r="B332" s="1">
        <f>DATE(2010,8,18) + TIME(15,39,14)</f>
        <v>40408.652245370373</v>
      </c>
      <c r="C332">
        <v>80</v>
      </c>
      <c r="D332">
        <v>79.912689209000007</v>
      </c>
      <c r="E332">
        <v>50</v>
      </c>
      <c r="F332">
        <v>14.999151230000001</v>
      </c>
      <c r="G332">
        <v>1385.2915039</v>
      </c>
      <c r="H332">
        <v>1371.6323242000001</v>
      </c>
      <c r="I332">
        <v>1252.3651123</v>
      </c>
      <c r="J332">
        <v>1212.6676024999999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110.155416</v>
      </c>
      <c r="B333" s="1">
        <f>DATE(2010,8,19) + TIME(3,43,47)</f>
        <v>40409.155405092592</v>
      </c>
      <c r="C333">
        <v>80</v>
      </c>
      <c r="D333">
        <v>79.912757873999993</v>
      </c>
      <c r="E333">
        <v>50</v>
      </c>
      <c r="F333">
        <v>14.999183655</v>
      </c>
      <c r="G333">
        <v>1385.2592772999999</v>
      </c>
      <c r="H333">
        <v>1371.6005858999999</v>
      </c>
      <c r="I333">
        <v>1252.3785399999999</v>
      </c>
      <c r="J333">
        <v>1212.6802978999999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111.16175200000001</v>
      </c>
      <c r="B334" s="1">
        <f>DATE(2010,8,20) + TIME(3,52,55)</f>
        <v>40410.161747685182</v>
      </c>
      <c r="C334">
        <v>80</v>
      </c>
      <c r="D334">
        <v>79.912895203000005</v>
      </c>
      <c r="E334">
        <v>50</v>
      </c>
      <c r="F334">
        <v>14.9992342</v>
      </c>
      <c r="G334">
        <v>1385.2276611</v>
      </c>
      <c r="H334">
        <v>1371.5694579999999</v>
      </c>
      <c r="I334">
        <v>1252.3923339999999</v>
      </c>
      <c r="J334">
        <v>1212.6933594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112.169887</v>
      </c>
      <c r="B335" s="1">
        <f>DATE(2010,8,21) + TIME(4,4,38)</f>
        <v>40411.16988425926</v>
      </c>
      <c r="C335">
        <v>80</v>
      </c>
      <c r="D335">
        <v>79.913032532000003</v>
      </c>
      <c r="E335">
        <v>50</v>
      </c>
      <c r="F335">
        <v>14.99930191</v>
      </c>
      <c r="G335">
        <v>1385.1641846</v>
      </c>
      <c r="H335">
        <v>1371.5069579999999</v>
      </c>
      <c r="I335">
        <v>1252.4193115</v>
      </c>
      <c r="J335">
        <v>1212.7188721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113.191365</v>
      </c>
      <c r="B336" s="1">
        <f>DATE(2010,8,22) + TIME(4,35,33)</f>
        <v>40412.191354166665</v>
      </c>
      <c r="C336">
        <v>80</v>
      </c>
      <c r="D336">
        <v>79.913169861</v>
      </c>
      <c r="E336">
        <v>50</v>
      </c>
      <c r="F336">
        <v>14.999383926</v>
      </c>
      <c r="G336">
        <v>1385.1007079999999</v>
      </c>
      <c r="H336">
        <v>1371.4444579999999</v>
      </c>
      <c r="I336">
        <v>1252.4468993999999</v>
      </c>
      <c r="J336">
        <v>1212.744751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114.22781500000001</v>
      </c>
      <c r="B337" s="1">
        <f>DATE(2010,8,23) + TIME(5,28,3)</f>
        <v>40413.227812500001</v>
      </c>
      <c r="C337">
        <v>80</v>
      </c>
      <c r="D337">
        <v>79.913307189999998</v>
      </c>
      <c r="E337">
        <v>50</v>
      </c>
      <c r="F337">
        <v>14.999481201</v>
      </c>
      <c r="G337">
        <v>1385.0369873</v>
      </c>
      <c r="H337">
        <v>1371.3815918</v>
      </c>
      <c r="I337">
        <v>1252.4750977000001</v>
      </c>
      <c r="J337">
        <v>1212.7712402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114.75457400000001</v>
      </c>
      <c r="B338" s="1">
        <f>DATE(2010,8,23) + TIME(18,6,35)</f>
        <v>40413.754571759258</v>
      </c>
      <c r="C338">
        <v>80</v>
      </c>
      <c r="D338">
        <v>79.913375853999995</v>
      </c>
      <c r="E338">
        <v>50</v>
      </c>
      <c r="F338">
        <v>14.999560356</v>
      </c>
      <c r="G338">
        <v>1384.9726562000001</v>
      </c>
      <c r="H338">
        <v>1371.3181152</v>
      </c>
      <c r="I338">
        <v>1252.5036620999999</v>
      </c>
      <c r="J338">
        <v>1212.7980957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115.28133200000001</v>
      </c>
      <c r="B339" s="1">
        <f>DATE(2010,8,24) + TIME(6,45,7)</f>
        <v>40414.281331018516</v>
      </c>
      <c r="C339">
        <v>80</v>
      </c>
      <c r="D339">
        <v>79.913444518999995</v>
      </c>
      <c r="E339">
        <v>50</v>
      </c>
      <c r="F339">
        <v>14.999636649999999</v>
      </c>
      <c r="G339">
        <v>1384.9395752</v>
      </c>
      <c r="H339">
        <v>1371.2855225000001</v>
      </c>
      <c r="I339">
        <v>1252.5187988</v>
      </c>
      <c r="J339">
        <v>1212.8123779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115.80809000000001</v>
      </c>
      <c r="B340" s="1">
        <f>DATE(2010,8,24) + TIME(19,23,39)</f>
        <v>40414.80809027778</v>
      </c>
      <c r="C340">
        <v>80</v>
      </c>
      <c r="D340">
        <v>79.913520813000005</v>
      </c>
      <c r="E340">
        <v>50</v>
      </c>
      <c r="F340">
        <v>14.999713898</v>
      </c>
      <c r="G340">
        <v>1384.9072266000001</v>
      </c>
      <c r="H340">
        <v>1371.2535399999999</v>
      </c>
      <c r="I340">
        <v>1252.5338135</v>
      </c>
      <c r="J340">
        <v>1212.8265381000001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116.33484900000001</v>
      </c>
      <c r="B341" s="1">
        <f>DATE(2010,8,25) + TIME(8,2,10)</f>
        <v>40415.334837962961</v>
      </c>
      <c r="C341">
        <v>80</v>
      </c>
      <c r="D341">
        <v>79.913589478000006</v>
      </c>
      <c r="E341">
        <v>50</v>
      </c>
      <c r="F341">
        <v>14.999794006</v>
      </c>
      <c r="G341">
        <v>1384.875</v>
      </c>
      <c r="H341">
        <v>1371.2218018000001</v>
      </c>
      <c r="I341">
        <v>1252.5489502</v>
      </c>
      <c r="J341">
        <v>1212.8408202999999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116.86160700000001</v>
      </c>
      <c r="B342" s="1">
        <f>DATE(2010,8,25) + TIME(20,40,42)</f>
        <v>40415.861597222225</v>
      </c>
      <c r="C342">
        <v>80</v>
      </c>
      <c r="D342">
        <v>79.913658142000003</v>
      </c>
      <c r="E342">
        <v>50</v>
      </c>
      <c r="F342">
        <v>14.999878882999999</v>
      </c>
      <c r="G342">
        <v>1384.8428954999999</v>
      </c>
      <c r="H342">
        <v>1371.1900635</v>
      </c>
      <c r="I342">
        <v>1252.5643310999999</v>
      </c>
      <c r="J342">
        <v>1212.8551024999999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117.38836499999999</v>
      </c>
      <c r="B343" s="1">
        <f>DATE(2010,8,26) + TIME(9,19,14)</f>
        <v>40416.388356481482</v>
      </c>
      <c r="C343">
        <v>80</v>
      </c>
      <c r="D343">
        <v>79.913726807000003</v>
      </c>
      <c r="E343">
        <v>50</v>
      </c>
      <c r="F343">
        <v>14.999967574999999</v>
      </c>
      <c r="G343">
        <v>1384.8109131000001</v>
      </c>
      <c r="H343">
        <v>1371.1584473</v>
      </c>
      <c r="I343">
        <v>1252.5797118999999</v>
      </c>
      <c r="J343">
        <v>1212.8696289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117.91512299999999</v>
      </c>
      <c r="B344" s="1">
        <f>DATE(2010,8,26) + TIME(21,57,46)</f>
        <v>40416.91511574074</v>
      </c>
      <c r="C344">
        <v>80</v>
      </c>
      <c r="D344">
        <v>79.913803100999999</v>
      </c>
      <c r="E344">
        <v>50</v>
      </c>
      <c r="F344">
        <v>15.000062943</v>
      </c>
      <c r="G344">
        <v>1384.7790527</v>
      </c>
      <c r="H344">
        <v>1371.1270752</v>
      </c>
      <c r="I344">
        <v>1252.5952147999999</v>
      </c>
      <c r="J344">
        <v>1212.8841553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118.44188200000001</v>
      </c>
      <c r="B345" s="1">
        <f>DATE(2010,8,27) + TIME(10,36,18)</f>
        <v>40417.441874999997</v>
      </c>
      <c r="C345">
        <v>80</v>
      </c>
      <c r="D345">
        <v>79.913871764999996</v>
      </c>
      <c r="E345">
        <v>50</v>
      </c>
      <c r="F345">
        <v>15.000164986</v>
      </c>
      <c r="G345">
        <v>1384.7473144999999</v>
      </c>
      <c r="H345">
        <v>1371.0957031</v>
      </c>
      <c r="I345">
        <v>1252.6107178</v>
      </c>
      <c r="J345">
        <v>1212.8988036999999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118.96863999999999</v>
      </c>
      <c r="B346" s="1">
        <f>DATE(2010,8,27) + TIME(23,14,50)</f>
        <v>40417.968634259261</v>
      </c>
      <c r="C346">
        <v>80</v>
      </c>
      <c r="D346">
        <v>79.913940429999997</v>
      </c>
      <c r="E346">
        <v>50</v>
      </c>
      <c r="F346">
        <v>15.000273705</v>
      </c>
      <c r="G346">
        <v>1384.7155762</v>
      </c>
      <c r="H346">
        <v>1371.0644531</v>
      </c>
      <c r="I346">
        <v>1252.6264647999999</v>
      </c>
      <c r="J346">
        <v>1212.9135742000001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119.49539799999999</v>
      </c>
      <c r="B347" s="1">
        <f>DATE(2010,8,28) + TIME(11,53,22)</f>
        <v>40418.495393518519</v>
      </c>
      <c r="C347">
        <v>80</v>
      </c>
      <c r="D347">
        <v>79.914009093999994</v>
      </c>
      <c r="E347">
        <v>50</v>
      </c>
      <c r="F347">
        <v>15.000391005999999</v>
      </c>
      <c r="G347">
        <v>1384.684082</v>
      </c>
      <c r="H347">
        <v>1371.0333252</v>
      </c>
      <c r="I347">
        <v>1252.6423339999999</v>
      </c>
      <c r="J347">
        <v>1212.9284668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120.022156</v>
      </c>
      <c r="B348" s="1">
        <f>DATE(2010,8,29) + TIME(0,31,54)</f>
        <v>40419.022152777776</v>
      </c>
      <c r="C348">
        <v>80</v>
      </c>
      <c r="D348">
        <v>79.914077758999994</v>
      </c>
      <c r="E348">
        <v>50</v>
      </c>
      <c r="F348">
        <v>15.000516891</v>
      </c>
      <c r="G348">
        <v>1384.6527100000001</v>
      </c>
      <c r="H348">
        <v>1371.0023193</v>
      </c>
      <c r="I348">
        <v>1252.6583252</v>
      </c>
      <c r="J348">
        <v>1212.9434814000001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120.54891499999999</v>
      </c>
      <c r="B349" s="1">
        <f>DATE(2010,8,29) + TIME(13,10,26)</f>
        <v>40419.54891203704</v>
      </c>
      <c r="C349">
        <v>80</v>
      </c>
      <c r="D349">
        <v>79.914146423000005</v>
      </c>
      <c r="E349">
        <v>50</v>
      </c>
      <c r="F349">
        <v>15.000651360000001</v>
      </c>
      <c r="G349">
        <v>1384.6213379000001</v>
      </c>
      <c r="H349">
        <v>1370.9714355000001</v>
      </c>
      <c r="I349">
        <v>1252.6743164</v>
      </c>
      <c r="J349">
        <v>1212.9586182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121.07567299999999</v>
      </c>
      <c r="B350" s="1">
        <f>DATE(2010,8,30) + TIME(1,48,58)</f>
        <v>40420.075671296298</v>
      </c>
      <c r="C350">
        <v>80</v>
      </c>
      <c r="D350">
        <v>79.914222717000001</v>
      </c>
      <c r="E350">
        <v>50</v>
      </c>
      <c r="F350">
        <v>15.000796318000001</v>
      </c>
      <c r="G350">
        <v>1384.5902100000001</v>
      </c>
      <c r="H350">
        <v>1370.9405518000001</v>
      </c>
      <c r="I350">
        <v>1252.6905518000001</v>
      </c>
      <c r="J350">
        <v>1212.9737548999999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121.602431</v>
      </c>
      <c r="B351" s="1">
        <f>DATE(2010,8,30) + TIME(14,27,30)</f>
        <v>40420.602430555555</v>
      </c>
      <c r="C351">
        <v>80</v>
      </c>
      <c r="D351">
        <v>79.914291382000002</v>
      </c>
      <c r="E351">
        <v>50</v>
      </c>
      <c r="F351">
        <v>15.000951767</v>
      </c>
      <c r="G351">
        <v>1384.559082</v>
      </c>
      <c r="H351">
        <v>1370.9099120999999</v>
      </c>
      <c r="I351">
        <v>1252.7069091999999</v>
      </c>
      <c r="J351">
        <v>1212.9891356999999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122.12918999999999</v>
      </c>
      <c r="B352" s="1">
        <f>DATE(2010,8,31) + TIME(3,6,1)</f>
        <v>40421.129178240742</v>
      </c>
      <c r="C352">
        <v>80</v>
      </c>
      <c r="D352">
        <v>79.914360045999999</v>
      </c>
      <c r="E352">
        <v>50</v>
      </c>
      <c r="F352">
        <v>15.001118659999999</v>
      </c>
      <c r="G352">
        <v>1384.5281981999999</v>
      </c>
      <c r="H352">
        <v>1370.8792725000001</v>
      </c>
      <c r="I352">
        <v>1252.7233887</v>
      </c>
      <c r="J352">
        <v>1213.0045166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123</v>
      </c>
      <c r="B353" s="1">
        <f>DATE(2010,9,1) + TIME(0,0,0)</f>
        <v>40422</v>
      </c>
      <c r="C353">
        <v>80</v>
      </c>
      <c r="D353">
        <v>79.914474487000007</v>
      </c>
      <c r="E353">
        <v>50</v>
      </c>
      <c r="F353">
        <v>15.001355171</v>
      </c>
      <c r="G353">
        <v>1384.4975586</v>
      </c>
      <c r="H353">
        <v>1370.8491211</v>
      </c>
      <c r="I353">
        <v>1252.7401123</v>
      </c>
      <c r="J353">
        <v>1213.0202637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124.053517</v>
      </c>
      <c r="B354" s="1">
        <f>DATE(2010,9,2) + TIME(1,17,3)</f>
        <v>40423.053506944445</v>
      </c>
      <c r="C354">
        <v>80</v>
      </c>
      <c r="D354">
        <v>79.914611816000004</v>
      </c>
      <c r="E354">
        <v>50</v>
      </c>
      <c r="F354">
        <v>15.001678467</v>
      </c>
      <c r="G354">
        <v>1384.4471435999999</v>
      </c>
      <c r="H354">
        <v>1370.7993164</v>
      </c>
      <c r="I354">
        <v>1252.7678223</v>
      </c>
      <c r="J354">
        <v>1213.0462646000001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125.116782</v>
      </c>
      <c r="B355" s="1">
        <f>DATE(2010,9,3) + TIME(2,48,9)</f>
        <v>40424.116770833331</v>
      </c>
      <c r="C355">
        <v>80</v>
      </c>
      <c r="D355">
        <v>79.914756775000001</v>
      </c>
      <c r="E355">
        <v>50</v>
      </c>
      <c r="F355">
        <v>15.002087593000001</v>
      </c>
      <c r="G355">
        <v>1384.3863524999999</v>
      </c>
      <c r="H355">
        <v>1370.7391356999999</v>
      </c>
      <c r="I355">
        <v>1252.8015137</v>
      </c>
      <c r="J355">
        <v>1213.0778809000001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126.196703</v>
      </c>
      <c r="B356" s="1">
        <f>DATE(2010,9,4) + TIME(4,43,15)</f>
        <v>40425.196701388886</v>
      </c>
      <c r="C356">
        <v>80</v>
      </c>
      <c r="D356">
        <v>79.914894103999998</v>
      </c>
      <c r="E356">
        <v>50</v>
      </c>
      <c r="F356">
        <v>15.002577781999999</v>
      </c>
      <c r="G356">
        <v>1384.3251952999999</v>
      </c>
      <c r="H356">
        <v>1370.6787108999999</v>
      </c>
      <c r="I356">
        <v>1252.8361815999999</v>
      </c>
      <c r="J356">
        <v>1213.1104736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126.740185</v>
      </c>
      <c r="B357" s="1">
        <f>DATE(2010,9,4) + TIME(17,45,52)</f>
        <v>40425.740185185183</v>
      </c>
      <c r="C357">
        <v>80</v>
      </c>
      <c r="D357">
        <v>79.914962768999999</v>
      </c>
      <c r="E357">
        <v>50</v>
      </c>
      <c r="F357">
        <v>15.002975464</v>
      </c>
      <c r="G357">
        <v>1384.2633057</v>
      </c>
      <c r="H357">
        <v>1370.6175536999999</v>
      </c>
      <c r="I357">
        <v>1252.8717041</v>
      </c>
      <c r="J357">
        <v>1213.1434326000001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127.28366800000001</v>
      </c>
      <c r="B358" s="1">
        <f>DATE(2010,9,5) + TIME(6,48,28)</f>
        <v>40426.28365740741</v>
      </c>
      <c r="C358">
        <v>80</v>
      </c>
      <c r="D358">
        <v>79.915031432999996</v>
      </c>
      <c r="E358">
        <v>50</v>
      </c>
      <c r="F358">
        <v>15.003362656</v>
      </c>
      <c r="G358">
        <v>1384.2318115</v>
      </c>
      <c r="H358">
        <v>1370.5863036999999</v>
      </c>
      <c r="I358">
        <v>1252.8902588000001</v>
      </c>
      <c r="J358">
        <v>1213.1608887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127.82715</v>
      </c>
      <c r="B359" s="1">
        <f>DATE(2010,9,5) + TIME(19,51,5)</f>
        <v>40426.827141203707</v>
      </c>
      <c r="C359">
        <v>80</v>
      </c>
      <c r="D359">
        <v>79.915107727000006</v>
      </c>
      <c r="E359">
        <v>50</v>
      </c>
      <c r="F359">
        <v>15.003752708</v>
      </c>
      <c r="G359">
        <v>1384.2009277</v>
      </c>
      <c r="H359">
        <v>1370.5557861</v>
      </c>
      <c r="I359">
        <v>1252.9088135</v>
      </c>
      <c r="J359">
        <v>1213.1783447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128.370633</v>
      </c>
      <c r="B360" s="1">
        <f>DATE(2010,9,6) + TIME(8,53,42)</f>
        <v>40427.370625000003</v>
      </c>
      <c r="C360">
        <v>80</v>
      </c>
      <c r="D360">
        <v>79.915176392000006</v>
      </c>
      <c r="E360">
        <v>50</v>
      </c>
      <c r="F360">
        <v>15.004155159</v>
      </c>
      <c r="G360">
        <v>1384.1702881000001</v>
      </c>
      <c r="H360">
        <v>1370.5253906</v>
      </c>
      <c r="I360">
        <v>1252.9274902</v>
      </c>
      <c r="J360">
        <v>1213.1958007999999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128.91411500000001</v>
      </c>
      <c r="B361" s="1">
        <f>DATE(2010,9,6) + TIME(21,56,19)</f>
        <v>40427.9141087963</v>
      </c>
      <c r="C361">
        <v>80</v>
      </c>
      <c r="D361">
        <v>79.915245056000003</v>
      </c>
      <c r="E361">
        <v>50</v>
      </c>
      <c r="F361">
        <v>15.004577637000001</v>
      </c>
      <c r="G361">
        <v>1384.1396483999999</v>
      </c>
      <c r="H361">
        <v>1370.4949951000001</v>
      </c>
      <c r="I361">
        <v>1252.9462891000001</v>
      </c>
      <c r="J361">
        <v>1213.213501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129.45759799999999</v>
      </c>
      <c r="B362" s="1">
        <f>DATE(2010,9,7) + TIME(10,58,56)</f>
        <v>40428.457592592589</v>
      </c>
      <c r="C362">
        <v>80</v>
      </c>
      <c r="D362">
        <v>79.915321349999999</v>
      </c>
      <c r="E362">
        <v>50</v>
      </c>
      <c r="F362">
        <v>15.005024909999999</v>
      </c>
      <c r="G362">
        <v>1384.1091309000001</v>
      </c>
      <c r="H362">
        <v>1370.4648437999999</v>
      </c>
      <c r="I362">
        <v>1252.965332</v>
      </c>
      <c r="J362">
        <v>1213.2314452999999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130.00108</v>
      </c>
      <c r="B363" s="1">
        <f>DATE(2010,9,8) + TIME(0,1,33)</f>
        <v>40429.001076388886</v>
      </c>
      <c r="C363">
        <v>80</v>
      </c>
      <c r="D363">
        <v>79.915390015</v>
      </c>
      <c r="E363">
        <v>50</v>
      </c>
      <c r="F363">
        <v>15.005499840000001</v>
      </c>
      <c r="G363">
        <v>1384.0787353999999</v>
      </c>
      <c r="H363">
        <v>1370.4346923999999</v>
      </c>
      <c r="I363">
        <v>1252.9846190999999</v>
      </c>
      <c r="J363">
        <v>1213.2493896000001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130.54456300000001</v>
      </c>
      <c r="B364" s="1">
        <f>DATE(2010,9,8) + TIME(13,4,10)</f>
        <v>40429.544560185182</v>
      </c>
      <c r="C364">
        <v>80</v>
      </c>
      <c r="D364">
        <v>79.915458678999997</v>
      </c>
      <c r="E364">
        <v>50</v>
      </c>
      <c r="F364">
        <v>15.006006241</v>
      </c>
      <c r="G364">
        <v>1384.0483397999999</v>
      </c>
      <c r="H364">
        <v>1370.4046631000001</v>
      </c>
      <c r="I364">
        <v>1253.0040283000001</v>
      </c>
      <c r="J364">
        <v>1213.2675781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131.08763300000001</v>
      </c>
      <c r="B365" s="1">
        <f>DATE(2010,9,9) + TIME(2,6,11)</f>
        <v>40430.087627314817</v>
      </c>
      <c r="C365">
        <v>80</v>
      </c>
      <c r="D365">
        <v>79.915527343999997</v>
      </c>
      <c r="E365">
        <v>50</v>
      </c>
      <c r="F365">
        <v>15.006546974000001</v>
      </c>
      <c r="G365">
        <v>1384.0180664</v>
      </c>
      <c r="H365">
        <v>1370.3746338000001</v>
      </c>
      <c r="I365">
        <v>1253.0235596</v>
      </c>
      <c r="J365">
        <v>1213.2860106999999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131.62948700000001</v>
      </c>
      <c r="B366" s="1">
        <f>DATE(2010,9,9) + TIME(15,6,27)</f>
        <v>40430.629479166666</v>
      </c>
      <c r="C366">
        <v>80</v>
      </c>
      <c r="D366">
        <v>79.915596007999994</v>
      </c>
      <c r="E366">
        <v>50</v>
      </c>
      <c r="F366">
        <v>15.007122992999999</v>
      </c>
      <c r="G366">
        <v>1383.9880370999999</v>
      </c>
      <c r="H366">
        <v>1370.3448486</v>
      </c>
      <c r="I366">
        <v>1253.0433350000001</v>
      </c>
      <c r="J366">
        <v>1213.3045654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132.17030299999999</v>
      </c>
      <c r="B367" s="1">
        <f>DATE(2010,9,10) + TIME(4,5,14)</f>
        <v>40431.170300925929</v>
      </c>
      <c r="C367">
        <v>80</v>
      </c>
      <c r="D367">
        <v>79.915672302000004</v>
      </c>
      <c r="E367">
        <v>50</v>
      </c>
      <c r="F367">
        <v>15.007738113</v>
      </c>
      <c r="G367">
        <v>1383.9580077999999</v>
      </c>
      <c r="H367">
        <v>1370.3151855000001</v>
      </c>
      <c r="I367">
        <v>1253.0632324000001</v>
      </c>
      <c r="J367">
        <v>1213.3232422000001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132.710218</v>
      </c>
      <c r="B368" s="1">
        <f>DATE(2010,9,10) + TIME(17,2,42)</f>
        <v>40431.71020833333</v>
      </c>
      <c r="C368">
        <v>80</v>
      </c>
      <c r="D368">
        <v>79.915740967000005</v>
      </c>
      <c r="E368">
        <v>50</v>
      </c>
      <c r="F368">
        <v>15.008394241</v>
      </c>
      <c r="G368">
        <v>1383.9282227000001</v>
      </c>
      <c r="H368">
        <v>1370.2856445</v>
      </c>
      <c r="I368">
        <v>1253.083374</v>
      </c>
      <c r="J368">
        <v>1213.3420410000001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133.78854100000001</v>
      </c>
      <c r="B369" s="1">
        <f>DATE(2010,9,11) + TIME(18,55,29)</f>
        <v>40432.788530092592</v>
      </c>
      <c r="C369">
        <v>80</v>
      </c>
      <c r="D369">
        <v>79.915878296000002</v>
      </c>
      <c r="E369">
        <v>50</v>
      </c>
      <c r="F369">
        <v>15.009407043</v>
      </c>
      <c r="G369">
        <v>1383.8989257999999</v>
      </c>
      <c r="H369">
        <v>1370.2565918</v>
      </c>
      <c r="I369">
        <v>1253.1037598</v>
      </c>
      <c r="J369">
        <v>1213.3615723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134.866883</v>
      </c>
      <c r="B370" s="1">
        <f>DATE(2010,9,12) + TIME(20,48,18)</f>
        <v>40433.866875</v>
      </c>
      <c r="C370">
        <v>80</v>
      </c>
      <c r="D370">
        <v>79.916015625</v>
      </c>
      <c r="E370">
        <v>50</v>
      </c>
      <c r="F370">
        <v>15.010766983</v>
      </c>
      <c r="G370">
        <v>1383.8402100000001</v>
      </c>
      <c r="H370">
        <v>1370.1984863</v>
      </c>
      <c r="I370">
        <v>1253.1444091999999</v>
      </c>
      <c r="J370">
        <v>1213.3996582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135.96039400000001</v>
      </c>
      <c r="B371" s="1">
        <f>DATE(2010,9,13) + TIME(23,2,58)</f>
        <v>40434.960393518515</v>
      </c>
      <c r="C371">
        <v>80</v>
      </c>
      <c r="D371">
        <v>79.916152953999998</v>
      </c>
      <c r="E371">
        <v>50</v>
      </c>
      <c r="F371">
        <v>15.012415885999999</v>
      </c>
      <c r="G371">
        <v>1383.7817382999999</v>
      </c>
      <c r="H371">
        <v>1370.1403809000001</v>
      </c>
      <c r="I371">
        <v>1253.1860352000001</v>
      </c>
      <c r="J371">
        <v>1213.4387207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136.51552799999999</v>
      </c>
      <c r="B372" s="1">
        <f>DATE(2010,9,14) + TIME(12,22,21)</f>
        <v>40435.515520833331</v>
      </c>
      <c r="C372">
        <v>80</v>
      </c>
      <c r="D372">
        <v>79.916221618999998</v>
      </c>
      <c r="E372">
        <v>50</v>
      </c>
      <c r="F372">
        <v>15.013759613</v>
      </c>
      <c r="G372">
        <v>1383.7225341999999</v>
      </c>
      <c r="H372">
        <v>1370.0816649999999</v>
      </c>
      <c r="I372">
        <v>1253.2288818</v>
      </c>
      <c r="J372">
        <v>1213.4785156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137.070663</v>
      </c>
      <c r="B373" s="1">
        <f>DATE(2010,9,15) + TIME(1,41,45)</f>
        <v>40436.070659722223</v>
      </c>
      <c r="C373">
        <v>80</v>
      </c>
      <c r="D373">
        <v>79.916297912999994</v>
      </c>
      <c r="E373">
        <v>50</v>
      </c>
      <c r="F373">
        <v>15.015058517</v>
      </c>
      <c r="G373">
        <v>1383.6920166</v>
      </c>
      <c r="H373">
        <v>1370.0513916</v>
      </c>
      <c r="I373">
        <v>1253.2513428</v>
      </c>
      <c r="J373">
        <v>1213.4998779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137.62465</v>
      </c>
      <c r="B374" s="1">
        <f>DATE(2010,9,15) + TIME(14,59,29)</f>
        <v>40436.624641203707</v>
      </c>
      <c r="C374">
        <v>80</v>
      </c>
      <c r="D374">
        <v>79.916366577000005</v>
      </c>
      <c r="E374">
        <v>50</v>
      </c>
      <c r="F374">
        <v>15.016362190000001</v>
      </c>
      <c r="G374">
        <v>1383.6622314000001</v>
      </c>
      <c r="H374">
        <v>1370.0217285000001</v>
      </c>
      <c r="I374">
        <v>1253.2739257999999</v>
      </c>
      <c r="J374">
        <v>1213.5213623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138.177325</v>
      </c>
      <c r="B375" s="1">
        <f>DATE(2010,9,16) + TIME(4,15,20)</f>
        <v>40437.177314814813</v>
      </c>
      <c r="C375">
        <v>80</v>
      </c>
      <c r="D375">
        <v>79.916435242000006</v>
      </c>
      <c r="E375">
        <v>50</v>
      </c>
      <c r="F375">
        <v>15.017700195</v>
      </c>
      <c r="G375">
        <v>1383.6325684000001</v>
      </c>
      <c r="H375">
        <v>1369.9923096</v>
      </c>
      <c r="I375">
        <v>1253.2967529</v>
      </c>
      <c r="J375">
        <v>1213.5428466999999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138.72868700000001</v>
      </c>
      <c r="B376" s="1">
        <f>DATE(2010,9,16) + TIME(17,29,18)</f>
        <v>40437.728680555556</v>
      </c>
      <c r="C376">
        <v>80</v>
      </c>
      <c r="D376">
        <v>79.916503906000003</v>
      </c>
      <c r="E376">
        <v>50</v>
      </c>
      <c r="F376">
        <v>15.019093513</v>
      </c>
      <c r="G376">
        <v>1383.6030272999999</v>
      </c>
      <c r="H376">
        <v>1369.9628906</v>
      </c>
      <c r="I376">
        <v>1253.3197021000001</v>
      </c>
      <c r="J376">
        <v>1213.5646973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139.27875399999999</v>
      </c>
      <c r="B377" s="1">
        <f>DATE(2010,9,17) + TIME(6,41,24)</f>
        <v>40438.278749999998</v>
      </c>
      <c r="C377">
        <v>80</v>
      </c>
      <c r="D377">
        <v>79.916572571000003</v>
      </c>
      <c r="E377">
        <v>50</v>
      </c>
      <c r="F377">
        <v>15.020557404</v>
      </c>
      <c r="G377">
        <v>1383.5736084</v>
      </c>
      <c r="H377">
        <v>1369.9337158000001</v>
      </c>
      <c r="I377">
        <v>1253.3428954999999</v>
      </c>
      <c r="J377">
        <v>1213.5866699000001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139.82760999999999</v>
      </c>
      <c r="B378" s="1">
        <f>DATE(2010,9,17) + TIME(19,51,45)</f>
        <v>40438.827604166669</v>
      </c>
      <c r="C378">
        <v>80</v>
      </c>
      <c r="D378">
        <v>79.916648864999999</v>
      </c>
      <c r="E378">
        <v>50</v>
      </c>
      <c r="F378">
        <v>15.022101402000001</v>
      </c>
      <c r="G378">
        <v>1383.5444336</v>
      </c>
      <c r="H378">
        <v>1369.9046631000001</v>
      </c>
      <c r="I378">
        <v>1253.3663329999999</v>
      </c>
      <c r="J378">
        <v>1213.6088867000001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140.37533999999999</v>
      </c>
      <c r="B379" s="1">
        <f>DATE(2010,9,18) + TIME(9,0,29)</f>
        <v>40439.375335648147</v>
      </c>
      <c r="C379">
        <v>80</v>
      </c>
      <c r="D379">
        <v>79.916717528999996</v>
      </c>
      <c r="E379">
        <v>50</v>
      </c>
      <c r="F379">
        <v>15.023735046000001</v>
      </c>
      <c r="G379">
        <v>1383.5152588000001</v>
      </c>
      <c r="H379">
        <v>1369.8757324000001</v>
      </c>
      <c r="I379">
        <v>1253.3900146000001</v>
      </c>
      <c r="J379">
        <v>1213.6312256000001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140.922042</v>
      </c>
      <c r="B380" s="1">
        <f>DATE(2010,9,18) + TIME(22,7,44)</f>
        <v>40439.922037037039</v>
      </c>
      <c r="C380">
        <v>80</v>
      </c>
      <c r="D380">
        <v>79.916786193999997</v>
      </c>
      <c r="E380">
        <v>50</v>
      </c>
      <c r="F380">
        <v>15.025465012</v>
      </c>
      <c r="G380">
        <v>1383.4863281</v>
      </c>
      <c r="H380">
        <v>1369.8470459</v>
      </c>
      <c r="I380">
        <v>1253.4138184000001</v>
      </c>
      <c r="J380">
        <v>1213.6539307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141.467838</v>
      </c>
      <c r="B381" s="1">
        <f>DATE(2010,9,19) + TIME(11,13,41)</f>
        <v>40440.467835648145</v>
      </c>
      <c r="C381">
        <v>80</v>
      </c>
      <c r="D381">
        <v>79.916854857999994</v>
      </c>
      <c r="E381">
        <v>50</v>
      </c>
      <c r="F381">
        <v>15.027300835</v>
      </c>
      <c r="G381">
        <v>1383.4575195</v>
      </c>
      <c r="H381">
        <v>1369.8183594</v>
      </c>
      <c r="I381">
        <v>1253.4379882999999</v>
      </c>
      <c r="J381">
        <v>1213.6768798999999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142.01285899999999</v>
      </c>
      <c r="B382" s="1">
        <f>DATE(2010,9,20) + TIME(0,18,30)</f>
        <v>40441.01284722222</v>
      </c>
      <c r="C382">
        <v>80</v>
      </c>
      <c r="D382">
        <v>79.916923522999994</v>
      </c>
      <c r="E382">
        <v>50</v>
      </c>
      <c r="F382">
        <v>15.029247284</v>
      </c>
      <c r="G382">
        <v>1383.4288329999999</v>
      </c>
      <c r="H382">
        <v>1369.7897949000001</v>
      </c>
      <c r="I382">
        <v>1253.4622803</v>
      </c>
      <c r="J382">
        <v>1213.7001952999999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143.10163700000001</v>
      </c>
      <c r="B383" s="1">
        <f>DATE(2010,9,21) + TIME(2,26,21)</f>
        <v>40442.101631944446</v>
      </c>
      <c r="C383">
        <v>80</v>
      </c>
      <c r="D383">
        <v>79.917060852000006</v>
      </c>
      <c r="E383">
        <v>50</v>
      </c>
      <c r="F383">
        <v>15.032231331</v>
      </c>
      <c r="G383">
        <v>1383.4005127</v>
      </c>
      <c r="H383">
        <v>1369.7617187999999</v>
      </c>
      <c r="I383">
        <v>1253.4868164</v>
      </c>
      <c r="J383">
        <v>1213.7243652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144.19410999999999</v>
      </c>
      <c r="B384" s="1">
        <f>DATE(2010,9,22) + TIME(4,39,31)</f>
        <v>40443.194108796299</v>
      </c>
      <c r="C384">
        <v>80</v>
      </c>
      <c r="D384">
        <v>79.917198181000003</v>
      </c>
      <c r="E384">
        <v>50</v>
      </c>
      <c r="F384">
        <v>15.036221504</v>
      </c>
      <c r="G384">
        <v>1383.3439940999999</v>
      </c>
      <c r="H384">
        <v>1369.7054443</v>
      </c>
      <c r="I384">
        <v>1253.5366211</v>
      </c>
      <c r="J384">
        <v>1213.7716064000001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145.30222900000001</v>
      </c>
      <c r="B385" s="1">
        <f>DATE(2010,9,23) + TIME(7,15,12)</f>
        <v>40444.302222222221</v>
      </c>
      <c r="C385">
        <v>80</v>
      </c>
      <c r="D385">
        <v>79.917335510000001</v>
      </c>
      <c r="E385">
        <v>50</v>
      </c>
      <c r="F385">
        <v>15.041021346999999</v>
      </c>
      <c r="G385">
        <v>1383.2872314000001</v>
      </c>
      <c r="H385">
        <v>1369.6490478999999</v>
      </c>
      <c r="I385">
        <v>1253.5877685999999</v>
      </c>
      <c r="J385">
        <v>1213.8205565999999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145.864993</v>
      </c>
      <c r="B386" s="1">
        <f>DATE(2010,9,23) + TIME(20,45,35)</f>
        <v>40444.864988425928</v>
      </c>
      <c r="C386">
        <v>80</v>
      </c>
      <c r="D386">
        <v>79.917404175000001</v>
      </c>
      <c r="E386">
        <v>50</v>
      </c>
      <c r="F386">
        <v>15.044908524</v>
      </c>
      <c r="G386">
        <v>1383.2298584</v>
      </c>
      <c r="H386">
        <v>1369.5919189000001</v>
      </c>
      <c r="I386">
        <v>1253.6412353999999</v>
      </c>
      <c r="J386">
        <v>1213.8706055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146.97022899999999</v>
      </c>
      <c r="B387" s="1">
        <f>DATE(2010,9,24) + TIME(23,17,7)</f>
        <v>40445.970219907409</v>
      </c>
      <c r="C387">
        <v>80</v>
      </c>
      <c r="D387">
        <v>79.917541503999999</v>
      </c>
      <c r="E387">
        <v>50</v>
      </c>
      <c r="F387">
        <v>15.050233841000001</v>
      </c>
      <c r="G387">
        <v>1383.2005615</v>
      </c>
      <c r="H387">
        <v>1369.5627440999999</v>
      </c>
      <c r="I387">
        <v>1253.6685791</v>
      </c>
      <c r="J387">
        <v>1213.8989257999999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147.52623299999999</v>
      </c>
      <c r="B388" s="1">
        <f>DATE(2010,9,25) + TIME(12,37,46)</f>
        <v>40446.526226851849</v>
      </c>
      <c r="C388">
        <v>80</v>
      </c>
      <c r="D388">
        <v>79.917610167999996</v>
      </c>
      <c r="E388">
        <v>50</v>
      </c>
      <c r="F388">
        <v>15.054707527</v>
      </c>
      <c r="G388">
        <v>1383.144043</v>
      </c>
      <c r="H388">
        <v>1369.5063477000001</v>
      </c>
      <c r="I388">
        <v>1253.7241211</v>
      </c>
      <c r="J388">
        <v>1213.9509277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148.61520999999999</v>
      </c>
      <c r="B389" s="1">
        <f>DATE(2010,9,26) + TIME(14,45,54)</f>
        <v>40447.615208333336</v>
      </c>
      <c r="C389">
        <v>80</v>
      </c>
      <c r="D389">
        <v>79.917747497999997</v>
      </c>
      <c r="E389">
        <v>50</v>
      </c>
      <c r="F389">
        <v>15.060890197999999</v>
      </c>
      <c r="G389">
        <v>1383.1152344</v>
      </c>
      <c r="H389">
        <v>1369.4776611</v>
      </c>
      <c r="I389">
        <v>1253.7521973</v>
      </c>
      <c r="J389">
        <v>1213.9803466999999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149.722204</v>
      </c>
      <c r="B390" s="1">
        <f>DATE(2010,9,27) + TIME(17,19,58)</f>
        <v>40448.722199074073</v>
      </c>
      <c r="C390">
        <v>80</v>
      </c>
      <c r="D390">
        <v>79.917884826999995</v>
      </c>
      <c r="E390">
        <v>50</v>
      </c>
      <c r="F390">
        <v>15.068430900999999</v>
      </c>
      <c r="G390">
        <v>1383.0599365</v>
      </c>
      <c r="H390">
        <v>1369.4224853999999</v>
      </c>
      <c r="I390">
        <v>1253.8087158000001</v>
      </c>
      <c r="J390">
        <v>1214.0354004000001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150.83239900000001</v>
      </c>
      <c r="B391" s="1">
        <f>DATE(2010,9,28) + TIME(19,58,39)</f>
        <v>40449.832395833335</v>
      </c>
      <c r="C391">
        <v>80</v>
      </c>
      <c r="D391">
        <v>79.918022156000006</v>
      </c>
      <c r="E391">
        <v>50</v>
      </c>
      <c r="F391">
        <v>15.077181816</v>
      </c>
      <c r="G391">
        <v>1383.0037841999999</v>
      </c>
      <c r="H391">
        <v>1369.3663329999999</v>
      </c>
      <c r="I391">
        <v>1253.8677978999999</v>
      </c>
      <c r="J391">
        <v>1214.0933838000001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151.94881100000001</v>
      </c>
      <c r="B392" s="1">
        <f>DATE(2010,9,29) + TIME(22,46,17)</f>
        <v>40450.948807870373</v>
      </c>
      <c r="C392">
        <v>80</v>
      </c>
      <c r="D392">
        <v>79.918159485000004</v>
      </c>
      <c r="E392">
        <v>50</v>
      </c>
      <c r="F392">
        <v>15.087133408</v>
      </c>
      <c r="G392">
        <v>1382.9475098</v>
      </c>
      <c r="H392">
        <v>1369.3101807</v>
      </c>
      <c r="I392">
        <v>1253.9285889</v>
      </c>
      <c r="J392">
        <v>1214.1536865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153</v>
      </c>
      <c r="B393" s="1">
        <f>DATE(2010,10,1) + TIME(0,0,0)</f>
        <v>40452</v>
      </c>
      <c r="C393">
        <v>80</v>
      </c>
      <c r="D393">
        <v>79.918289185000006</v>
      </c>
      <c r="E393">
        <v>50</v>
      </c>
      <c r="F393">
        <v>15.098040580999999</v>
      </c>
      <c r="G393">
        <v>1382.8911132999999</v>
      </c>
      <c r="H393">
        <v>1369.2539062000001</v>
      </c>
      <c r="I393">
        <v>1253.9915771000001</v>
      </c>
      <c r="J393">
        <v>1214.2163086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153.55997500000001</v>
      </c>
      <c r="B394" s="1">
        <f>DATE(2010,10,1) + TIME(13,26,21)</f>
        <v>40452.559965277775</v>
      </c>
      <c r="C394">
        <v>80</v>
      </c>
      <c r="D394">
        <v>79.918357849000003</v>
      </c>
      <c r="E394">
        <v>50</v>
      </c>
      <c r="F394">
        <v>15.106584549000001</v>
      </c>
      <c r="G394">
        <v>1382.8382568</v>
      </c>
      <c r="H394">
        <v>1369.2010498</v>
      </c>
      <c r="I394">
        <v>1254.0537108999999</v>
      </c>
      <c r="J394">
        <v>1214.276001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154.11995099999999</v>
      </c>
      <c r="B395" s="1">
        <f>DATE(2010,10,2) + TIME(2,52,43)</f>
        <v>40453.119942129626</v>
      </c>
      <c r="C395">
        <v>80</v>
      </c>
      <c r="D395">
        <v>79.918426514000004</v>
      </c>
      <c r="E395">
        <v>50</v>
      </c>
      <c r="F395">
        <v>15.114742279</v>
      </c>
      <c r="G395">
        <v>1382.8095702999999</v>
      </c>
      <c r="H395">
        <v>1369.1723632999999</v>
      </c>
      <c r="I395">
        <v>1254.0869141000001</v>
      </c>
      <c r="J395">
        <v>1214.3106689000001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154.679204</v>
      </c>
      <c r="B396" s="1">
        <f>DATE(2010,10,2) + TIME(16,18,3)</f>
        <v>40453.679201388892</v>
      </c>
      <c r="C396">
        <v>80</v>
      </c>
      <c r="D396">
        <v>79.918495178000001</v>
      </c>
      <c r="E396">
        <v>50</v>
      </c>
      <c r="F396">
        <v>15.122826576</v>
      </c>
      <c r="G396">
        <v>1382.7814940999999</v>
      </c>
      <c r="H396">
        <v>1369.1442870999999</v>
      </c>
      <c r="I396">
        <v>1254.1206055</v>
      </c>
      <c r="J396">
        <v>1214.3455810999999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155.237673</v>
      </c>
      <c r="B397" s="1">
        <f>DATE(2010,10,3) + TIME(5,42,14)</f>
        <v>40454.237662037034</v>
      </c>
      <c r="C397">
        <v>80</v>
      </c>
      <c r="D397">
        <v>79.918563843000001</v>
      </c>
      <c r="E397">
        <v>50</v>
      </c>
      <c r="F397">
        <v>15.131038666</v>
      </c>
      <c r="G397">
        <v>1382.7535399999999</v>
      </c>
      <c r="H397">
        <v>1369.1162108999999</v>
      </c>
      <c r="I397">
        <v>1254.1549072</v>
      </c>
      <c r="J397">
        <v>1214.3811035000001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155.79534699999999</v>
      </c>
      <c r="B398" s="1">
        <f>DATE(2010,10,3) + TIME(19,5,17)</f>
        <v>40454.795335648145</v>
      </c>
      <c r="C398">
        <v>80</v>
      </c>
      <c r="D398">
        <v>79.918632506999998</v>
      </c>
      <c r="E398">
        <v>50</v>
      </c>
      <c r="F398">
        <v>15.139506340000001</v>
      </c>
      <c r="G398">
        <v>1382.7255858999999</v>
      </c>
      <c r="H398">
        <v>1369.0882568</v>
      </c>
      <c r="I398">
        <v>1254.1896973</v>
      </c>
      <c r="J398">
        <v>1214.4171143000001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156.35223099999999</v>
      </c>
      <c r="B399" s="1">
        <f>DATE(2010,10,4) + TIME(8,27,12)</f>
        <v>40455.352222222224</v>
      </c>
      <c r="C399">
        <v>80</v>
      </c>
      <c r="D399">
        <v>79.918701171999999</v>
      </c>
      <c r="E399">
        <v>50</v>
      </c>
      <c r="F399">
        <v>15.148317337</v>
      </c>
      <c r="G399">
        <v>1382.6977539</v>
      </c>
      <c r="H399">
        <v>1369.0603027</v>
      </c>
      <c r="I399">
        <v>1254.2250977000001</v>
      </c>
      <c r="J399">
        <v>1214.4538574000001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156.908356</v>
      </c>
      <c r="B400" s="1">
        <f>DATE(2010,10,4) + TIME(21,48,1)</f>
        <v>40455.90834490741</v>
      </c>
      <c r="C400">
        <v>80</v>
      </c>
      <c r="D400">
        <v>79.918769835999996</v>
      </c>
      <c r="E400">
        <v>50</v>
      </c>
      <c r="F400">
        <v>15.157532692</v>
      </c>
      <c r="G400">
        <v>1382.6700439000001</v>
      </c>
      <c r="H400">
        <v>1369.0325928</v>
      </c>
      <c r="I400">
        <v>1254.2609863</v>
      </c>
      <c r="J400">
        <v>1214.4912108999999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157.463773</v>
      </c>
      <c r="B401" s="1">
        <f>DATE(2010,10,5) + TIME(11,7,50)</f>
        <v>40456.463773148149</v>
      </c>
      <c r="C401">
        <v>80</v>
      </c>
      <c r="D401">
        <v>79.918830872000001</v>
      </c>
      <c r="E401">
        <v>50</v>
      </c>
      <c r="F401">
        <v>15.167200089</v>
      </c>
      <c r="G401">
        <v>1382.6423339999999</v>
      </c>
      <c r="H401">
        <v>1369.0047606999999</v>
      </c>
      <c r="I401">
        <v>1254.2973632999999</v>
      </c>
      <c r="J401">
        <v>1214.5292969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158.01855399999999</v>
      </c>
      <c r="B402" s="1">
        <f>DATE(2010,10,6) + TIME(0,26,43)</f>
        <v>40457.018553240741</v>
      </c>
      <c r="C402">
        <v>80</v>
      </c>
      <c r="D402">
        <v>79.918899535999998</v>
      </c>
      <c r="E402">
        <v>50</v>
      </c>
      <c r="F402">
        <v>15.177356720000001</v>
      </c>
      <c r="G402">
        <v>1382.6147461</v>
      </c>
      <c r="H402">
        <v>1368.9771728999999</v>
      </c>
      <c r="I402">
        <v>1254.3342285000001</v>
      </c>
      <c r="J402">
        <v>1214.5681152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158.572788</v>
      </c>
      <c r="B403" s="1">
        <f>DATE(2010,10,6) + TIME(13,44,48)</f>
        <v>40457.572777777779</v>
      </c>
      <c r="C403">
        <v>80</v>
      </c>
      <c r="D403">
        <v>79.918968200999998</v>
      </c>
      <c r="E403">
        <v>50</v>
      </c>
      <c r="F403">
        <v>15.188036919</v>
      </c>
      <c r="G403">
        <v>1382.5872803</v>
      </c>
      <c r="H403">
        <v>1368.9494629000001</v>
      </c>
      <c r="I403">
        <v>1254.3717041</v>
      </c>
      <c r="J403">
        <v>1214.6077881000001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159.12658300000001</v>
      </c>
      <c r="B404" s="1">
        <f>DATE(2010,10,7) + TIME(3,2,16)</f>
        <v>40458.126574074071</v>
      </c>
      <c r="C404">
        <v>80</v>
      </c>
      <c r="D404">
        <v>79.919036864999995</v>
      </c>
      <c r="E404">
        <v>50</v>
      </c>
      <c r="F404">
        <v>15.199271202</v>
      </c>
      <c r="G404">
        <v>1382.5598144999999</v>
      </c>
      <c r="H404">
        <v>1368.9219971</v>
      </c>
      <c r="I404">
        <v>1254.409668</v>
      </c>
      <c r="J404">
        <v>1214.6483154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159.68006700000001</v>
      </c>
      <c r="B405" s="1">
        <f>DATE(2010,10,7) + TIME(16,19,17)</f>
        <v>40458.68005787037</v>
      </c>
      <c r="C405">
        <v>80</v>
      </c>
      <c r="D405">
        <v>79.919105529999996</v>
      </c>
      <c r="E405">
        <v>50</v>
      </c>
      <c r="F405">
        <v>15.211091995</v>
      </c>
      <c r="G405">
        <v>1382.5324707</v>
      </c>
      <c r="H405">
        <v>1368.8944091999999</v>
      </c>
      <c r="I405">
        <v>1254.4482422000001</v>
      </c>
      <c r="J405">
        <v>1214.6895752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160.23338200000001</v>
      </c>
      <c r="B406" s="1">
        <f>DATE(2010,10,8) + TIME(5,36,4)</f>
        <v>40459.23337962963</v>
      </c>
      <c r="C406">
        <v>80</v>
      </c>
      <c r="D406">
        <v>79.919174193999993</v>
      </c>
      <c r="E406">
        <v>50</v>
      </c>
      <c r="F406">
        <v>15.223528862</v>
      </c>
      <c r="G406">
        <v>1382.5051269999999</v>
      </c>
      <c r="H406">
        <v>1368.8669434000001</v>
      </c>
      <c r="I406">
        <v>1254.4873047000001</v>
      </c>
      <c r="J406">
        <v>1214.7318115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160.78667899999999</v>
      </c>
      <c r="B407" s="1">
        <f>DATE(2010,10,8) + TIME(18,52,49)</f>
        <v>40459.786678240744</v>
      </c>
      <c r="C407">
        <v>80</v>
      </c>
      <c r="D407">
        <v>79.919235228999995</v>
      </c>
      <c r="E407">
        <v>50</v>
      </c>
      <c r="F407">
        <v>15.236615180999999</v>
      </c>
      <c r="G407">
        <v>1382.4777832</v>
      </c>
      <c r="H407">
        <v>1368.8394774999999</v>
      </c>
      <c r="I407">
        <v>1254.5270995999999</v>
      </c>
      <c r="J407">
        <v>1214.7749022999999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161.339977</v>
      </c>
      <c r="B408" s="1">
        <f>DATE(2010,10,9) + TIME(8,9,34)</f>
        <v>40460.33997685185</v>
      </c>
      <c r="C408">
        <v>80</v>
      </c>
      <c r="D408">
        <v>79.919303893999995</v>
      </c>
      <c r="E408">
        <v>50</v>
      </c>
      <c r="F408">
        <v>15.250381470000001</v>
      </c>
      <c r="G408">
        <v>1382.4504394999999</v>
      </c>
      <c r="H408">
        <v>1368.8120117000001</v>
      </c>
      <c r="I408">
        <v>1254.5673827999999</v>
      </c>
      <c r="J408">
        <v>1214.8190918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161.89327499999999</v>
      </c>
      <c r="B409" s="1">
        <f>DATE(2010,10,9) + TIME(21,26,18)</f>
        <v>40460.893263888887</v>
      </c>
      <c r="C409">
        <v>80</v>
      </c>
      <c r="D409">
        <v>79.919372558999996</v>
      </c>
      <c r="E409">
        <v>50</v>
      </c>
      <c r="F409">
        <v>15.264860153000001</v>
      </c>
      <c r="G409">
        <v>1382.4232178</v>
      </c>
      <c r="H409">
        <v>1368.784668</v>
      </c>
      <c r="I409">
        <v>1254.6083983999999</v>
      </c>
      <c r="J409">
        <v>1214.8642577999999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162.99987100000001</v>
      </c>
      <c r="B410" s="1">
        <f>DATE(2010,10,10) + TIME(23,59,48)</f>
        <v>40461.999861111108</v>
      </c>
      <c r="C410">
        <v>80</v>
      </c>
      <c r="D410">
        <v>79.919509887999993</v>
      </c>
      <c r="E410">
        <v>50</v>
      </c>
      <c r="F410">
        <v>15.286786079000001</v>
      </c>
      <c r="G410">
        <v>1382.3962402</v>
      </c>
      <c r="H410">
        <v>1368.7574463000001</v>
      </c>
      <c r="I410">
        <v>1254.6478271000001</v>
      </c>
      <c r="J410">
        <v>1214.9138184000001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164.11134899999999</v>
      </c>
      <c r="B411" s="1">
        <f>DATE(2010,10,12) + TIME(2,40,20)</f>
        <v>40463.111342592594</v>
      </c>
      <c r="C411">
        <v>80</v>
      </c>
      <c r="D411">
        <v>79.919639587000006</v>
      </c>
      <c r="E411">
        <v>50</v>
      </c>
      <c r="F411">
        <v>15.315779686000001</v>
      </c>
      <c r="G411">
        <v>1382.3424072</v>
      </c>
      <c r="H411">
        <v>1368.703125</v>
      </c>
      <c r="I411">
        <v>1254.7332764</v>
      </c>
      <c r="J411">
        <v>1215.0065918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165.24552199999999</v>
      </c>
      <c r="B412" s="1">
        <f>DATE(2010,10,13) + TIME(5,53,33)</f>
        <v>40464.245520833334</v>
      </c>
      <c r="C412">
        <v>80</v>
      </c>
      <c r="D412">
        <v>79.919776916999993</v>
      </c>
      <c r="E412">
        <v>50</v>
      </c>
      <c r="F412">
        <v>15.350180626</v>
      </c>
      <c r="G412">
        <v>1382.2879639</v>
      </c>
      <c r="H412">
        <v>1368.6483154</v>
      </c>
      <c r="I412">
        <v>1254.8211670000001</v>
      </c>
      <c r="J412">
        <v>1215.1055908000001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165.82245900000001</v>
      </c>
      <c r="B413" s="1">
        <f>DATE(2010,10,13) + TIME(19,44,20)</f>
        <v>40464.822453703702</v>
      </c>
      <c r="C413">
        <v>80</v>
      </c>
      <c r="D413">
        <v>79.919845581000004</v>
      </c>
      <c r="E413">
        <v>50</v>
      </c>
      <c r="F413">
        <v>15.377763748</v>
      </c>
      <c r="G413">
        <v>1382.2326660000001</v>
      </c>
      <c r="H413">
        <v>1368.5925293</v>
      </c>
      <c r="I413">
        <v>1254.9178466999999</v>
      </c>
      <c r="J413">
        <v>1215.2060547000001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166.397188</v>
      </c>
      <c r="B414" s="1">
        <f>DATE(2010,10,14) + TIME(9,31,57)</f>
        <v>40465.397187499999</v>
      </c>
      <c r="C414">
        <v>80</v>
      </c>
      <c r="D414">
        <v>79.919914246000005</v>
      </c>
      <c r="E414">
        <v>50</v>
      </c>
      <c r="F414">
        <v>15.403822899</v>
      </c>
      <c r="G414">
        <v>1382.2038574000001</v>
      </c>
      <c r="H414">
        <v>1368.5634766000001</v>
      </c>
      <c r="I414">
        <v>1254.9652100000001</v>
      </c>
      <c r="J414">
        <v>1215.2650146000001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166.971262</v>
      </c>
      <c r="B415" s="1">
        <f>DATE(2010,10,14) + TIME(23,18,37)</f>
        <v>40465.971261574072</v>
      </c>
      <c r="C415">
        <v>80</v>
      </c>
      <c r="D415">
        <v>79.919982910000002</v>
      </c>
      <c r="E415">
        <v>50</v>
      </c>
      <c r="F415">
        <v>15.429449081</v>
      </c>
      <c r="G415">
        <v>1382.1757812000001</v>
      </c>
      <c r="H415">
        <v>1368.5350341999999</v>
      </c>
      <c r="I415">
        <v>1255.0135498</v>
      </c>
      <c r="J415">
        <v>1215.3243408000001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167.54526300000001</v>
      </c>
      <c r="B416" s="1">
        <f>DATE(2010,10,15) + TIME(13,5,10)</f>
        <v>40466.545254629629</v>
      </c>
      <c r="C416">
        <v>80</v>
      </c>
      <c r="D416">
        <v>79.920059203999998</v>
      </c>
      <c r="E416">
        <v>50</v>
      </c>
      <c r="F416">
        <v>15.455310822</v>
      </c>
      <c r="G416">
        <v>1382.1478271000001</v>
      </c>
      <c r="H416">
        <v>1368.5067139</v>
      </c>
      <c r="I416">
        <v>1255.0629882999999</v>
      </c>
      <c r="J416">
        <v>1215.3846435999999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168.11926500000001</v>
      </c>
      <c r="B417" s="1">
        <f>DATE(2010,10,16) + TIME(2,51,44)</f>
        <v>40467.119259259256</v>
      </c>
      <c r="C417">
        <v>80</v>
      </c>
      <c r="D417">
        <v>79.920127868999998</v>
      </c>
      <c r="E417">
        <v>50</v>
      </c>
      <c r="F417">
        <v>15.48182106</v>
      </c>
      <c r="G417">
        <v>1382.1198730000001</v>
      </c>
      <c r="H417">
        <v>1368.4783935999999</v>
      </c>
      <c r="I417">
        <v>1255.1134033000001</v>
      </c>
      <c r="J417">
        <v>1215.4461670000001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168.69326699999999</v>
      </c>
      <c r="B418" s="1">
        <f>DATE(2010,10,16) + TIME(16,38,18)</f>
        <v>40467.69326388889</v>
      </c>
      <c r="C418">
        <v>80</v>
      </c>
      <c r="D418">
        <v>79.920196532999995</v>
      </c>
      <c r="E418">
        <v>50</v>
      </c>
      <c r="F418">
        <v>15.509248734</v>
      </c>
      <c r="G418">
        <v>1382.0919189000001</v>
      </c>
      <c r="H418">
        <v>1368.4500731999999</v>
      </c>
      <c r="I418">
        <v>1255.1647949000001</v>
      </c>
      <c r="J418">
        <v>1215.5091553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169.267268</v>
      </c>
      <c r="B419" s="1">
        <f>DATE(2010,10,17) + TIME(6,24,51)</f>
        <v>40468.267256944448</v>
      </c>
      <c r="C419">
        <v>80</v>
      </c>
      <c r="D419">
        <v>79.920265197999996</v>
      </c>
      <c r="E419">
        <v>50</v>
      </c>
      <c r="F419">
        <v>15.53777504</v>
      </c>
      <c r="G419">
        <v>1382.0639647999999</v>
      </c>
      <c r="H419">
        <v>1368.4217529</v>
      </c>
      <c r="I419">
        <v>1255.2170410000001</v>
      </c>
      <c r="J419">
        <v>1215.5737305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169.84127000000001</v>
      </c>
      <c r="B420" s="1">
        <f>DATE(2010,10,17) + TIME(20,11,25)</f>
        <v>40468.841261574074</v>
      </c>
      <c r="C420">
        <v>80</v>
      </c>
      <c r="D420">
        <v>79.920333862000007</v>
      </c>
      <c r="E420">
        <v>50</v>
      </c>
      <c r="F420">
        <v>15.567524909999999</v>
      </c>
      <c r="G420">
        <v>1382.0361327999999</v>
      </c>
      <c r="H420">
        <v>1368.3934326000001</v>
      </c>
      <c r="I420">
        <v>1255.2701416</v>
      </c>
      <c r="J420">
        <v>1215.6398925999999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170.41527199999999</v>
      </c>
      <c r="B421" s="1">
        <f>DATE(2010,10,18) + TIME(9,57,59)</f>
        <v>40469.415266203701</v>
      </c>
      <c r="C421">
        <v>80</v>
      </c>
      <c r="D421">
        <v>79.920402526999993</v>
      </c>
      <c r="E421">
        <v>50</v>
      </c>
      <c r="F421">
        <v>15.598597527000001</v>
      </c>
      <c r="G421">
        <v>1382.0081786999999</v>
      </c>
      <c r="H421">
        <v>1368.3651123</v>
      </c>
      <c r="I421">
        <v>1255.3240966999999</v>
      </c>
      <c r="J421">
        <v>1215.7077637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170.98927399999999</v>
      </c>
      <c r="B422" s="1">
        <f>DATE(2010,10,18) + TIME(23,44,33)</f>
        <v>40469.989270833335</v>
      </c>
      <c r="C422">
        <v>80</v>
      </c>
      <c r="D422">
        <v>79.920471191000004</v>
      </c>
      <c r="E422">
        <v>50</v>
      </c>
      <c r="F422">
        <v>15.63106823</v>
      </c>
      <c r="G422">
        <v>1381.9803466999999</v>
      </c>
      <c r="H422">
        <v>1368.3369141000001</v>
      </c>
      <c r="I422">
        <v>1255.3789062000001</v>
      </c>
      <c r="J422">
        <v>1215.7774658000001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171.563275</v>
      </c>
      <c r="B423" s="1">
        <f>DATE(2010,10,19) + TIME(13,31,6)</f>
        <v>40470.563263888886</v>
      </c>
      <c r="C423">
        <v>80</v>
      </c>
      <c r="D423">
        <v>79.920539856000005</v>
      </c>
      <c r="E423">
        <v>50</v>
      </c>
      <c r="F423">
        <v>15.66500473</v>
      </c>
      <c r="G423">
        <v>1381.9525146000001</v>
      </c>
      <c r="H423">
        <v>1368.3085937999999</v>
      </c>
      <c r="I423">
        <v>1255.4346923999999</v>
      </c>
      <c r="J423">
        <v>1215.848999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172.13727700000001</v>
      </c>
      <c r="B424" s="1">
        <f>DATE(2010,10,20) + TIME(3,17,40)</f>
        <v>40471.13726851852</v>
      </c>
      <c r="C424">
        <v>80</v>
      </c>
      <c r="D424">
        <v>79.920608521000005</v>
      </c>
      <c r="E424">
        <v>50</v>
      </c>
      <c r="F424">
        <v>15.700464248999999</v>
      </c>
      <c r="G424">
        <v>1381.9246826000001</v>
      </c>
      <c r="H424">
        <v>1368.2802733999999</v>
      </c>
      <c r="I424">
        <v>1255.4912108999999</v>
      </c>
      <c r="J424">
        <v>1215.9223632999999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172.71127899999999</v>
      </c>
      <c r="B425" s="1">
        <f>DATE(2010,10,20) + TIME(17,4,14)</f>
        <v>40471.711273148147</v>
      </c>
      <c r="C425">
        <v>80</v>
      </c>
      <c r="D425">
        <v>79.920677185000002</v>
      </c>
      <c r="E425">
        <v>50</v>
      </c>
      <c r="F425">
        <v>15.737504959000001</v>
      </c>
      <c r="G425">
        <v>1381.8968506000001</v>
      </c>
      <c r="H425">
        <v>1368.2519531</v>
      </c>
      <c r="I425">
        <v>1255.5487060999999</v>
      </c>
      <c r="J425">
        <v>1215.9976807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173.28528</v>
      </c>
      <c r="B426" s="1">
        <f>DATE(2010,10,21) + TIME(6,50,48)</f>
        <v>40472.285277777781</v>
      </c>
      <c r="C426">
        <v>80</v>
      </c>
      <c r="D426">
        <v>79.920745850000003</v>
      </c>
      <c r="E426">
        <v>50</v>
      </c>
      <c r="F426">
        <v>15.776178359999999</v>
      </c>
      <c r="G426">
        <v>1381.8690185999999</v>
      </c>
      <c r="H426">
        <v>1368.2236327999999</v>
      </c>
      <c r="I426">
        <v>1255.6070557</v>
      </c>
      <c r="J426">
        <v>1216.0750731999999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173.85928200000001</v>
      </c>
      <c r="B427" s="1">
        <f>DATE(2010,10,21) + TIME(20,37,21)</f>
        <v>40472.859270833331</v>
      </c>
      <c r="C427">
        <v>80</v>
      </c>
      <c r="D427">
        <v>79.920814514</v>
      </c>
      <c r="E427">
        <v>50</v>
      </c>
      <c r="F427">
        <v>15.816536902999999</v>
      </c>
      <c r="G427">
        <v>1381.8411865</v>
      </c>
      <c r="H427">
        <v>1368.1953125</v>
      </c>
      <c r="I427">
        <v>1255.6662598</v>
      </c>
      <c r="J427">
        <v>1216.1544189000001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174.43233499999999</v>
      </c>
      <c r="B428" s="1">
        <f>DATE(2010,10,22) + TIME(10,22,33)</f>
        <v>40473.432326388887</v>
      </c>
      <c r="C428">
        <v>80</v>
      </c>
      <c r="D428">
        <v>79.920883179</v>
      </c>
      <c r="E428">
        <v>50</v>
      </c>
      <c r="F428">
        <v>15.858588219</v>
      </c>
      <c r="G428">
        <v>1381.8134766000001</v>
      </c>
      <c r="H428">
        <v>1368.1669922000001</v>
      </c>
      <c r="I428">
        <v>1255.7264404</v>
      </c>
      <c r="J428">
        <v>1216.2359618999999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175.00451000000001</v>
      </c>
      <c r="B429" s="1">
        <f>DATE(2010,10,23) + TIME(0,6,29)</f>
        <v>40474.004502314812</v>
      </c>
      <c r="C429">
        <v>80</v>
      </c>
      <c r="D429">
        <v>79.920951842999997</v>
      </c>
      <c r="E429">
        <v>50</v>
      </c>
      <c r="F429">
        <v>15.902366638</v>
      </c>
      <c r="G429">
        <v>1381.7857666</v>
      </c>
      <c r="H429">
        <v>1368.1386719</v>
      </c>
      <c r="I429">
        <v>1255.7872314000001</v>
      </c>
      <c r="J429">
        <v>1216.3193358999999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175.57601299999999</v>
      </c>
      <c r="B430" s="1">
        <f>DATE(2010,10,23) + TIME(13,49,27)</f>
        <v>40474.576006944444</v>
      </c>
      <c r="C430">
        <v>80</v>
      </c>
      <c r="D430">
        <v>79.921020507999998</v>
      </c>
      <c r="E430">
        <v>50</v>
      </c>
      <c r="F430">
        <v>15.947917938</v>
      </c>
      <c r="G430">
        <v>1381.7580565999999</v>
      </c>
      <c r="H430">
        <v>1368.1104736</v>
      </c>
      <c r="I430">
        <v>1255.848999</v>
      </c>
      <c r="J430">
        <v>1216.4049072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176.14705599999999</v>
      </c>
      <c r="B431" s="1">
        <f>DATE(2010,10,24) + TIME(3,31,45)</f>
        <v>40475.147048611114</v>
      </c>
      <c r="C431">
        <v>80</v>
      </c>
      <c r="D431">
        <v>79.921089171999995</v>
      </c>
      <c r="E431">
        <v>50</v>
      </c>
      <c r="F431">
        <v>15.995290755999999</v>
      </c>
      <c r="G431">
        <v>1381.7304687999999</v>
      </c>
      <c r="H431">
        <v>1368.0821533000001</v>
      </c>
      <c r="I431">
        <v>1255.911499</v>
      </c>
      <c r="J431">
        <v>1216.4925536999999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176.71786800000001</v>
      </c>
      <c r="B432" s="1">
        <f>DATE(2010,10,24) + TIME(17,13,43)</f>
        <v>40475.717858796299</v>
      </c>
      <c r="C432">
        <v>80</v>
      </c>
      <c r="D432">
        <v>79.921157836999996</v>
      </c>
      <c r="E432">
        <v>50</v>
      </c>
      <c r="F432">
        <v>16.044536591</v>
      </c>
      <c r="G432">
        <v>1381.7028809000001</v>
      </c>
      <c r="H432">
        <v>1368.0539550999999</v>
      </c>
      <c r="I432">
        <v>1255.9747314000001</v>
      </c>
      <c r="J432">
        <v>1216.5825195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177.28868</v>
      </c>
      <c r="B433" s="1">
        <f>DATE(2010,10,25) + TIME(6,55,41)</f>
        <v>40476.288668981484</v>
      </c>
      <c r="C433">
        <v>80</v>
      </c>
      <c r="D433">
        <v>79.921226501000007</v>
      </c>
      <c r="E433">
        <v>50</v>
      </c>
      <c r="F433">
        <v>16.095710753999999</v>
      </c>
      <c r="G433">
        <v>1381.6754149999999</v>
      </c>
      <c r="H433">
        <v>1368.0257568</v>
      </c>
      <c r="I433">
        <v>1256.0389404</v>
      </c>
      <c r="J433">
        <v>1216.6745605000001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177.85949199999999</v>
      </c>
      <c r="B434" s="1">
        <f>DATE(2010,10,25) + TIME(20,37,40)</f>
        <v>40476.859490740739</v>
      </c>
      <c r="C434">
        <v>80</v>
      </c>
      <c r="D434">
        <v>79.921295165999993</v>
      </c>
      <c r="E434">
        <v>50</v>
      </c>
      <c r="F434">
        <v>16.148859024</v>
      </c>
      <c r="G434">
        <v>1381.6478271000001</v>
      </c>
      <c r="H434">
        <v>1367.9976807</v>
      </c>
      <c r="I434">
        <v>1256.1040039</v>
      </c>
      <c r="J434">
        <v>1216.769043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178.43030400000001</v>
      </c>
      <c r="B435" s="1">
        <f>DATE(2010,10,26) + TIME(10,19,38)</f>
        <v>40477.430300925924</v>
      </c>
      <c r="C435">
        <v>80</v>
      </c>
      <c r="D435">
        <v>79.921363830999994</v>
      </c>
      <c r="E435">
        <v>50</v>
      </c>
      <c r="F435">
        <v>16.204021453999999</v>
      </c>
      <c r="G435">
        <v>1381.6203613</v>
      </c>
      <c r="H435">
        <v>1367.9694824000001</v>
      </c>
      <c r="I435">
        <v>1256.1699219</v>
      </c>
      <c r="J435">
        <v>1216.8658447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179.001116</v>
      </c>
      <c r="B436" s="1">
        <f>DATE(2010,10,27) + TIME(0,1,36)</f>
        <v>40478.001111111109</v>
      </c>
      <c r="C436">
        <v>80</v>
      </c>
      <c r="D436">
        <v>79.921432495000005</v>
      </c>
      <c r="E436">
        <v>50</v>
      </c>
      <c r="F436">
        <v>16.261240005000001</v>
      </c>
      <c r="G436">
        <v>1381.5927733999999</v>
      </c>
      <c r="H436">
        <v>1367.9412841999999</v>
      </c>
      <c r="I436">
        <v>1256.2366943</v>
      </c>
      <c r="J436">
        <v>1216.9650879000001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179.57192699999999</v>
      </c>
      <c r="B437" s="1">
        <f>DATE(2010,10,27) + TIME(13,43,34)</f>
        <v>40478.571921296294</v>
      </c>
      <c r="C437">
        <v>80</v>
      </c>
      <c r="D437">
        <v>79.921501160000005</v>
      </c>
      <c r="E437">
        <v>50</v>
      </c>
      <c r="F437">
        <v>16.320550918999999</v>
      </c>
      <c r="G437">
        <v>1381.5653076000001</v>
      </c>
      <c r="H437">
        <v>1367.9130858999999</v>
      </c>
      <c r="I437">
        <v>1256.3044434000001</v>
      </c>
      <c r="J437">
        <v>1217.0667725000001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180.14273900000001</v>
      </c>
      <c r="B438" s="1">
        <f>DATE(2010,10,28) + TIME(3,25,32)</f>
        <v>40479.142731481479</v>
      </c>
      <c r="C438">
        <v>80</v>
      </c>
      <c r="D438">
        <v>79.921569824000002</v>
      </c>
      <c r="E438">
        <v>50</v>
      </c>
      <c r="F438">
        <v>16.381988525000001</v>
      </c>
      <c r="G438">
        <v>1381.5378418</v>
      </c>
      <c r="H438">
        <v>1367.8848877</v>
      </c>
      <c r="I438">
        <v>1256.3729248</v>
      </c>
      <c r="J438">
        <v>1217.1708983999999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180.713551</v>
      </c>
      <c r="B439" s="1">
        <f>DATE(2010,10,28) + TIME(17,7,30)</f>
        <v>40479.713541666664</v>
      </c>
      <c r="C439">
        <v>80</v>
      </c>
      <c r="D439">
        <v>79.921638489000003</v>
      </c>
      <c r="E439">
        <v>50</v>
      </c>
      <c r="F439">
        <v>16.445583343999999</v>
      </c>
      <c r="G439">
        <v>1381.510376</v>
      </c>
      <c r="H439">
        <v>1367.8566894999999</v>
      </c>
      <c r="I439">
        <v>1256.4423827999999</v>
      </c>
      <c r="J439">
        <v>1217.2774658000001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181.28436300000001</v>
      </c>
      <c r="B440" s="1">
        <f>DATE(2010,10,29) + TIME(6,49,28)</f>
        <v>40480.284351851849</v>
      </c>
      <c r="C440">
        <v>80</v>
      </c>
      <c r="D440">
        <v>79.921707153</v>
      </c>
      <c r="E440">
        <v>50</v>
      </c>
      <c r="F440">
        <v>16.511360168</v>
      </c>
      <c r="G440">
        <v>1381.4830322</v>
      </c>
      <c r="H440">
        <v>1367.8284911999999</v>
      </c>
      <c r="I440">
        <v>1256.5125731999999</v>
      </c>
      <c r="J440">
        <v>1217.3865966999999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182.42598699999999</v>
      </c>
      <c r="B441" s="1">
        <f>DATE(2010,10,30) + TIME(10,13,25)</f>
        <v>40481.425983796296</v>
      </c>
      <c r="C441">
        <v>80</v>
      </c>
      <c r="D441">
        <v>79.921844481999997</v>
      </c>
      <c r="E441">
        <v>50</v>
      </c>
      <c r="F441">
        <v>16.608421325999998</v>
      </c>
      <c r="G441">
        <v>1381.4556885</v>
      </c>
      <c r="H441">
        <v>1367.800293</v>
      </c>
      <c r="I441">
        <v>1256.5742187999999</v>
      </c>
      <c r="J441">
        <v>1217.5133057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183.571732</v>
      </c>
      <c r="B442" s="1">
        <f>DATE(2010,10,31) + TIME(13,43,17)</f>
        <v>40482.57172453704</v>
      </c>
      <c r="C442">
        <v>80</v>
      </c>
      <c r="D442">
        <v>79.921974182</v>
      </c>
      <c r="E442">
        <v>50</v>
      </c>
      <c r="F442">
        <v>16.734432219999999</v>
      </c>
      <c r="G442">
        <v>1381.4013672000001</v>
      </c>
      <c r="H442">
        <v>1367.7445068</v>
      </c>
      <c r="I442">
        <v>1256.722168</v>
      </c>
      <c r="J442">
        <v>1217.7333983999999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184</v>
      </c>
      <c r="B443" s="1">
        <f>DATE(2010,11,1) + TIME(0,0,0)</f>
        <v>40483</v>
      </c>
      <c r="C443">
        <v>80</v>
      </c>
      <c r="D443">
        <v>79.922027588000006</v>
      </c>
      <c r="E443">
        <v>50</v>
      </c>
      <c r="F443">
        <v>16.818357467999999</v>
      </c>
      <c r="G443">
        <v>1381.3472899999999</v>
      </c>
      <c r="H443">
        <v>1367.6890868999999</v>
      </c>
      <c r="I443">
        <v>1256.8897704999999</v>
      </c>
      <c r="J443">
        <v>1217.9376221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184.000001</v>
      </c>
      <c r="B444" s="1">
        <f>DATE(2010,11,1) + TIME(0,0,0)</f>
        <v>40483</v>
      </c>
      <c r="C444">
        <v>80</v>
      </c>
      <c r="D444">
        <v>79.921905518000003</v>
      </c>
      <c r="E444">
        <v>50</v>
      </c>
      <c r="F444">
        <v>16.818489074999999</v>
      </c>
      <c r="G444">
        <v>1366.8175048999999</v>
      </c>
      <c r="H444">
        <v>1355.1594238</v>
      </c>
      <c r="I444">
        <v>1295.9281006000001</v>
      </c>
      <c r="J444">
        <v>1257.7882079999999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184.00000399999999</v>
      </c>
      <c r="B445" s="1">
        <f>DATE(2010,11,1) + TIME(0,0,0)</f>
        <v>40483</v>
      </c>
      <c r="C445">
        <v>80</v>
      </c>
      <c r="D445">
        <v>79.921585082999997</v>
      </c>
      <c r="E445">
        <v>50</v>
      </c>
      <c r="F445">
        <v>16.818868637000001</v>
      </c>
      <c r="G445">
        <v>1364.6154785000001</v>
      </c>
      <c r="H445">
        <v>1352.9562988</v>
      </c>
      <c r="I445">
        <v>1298.4023437999999</v>
      </c>
      <c r="J445">
        <v>1260.3195800999999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184.000013</v>
      </c>
      <c r="B446" s="1">
        <f>DATE(2010,11,1) + TIME(0,0,1)</f>
        <v>40483.000011574077</v>
      </c>
      <c r="C446">
        <v>80</v>
      </c>
      <c r="D446">
        <v>79.920959472999996</v>
      </c>
      <c r="E446">
        <v>50</v>
      </c>
      <c r="F446">
        <v>16.819879532000002</v>
      </c>
      <c r="G446">
        <v>1360.1694336</v>
      </c>
      <c r="H446">
        <v>1348.5093993999999</v>
      </c>
      <c r="I446">
        <v>1304.7073975000001</v>
      </c>
      <c r="J446">
        <v>1266.7382812000001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184.00004000000001</v>
      </c>
      <c r="B447" s="1">
        <f>DATE(2010,11,1) + TIME(0,0,3)</f>
        <v>40483.000034722223</v>
      </c>
      <c r="C447">
        <v>80</v>
      </c>
      <c r="D447">
        <v>79.920028686999999</v>
      </c>
      <c r="E447">
        <v>50</v>
      </c>
      <c r="F447">
        <v>16.822263717999999</v>
      </c>
      <c r="G447">
        <v>1353.6743164</v>
      </c>
      <c r="H447">
        <v>1342.0151367000001</v>
      </c>
      <c r="I447">
        <v>1317.6485596</v>
      </c>
      <c r="J447">
        <v>1279.8048096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184.00012100000001</v>
      </c>
      <c r="B448" s="1">
        <f>DATE(2010,11,1) + TIME(0,0,10)</f>
        <v>40483.000115740739</v>
      </c>
      <c r="C448">
        <v>80</v>
      </c>
      <c r="D448">
        <v>79.918975829999994</v>
      </c>
      <c r="E448">
        <v>50</v>
      </c>
      <c r="F448">
        <v>16.827335357999999</v>
      </c>
      <c r="G448">
        <v>1346.4350586</v>
      </c>
      <c r="H448">
        <v>1334.7879639</v>
      </c>
      <c r="I448">
        <v>1336.9439697</v>
      </c>
      <c r="J448">
        <v>1299.1254882999999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184.00036399999999</v>
      </c>
      <c r="B449" s="1">
        <f>DATE(2010,11,1) + TIME(0,0,31)</f>
        <v>40483.000358796293</v>
      </c>
      <c r="C449">
        <v>80</v>
      </c>
      <c r="D449">
        <v>79.917854309000006</v>
      </c>
      <c r="E449">
        <v>50</v>
      </c>
      <c r="F449">
        <v>16.838790893999999</v>
      </c>
      <c r="G449">
        <v>1339.1514893000001</v>
      </c>
      <c r="H449">
        <v>1327.5189209</v>
      </c>
      <c r="I449">
        <v>1358.7048339999999</v>
      </c>
      <c r="J449">
        <v>1320.8447266000001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184.001093</v>
      </c>
      <c r="B450" s="1">
        <f>DATE(2010,11,1) + TIME(0,1,34)</f>
        <v>40483.001087962963</v>
      </c>
      <c r="C450">
        <v>80</v>
      </c>
      <c r="D450">
        <v>79.916549683</v>
      </c>
      <c r="E450">
        <v>50</v>
      </c>
      <c r="F450">
        <v>16.868661880000001</v>
      </c>
      <c r="G450">
        <v>1331.7702637</v>
      </c>
      <c r="H450">
        <v>1320.1381836</v>
      </c>
      <c r="I450">
        <v>1380.5568848</v>
      </c>
      <c r="J450">
        <v>1342.6552733999999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184.00327999999999</v>
      </c>
      <c r="B451" s="1">
        <f>DATE(2010,11,1) + TIME(0,4,43)</f>
        <v>40483.003275462965</v>
      </c>
      <c r="C451">
        <v>80</v>
      </c>
      <c r="D451">
        <v>79.914619446000003</v>
      </c>
      <c r="E451">
        <v>50</v>
      </c>
      <c r="F451">
        <v>16.953691483</v>
      </c>
      <c r="G451">
        <v>1323.7349853999999</v>
      </c>
      <c r="H451">
        <v>1312.0480957</v>
      </c>
      <c r="I451">
        <v>1401.8242187999999</v>
      </c>
      <c r="J451">
        <v>1363.9020995999999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184.00984099999999</v>
      </c>
      <c r="B452" s="1">
        <f>DATE(2010,11,1) + TIME(0,14,10)</f>
        <v>40483.009837962964</v>
      </c>
      <c r="C452">
        <v>80</v>
      </c>
      <c r="D452">
        <v>79.910957335999996</v>
      </c>
      <c r="E452">
        <v>50</v>
      </c>
      <c r="F452">
        <v>17.203126907000001</v>
      </c>
      <c r="G452">
        <v>1314.6998291</v>
      </c>
      <c r="H452">
        <v>1302.9128418</v>
      </c>
      <c r="I452">
        <v>1420.6943358999999</v>
      </c>
      <c r="J452">
        <v>1382.8880615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184.02952400000001</v>
      </c>
      <c r="B453" s="1">
        <f>DATE(2010,11,1) + TIME(0,42,30)</f>
        <v>40483.029513888891</v>
      </c>
      <c r="C453">
        <v>80</v>
      </c>
      <c r="D453">
        <v>79.902740479000002</v>
      </c>
      <c r="E453">
        <v>50</v>
      </c>
      <c r="F453">
        <v>17.932880401999999</v>
      </c>
      <c r="G453">
        <v>1306.4376221</v>
      </c>
      <c r="H453">
        <v>1294.5650635</v>
      </c>
      <c r="I453">
        <v>1433.2393798999999</v>
      </c>
      <c r="J453">
        <v>1396.0281981999999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184.05606399999999</v>
      </c>
      <c r="B454" s="1">
        <f>DATE(2010,11,1) + TIME(1,20,43)</f>
        <v>40483.05605324074</v>
      </c>
      <c r="C454">
        <v>80</v>
      </c>
      <c r="D454">
        <v>79.892829895000006</v>
      </c>
      <c r="E454">
        <v>50</v>
      </c>
      <c r="F454">
        <v>18.888767242</v>
      </c>
      <c r="G454">
        <v>1302.7591553</v>
      </c>
      <c r="H454">
        <v>1290.8532714999999</v>
      </c>
      <c r="I454">
        <v>1436.7490233999999</v>
      </c>
      <c r="J454">
        <v>1400.3760986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184.08340000000001</v>
      </c>
      <c r="B455" s="1">
        <f>DATE(2010,11,1) + TIME(2,0,5)</f>
        <v>40483.083391203705</v>
      </c>
      <c r="C455">
        <v>80</v>
      </c>
      <c r="D455">
        <v>79.883026122999993</v>
      </c>
      <c r="E455">
        <v>50</v>
      </c>
      <c r="F455">
        <v>19.844892502</v>
      </c>
      <c r="G455">
        <v>1301.3359375</v>
      </c>
      <c r="H455">
        <v>1289.4180908000001</v>
      </c>
      <c r="I455">
        <v>1436.9506836</v>
      </c>
      <c r="J455">
        <v>1401.4060059000001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184.11153999999999</v>
      </c>
      <c r="B456" s="1">
        <f>DATE(2010,11,1) + TIME(2,40,37)</f>
        <v>40483.111539351848</v>
      </c>
      <c r="C456">
        <v>80</v>
      </c>
      <c r="D456">
        <v>79.873161315999994</v>
      </c>
      <c r="E456">
        <v>50</v>
      </c>
      <c r="F456">
        <v>20.800582886000001</v>
      </c>
      <c r="G456">
        <v>1300.7456055</v>
      </c>
      <c r="H456">
        <v>1288.8226318</v>
      </c>
      <c r="I456">
        <v>1436.1636963000001</v>
      </c>
      <c r="J456">
        <v>1401.4230957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184.14053000000001</v>
      </c>
      <c r="B457" s="1">
        <f>DATE(2010,11,1) + TIME(3,22,21)</f>
        <v>40483.140520833331</v>
      </c>
      <c r="C457">
        <v>80</v>
      </c>
      <c r="D457">
        <v>79.863143921000002</v>
      </c>
      <c r="E457">
        <v>50</v>
      </c>
      <c r="F457">
        <v>21.754930496</v>
      </c>
      <c r="G457">
        <v>1300.4880370999999</v>
      </c>
      <c r="H457">
        <v>1288.5627440999999</v>
      </c>
      <c r="I457">
        <v>1435.0894774999999</v>
      </c>
      <c r="J457">
        <v>1401.1242675999999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184.17040299999999</v>
      </c>
      <c r="B458" s="1">
        <f>DATE(2010,11,1) + TIME(4,5,22)</f>
        <v>40483.170393518521</v>
      </c>
      <c r="C458">
        <v>80</v>
      </c>
      <c r="D458">
        <v>79.852943420000003</v>
      </c>
      <c r="E458">
        <v>50</v>
      </c>
      <c r="F458">
        <v>22.707042693999998</v>
      </c>
      <c r="G458">
        <v>1300.3706055</v>
      </c>
      <c r="H458">
        <v>1288.4438477000001</v>
      </c>
      <c r="I458">
        <v>1433.9582519999999</v>
      </c>
      <c r="J458">
        <v>1400.7382812000001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184.20121599999999</v>
      </c>
      <c r="B459" s="1">
        <f>DATE(2010,11,1) + TIME(4,49,45)</f>
        <v>40483.201215277775</v>
      </c>
      <c r="C459">
        <v>80</v>
      </c>
      <c r="D459">
        <v>79.842536925999994</v>
      </c>
      <c r="E459">
        <v>50</v>
      </c>
      <c r="F459">
        <v>23.656749725000001</v>
      </c>
      <c r="G459">
        <v>1300.3146973</v>
      </c>
      <c r="H459">
        <v>1288.3868408000001</v>
      </c>
      <c r="I459">
        <v>1432.8443603999999</v>
      </c>
      <c r="J459">
        <v>1400.3402100000001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184.23304899999999</v>
      </c>
      <c r="B460" s="1">
        <f>DATE(2010,11,1) + TIME(5,35,35)</f>
        <v>40483.233043981483</v>
      </c>
      <c r="C460">
        <v>80</v>
      </c>
      <c r="D460">
        <v>79.831909179999997</v>
      </c>
      <c r="E460">
        <v>50</v>
      </c>
      <c r="F460">
        <v>24.604349136</v>
      </c>
      <c r="G460">
        <v>1300.2871094</v>
      </c>
      <c r="H460">
        <v>1288.3583983999999</v>
      </c>
      <c r="I460">
        <v>1431.7683105000001</v>
      </c>
      <c r="J460">
        <v>1399.9520264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184.265975</v>
      </c>
      <c r="B461" s="1">
        <f>DATE(2010,11,1) + TIME(6,23,0)</f>
        <v>40483.265972222223</v>
      </c>
      <c r="C461">
        <v>80</v>
      </c>
      <c r="D461">
        <v>79.821037292</v>
      </c>
      <c r="E461">
        <v>50</v>
      </c>
      <c r="F461">
        <v>25.550149917999999</v>
      </c>
      <c r="G461">
        <v>1300.2731934000001</v>
      </c>
      <c r="H461">
        <v>1288.3436279</v>
      </c>
      <c r="I461">
        <v>1430.7336425999999</v>
      </c>
      <c r="J461">
        <v>1399.5786132999999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184.30007800000001</v>
      </c>
      <c r="B462" s="1">
        <f>DATE(2010,11,1) + TIME(7,12,6)</f>
        <v>40483.300069444442</v>
      </c>
      <c r="C462">
        <v>80</v>
      </c>
      <c r="D462">
        <v>79.809890746999997</v>
      </c>
      <c r="E462">
        <v>50</v>
      </c>
      <c r="F462">
        <v>26.49398613</v>
      </c>
      <c r="G462">
        <v>1300.2661132999999</v>
      </c>
      <c r="H462">
        <v>1288.3354492000001</v>
      </c>
      <c r="I462">
        <v>1429.7386475000001</v>
      </c>
      <c r="J462">
        <v>1399.2194824000001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184.33544800000001</v>
      </c>
      <c r="B463" s="1">
        <f>DATE(2010,11,1) + TIME(8,3,2)</f>
        <v>40483.335439814815</v>
      </c>
      <c r="C463">
        <v>80</v>
      </c>
      <c r="D463">
        <v>79.798461914000001</v>
      </c>
      <c r="E463">
        <v>50</v>
      </c>
      <c r="F463">
        <v>27.435441970999999</v>
      </c>
      <c r="G463">
        <v>1300.2623291</v>
      </c>
      <c r="H463">
        <v>1288.3306885</v>
      </c>
      <c r="I463">
        <v>1428.7806396000001</v>
      </c>
      <c r="J463">
        <v>1398.8729248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184.37216599999999</v>
      </c>
      <c r="B464" s="1">
        <f>DATE(2010,11,1) + TIME(8,55,55)</f>
        <v>40483.372164351851</v>
      </c>
      <c r="C464">
        <v>80</v>
      </c>
      <c r="D464">
        <v>79.786727905000006</v>
      </c>
      <c r="E464">
        <v>50</v>
      </c>
      <c r="F464">
        <v>28.373880386</v>
      </c>
      <c r="G464">
        <v>1300.2602539</v>
      </c>
      <c r="H464">
        <v>1288.3276367000001</v>
      </c>
      <c r="I464">
        <v>1427.8575439000001</v>
      </c>
      <c r="J464">
        <v>1398.5379639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184.41036800000001</v>
      </c>
      <c r="B465" s="1">
        <f>DATE(2010,11,1) + TIME(9,50,55)</f>
        <v>40483.410358796296</v>
      </c>
      <c r="C465">
        <v>80</v>
      </c>
      <c r="D465">
        <v>79.774658203000001</v>
      </c>
      <c r="E465">
        <v>50</v>
      </c>
      <c r="F465">
        <v>29.309715271000002</v>
      </c>
      <c r="G465">
        <v>1300.2591553</v>
      </c>
      <c r="H465">
        <v>1288.3253173999999</v>
      </c>
      <c r="I465">
        <v>1426.9664307</v>
      </c>
      <c r="J465">
        <v>1398.2128906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184.450185</v>
      </c>
      <c r="B466" s="1">
        <f>DATE(2010,11,1) + TIME(10,48,15)</f>
        <v>40483.450173611112</v>
      </c>
      <c r="C466">
        <v>80</v>
      </c>
      <c r="D466">
        <v>79.762222289999997</v>
      </c>
      <c r="E466">
        <v>50</v>
      </c>
      <c r="F466">
        <v>30.242839813</v>
      </c>
      <c r="G466">
        <v>1300.2583007999999</v>
      </c>
      <c r="H466">
        <v>1288.3233643000001</v>
      </c>
      <c r="I466">
        <v>1426.1052245999999</v>
      </c>
      <c r="J466">
        <v>1397.8967285000001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184.491761</v>
      </c>
      <c r="B467" s="1">
        <f>DATE(2010,11,1) + TIME(11,48,8)</f>
        <v>40483.491759259261</v>
      </c>
      <c r="C467">
        <v>80</v>
      </c>
      <c r="D467">
        <v>79.749389648000005</v>
      </c>
      <c r="E467">
        <v>50</v>
      </c>
      <c r="F467">
        <v>31.173175812</v>
      </c>
      <c r="G467">
        <v>1300.2576904</v>
      </c>
      <c r="H467">
        <v>1288.3214111</v>
      </c>
      <c r="I467">
        <v>1425.2719727000001</v>
      </c>
      <c r="J467">
        <v>1397.5883789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184.53526600000001</v>
      </c>
      <c r="B468" s="1">
        <f>DATE(2010,11,1) + TIME(12,50,46)</f>
        <v>40483.535254629627</v>
      </c>
      <c r="C468">
        <v>80</v>
      </c>
      <c r="D468">
        <v>79.736122131000002</v>
      </c>
      <c r="E468">
        <v>50</v>
      </c>
      <c r="F468">
        <v>32.100349426000001</v>
      </c>
      <c r="G468">
        <v>1300.2570800999999</v>
      </c>
      <c r="H468">
        <v>1288.3194579999999</v>
      </c>
      <c r="I468">
        <v>1424.4650879000001</v>
      </c>
      <c r="J468">
        <v>1397.2871094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184.58087900000001</v>
      </c>
      <c r="B469" s="1">
        <f>DATE(2010,11,1) + TIME(13,56,27)</f>
        <v>40483.580868055556</v>
      </c>
      <c r="C469">
        <v>80</v>
      </c>
      <c r="D469">
        <v>79.722381592000005</v>
      </c>
      <c r="E469">
        <v>50</v>
      </c>
      <c r="F469">
        <v>33.023921967</v>
      </c>
      <c r="G469">
        <v>1300.2563477000001</v>
      </c>
      <c r="H469">
        <v>1288.3173827999999</v>
      </c>
      <c r="I469">
        <v>1423.6829834</v>
      </c>
      <c r="J469">
        <v>1396.9920654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184.628827</v>
      </c>
      <c r="B470" s="1">
        <f>DATE(2010,11,1) + TIME(15,5,30)</f>
        <v>40483.628819444442</v>
      </c>
      <c r="C470">
        <v>80</v>
      </c>
      <c r="D470">
        <v>79.708114624000004</v>
      </c>
      <c r="E470">
        <v>50</v>
      </c>
      <c r="F470">
        <v>33.943737030000001</v>
      </c>
      <c r="G470">
        <v>1300.2556152</v>
      </c>
      <c r="H470">
        <v>1288.3151855000001</v>
      </c>
      <c r="I470">
        <v>1422.9240723</v>
      </c>
      <c r="J470">
        <v>1396.7025146000001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184.67936499999999</v>
      </c>
      <c r="B471" s="1">
        <f>DATE(2010,11,1) + TIME(16,18,17)</f>
        <v>40483.679363425923</v>
      </c>
      <c r="C471">
        <v>80</v>
      </c>
      <c r="D471">
        <v>79.693267821999996</v>
      </c>
      <c r="E471">
        <v>50</v>
      </c>
      <c r="F471">
        <v>34.859470367</v>
      </c>
      <c r="G471">
        <v>1300.2546387</v>
      </c>
      <c r="H471">
        <v>1288.3127440999999</v>
      </c>
      <c r="I471">
        <v>1422.1870117000001</v>
      </c>
      <c r="J471">
        <v>1396.4177245999999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184.732777</v>
      </c>
      <c r="B472" s="1">
        <f>DATE(2010,11,1) + TIME(17,35,11)</f>
        <v>40483.732766203706</v>
      </c>
      <c r="C472">
        <v>80</v>
      </c>
      <c r="D472">
        <v>79.677780150999993</v>
      </c>
      <c r="E472">
        <v>50</v>
      </c>
      <c r="F472">
        <v>35.770507811999998</v>
      </c>
      <c r="G472">
        <v>1300.2536620999999</v>
      </c>
      <c r="H472">
        <v>1288.3100586</v>
      </c>
      <c r="I472">
        <v>1421.4703368999999</v>
      </c>
      <c r="J472">
        <v>1396.1367187999999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184.78938600000001</v>
      </c>
      <c r="B473" s="1">
        <f>DATE(2010,11,1) + TIME(18,56,42)</f>
        <v>40483.789375</v>
      </c>
      <c r="C473">
        <v>80</v>
      </c>
      <c r="D473">
        <v>79.661590575999995</v>
      </c>
      <c r="E473">
        <v>50</v>
      </c>
      <c r="F473">
        <v>36.676036834999998</v>
      </c>
      <c r="G473">
        <v>1300.2524414</v>
      </c>
      <c r="H473">
        <v>1288.307251</v>
      </c>
      <c r="I473">
        <v>1420.7729492000001</v>
      </c>
      <c r="J473">
        <v>1395.8591309000001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184.84960000000001</v>
      </c>
      <c r="B474" s="1">
        <f>DATE(2010,11,1) + TIME(20,23,25)</f>
        <v>40483.849594907406</v>
      </c>
      <c r="C474">
        <v>80</v>
      </c>
      <c r="D474">
        <v>79.644599915000001</v>
      </c>
      <c r="E474">
        <v>50</v>
      </c>
      <c r="F474">
        <v>37.575519561999997</v>
      </c>
      <c r="G474">
        <v>1300.2512207</v>
      </c>
      <c r="H474">
        <v>1288.3041992000001</v>
      </c>
      <c r="I474">
        <v>1420.0935059000001</v>
      </c>
      <c r="J474">
        <v>1395.5838623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184.913905</v>
      </c>
      <c r="B475" s="1">
        <f>DATE(2010,11,1) + TIME(21,56,1)</f>
        <v>40483.913900462961</v>
      </c>
      <c r="C475">
        <v>80</v>
      </c>
      <c r="D475">
        <v>79.626724242999998</v>
      </c>
      <c r="E475">
        <v>50</v>
      </c>
      <c r="F475">
        <v>38.468330383000001</v>
      </c>
      <c r="G475">
        <v>1300.2496338000001</v>
      </c>
      <c r="H475">
        <v>1288.3009033000001</v>
      </c>
      <c r="I475">
        <v>1419.4306641000001</v>
      </c>
      <c r="J475">
        <v>1395.3100586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184.98289299999999</v>
      </c>
      <c r="B476" s="1">
        <f>DATE(2010,11,1) + TIME(23,35,21)</f>
        <v>40483.982881944445</v>
      </c>
      <c r="C476">
        <v>80</v>
      </c>
      <c r="D476">
        <v>79.607818604000002</v>
      </c>
      <c r="E476">
        <v>50</v>
      </c>
      <c r="F476">
        <v>39.353740692000002</v>
      </c>
      <c r="G476">
        <v>1300.2480469</v>
      </c>
      <c r="H476">
        <v>1288.2973632999999</v>
      </c>
      <c r="I476">
        <v>1418.7827147999999</v>
      </c>
      <c r="J476">
        <v>1395.0367432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185.057287</v>
      </c>
      <c r="B477" s="1">
        <f>DATE(2010,11,2) + TIME(1,22,29)</f>
        <v>40484.057280092595</v>
      </c>
      <c r="C477">
        <v>80</v>
      </c>
      <c r="D477">
        <v>79.587753296000002</v>
      </c>
      <c r="E477">
        <v>50</v>
      </c>
      <c r="F477">
        <v>40.230922698999997</v>
      </c>
      <c r="G477">
        <v>1300.2462158000001</v>
      </c>
      <c r="H477">
        <v>1288.293457</v>
      </c>
      <c r="I477">
        <v>1418.1483154</v>
      </c>
      <c r="J477">
        <v>1394.7628173999999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185.13798700000001</v>
      </c>
      <c r="B478" s="1">
        <f>DATE(2010,11,2) + TIME(3,18,42)</f>
        <v>40484.137986111113</v>
      </c>
      <c r="C478">
        <v>80</v>
      </c>
      <c r="D478">
        <v>79.566337584999999</v>
      </c>
      <c r="E478">
        <v>50</v>
      </c>
      <c r="F478">
        <v>41.098941803000002</v>
      </c>
      <c r="G478">
        <v>1300.2441406</v>
      </c>
      <c r="H478">
        <v>1288.2893065999999</v>
      </c>
      <c r="I478">
        <v>1417.526001</v>
      </c>
      <c r="J478">
        <v>1394.4869385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185.22612799999999</v>
      </c>
      <c r="B479" s="1">
        <f>DATE(2010,11,2) + TIME(5,25,37)</f>
        <v>40484.226122685184</v>
      </c>
      <c r="C479">
        <v>80</v>
      </c>
      <c r="D479">
        <v>79.543342589999995</v>
      </c>
      <c r="E479">
        <v>50</v>
      </c>
      <c r="F479">
        <v>41.956356049</v>
      </c>
      <c r="G479">
        <v>1300.2418213000001</v>
      </c>
      <c r="H479">
        <v>1288.2847899999999</v>
      </c>
      <c r="I479">
        <v>1416.9139404</v>
      </c>
      <c r="J479">
        <v>1394.2078856999999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185.32315</v>
      </c>
      <c r="B480" s="1">
        <f>DATE(2010,11,2) + TIME(7,45,20)</f>
        <v>40484.323148148149</v>
      </c>
      <c r="C480">
        <v>80</v>
      </c>
      <c r="D480">
        <v>79.518493652000004</v>
      </c>
      <c r="E480">
        <v>50</v>
      </c>
      <c r="F480">
        <v>42.801448821999998</v>
      </c>
      <c r="G480">
        <v>1300.2391356999999</v>
      </c>
      <c r="H480">
        <v>1288.2797852000001</v>
      </c>
      <c r="I480">
        <v>1416.3105469</v>
      </c>
      <c r="J480">
        <v>1393.9240723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185.43098499999999</v>
      </c>
      <c r="B481" s="1">
        <f>DATE(2010,11,2) + TIME(10,20,37)</f>
        <v>40484.430983796294</v>
      </c>
      <c r="C481">
        <v>80</v>
      </c>
      <c r="D481">
        <v>79.491409301999994</v>
      </c>
      <c r="E481">
        <v>50</v>
      </c>
      <c r="F481">
        <v>43.632446289000001</v>
      </c>
      <c r="G481">
        <v>1300.2360839999999</v>
      </c>
      <c r="H481">
        <v>1288.2744141000001</v>
      </c>
      <c r="I481">
        <v>1415.7138672000001</v>
      </c>
      <c r="J481">
        <v>1393.6334228999999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185.54642999999999</v>
      </c>
      <c r="B482" s="1">
        <f>DATE(2010,11,2) + TIME(13,6,51)</f>
        <v>40484.546423611115</v>
      </c>
      <c r="C482">
        <v>80</v>
      </c>
      <c r="D482">
        <v>79.462852478000002</v>
      </c>
      <c r="E482">
        <v>50</v>
      </c>
      <c r="F482">
        <v>44.412879943999997</v>
      </c>
      <c r="G482">
        <v>1300.2325439000001</v>
      </c>
      <c r="H482">
        <v>1288.2684326000001</v>
      </c>
      <c r="I482">
        <v>1415.1422118999999</v>
      </c>
      <c r="J482">
        <v>1393.3410644999999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185.66241400000001</v>
      </c>
      <c r="B483" s="1">
        <f>DATE(2010,11,2) + TIME(15,53,52)</f>
        <v>40484.662407407406</v>
      </c>
      <c r="C483">
        <v>80</v>
      </c>
      <c r="D483">
        <v>79.434371948000006</v>
      </c>
      <c r="E483">
        <v>50</v>
      </c>
      <c r="F483">
        <v>45.100101471000002</v>
      </c>
      <c r="G483">
        <v>1300.2285156</v>
      </c>
      <c r="H483">
        <v>1288.2620850000001</v>
      </c>
      <c r="I483">
        <v>1414.6212158000001</v>
      </c>
      <c r="J483">
        <v>1393.0593262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185.77992399999999</v>
      </c>
      <c r="B484" s="1">
        <f>DATE(2010,11,2) + TIME(18,43,5)</f>
        <v>40484.779918981483</v>
      </c>
      <c r="C484">
        <v>80</v>
      </c>
      <c r="D484">
        <v>79.405754088999998</v>
      </c>
      <c r="E484">
        <v>50</v>
      </c>
      <c r="F484">
        <v>45.709117888999998</v>
      </c>
      <c r="G484">
        <v>1300.2243652</v>
      </c>
      <c r="H484">
        <v>1288.2556152</v>
      </c>
      <c r="I484">
        <v>1414.1468506000001</v>
      </c>
      <c r="J484">
        <v>1392.7932129000001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185.89950300000001</v>
      </c>
      <c r="B485" s="1">
        <f>DATE(2010,11,2) + TIME(21,35,17)</f>
        <v>40484.899502314816</v>
      </c>
      <c r="C485">
        <v>80</v>
      </c>
      <c r="D485">
        <v>79.376869201999995</v>
      </c>
      <c r="E485">
        <v>50</v>
      </c>
      <c r="F485">
        <v>46.249824523999997</v>
      </c>
      <c r="G485">
        <v>1300.2199707</v>
      </c>
      <c r="H485">
        <v>1288.2491454999999</v>
      </c>
      <c r="I485">
        <v>1413.7111815999999</v>
      </c>
      <c r="J485">
        <v>1392.5395507999999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186.02168699999999</v>
      </c>
      <c r="B486" s="1">
        <f>DATE(2010,11,3) + TIME(0,31,13)</f>
        <v>40485.021678240744</v>
      </c>
      <c r="C486">
        <v>80</v>
      </c>
      <c r="D486">
        <v>79.347602843999994</v>
      </c>
      <c r="E486">
        <v>50</v>
      </c>
      <c r="F486">
        <v>46.730381012000002</v>
      </c>
      <c r="G486">
        <v>1300.2154541</v>
      </c>
      <c r="H486">
        <v>1288.2424315999999</v>
      </c>
      <c r="I486">
        <v>1413.3079834</v>
      </c>
      <c r="J486">
        <v>1392.2958983999999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186.14702399999999</v>
      </c>
      <c r="B487" s="1">
        <f>DATE(2010,11,3) + TIME(3,31,42)</f>
        <v>40485.147013888891</v>
      </c>
      <c r="C487">
        <v>80</v>
      </c>
      <c r="D487">
        <v>79.317840575999995</v>
      </c>
      <c r="E487">
        <v>50</v>
      </c>
      <c r="F487">
        <v>47.157611846999998</v>
      </c>
      <c r="G487">
        <v>1300.2106934000001</v>
      </c>
      <c r="H487">
        <v>1288.2357178</v>
      </c>
      <c r="I487">
        <v>1412.9323730000001</v>
      </c>
      <c r="J487">
        <v>1392.0606689000001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186.27607</v>
      </c>
      <c r="B488" s="1">
        <f>DATE(2010,11,3) + TIME(6,37,32)</f>
        <v>40485.276064814818</v>
      </c>
      <c r="C488">
        <v>80</v>
      </c>
      <c r="D488">
        <v>79.287467957000004</v>
      </c>
      <c r="E488">
        <v>50</v>
      </c>
      <c r="F488">
        <v>47.537258147999999</v>
      </c>
      <c r="G488">
        <v>1300.2056885</v>
      </c>
      <c r="H488">
        <v>1288.2286377</v>
      </c>
      <c r="I488">
        <v>1412.5804443</v>
      </c>
      <c r="J488">
        <v>1391.8323975000001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186.409446</v>
      </c>
      <c r="B489" s="1">
        <f>DATE(2010,11,3) + TIME(9,49,36)</f>
        <v>40485.409444444442</v>
      </c>
      <c r="C489">
        <v>80</v>
      </c>
      <c r="D489">
        <v>79.256355286000002</v>
      </c>
      <c r="E489">
        <v>50</v>
      </c>
      <c r="F489">
        <v>47.874313354000002</v>
      </c>
      <c r="G489">
        <v>1300.2004394999999</v>
      </c>
      <c r="H489">
        <v>1288.2214355000001</v>
      </c>
      <c r="I489">
        <v>1412.2485352000001</v>
      </c>
      <c r="J489">
        <v>1391.6094971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186.54749899999999</v>
      </c>
      <c r="B490" s="1">
        <f>DATE(2010,11,3) + TIME(13,8,23)</f>
        <v>40485.547488425924</v>
      </c>
      <c r="C490">
        <v>80</v>
      </c>
      <c r="D490">
        <v>79.224433899000005</v>
      </c>
      <c r="E490">
        <v>50</v>
      </c>
      <c r="F490">
        <v>48.172481537000003</v>
      </c>
      <c r="G490">
        <v>1300.1949463000001</v>
      </c>
      <c r="H490">
        <v>1288.2139893000001</v>
      </c>
      <c r="I490">
        <v>1411.934082</v>
      </c>
      <c r="J490">
        <v>1391.3911132999999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186.69082499999999</v>
      </c>
      <c r="B491" s="1">
        <f>DATE(2010,11,3) + TIME(16,34,47)</f>
        <v>40485.690821759257</v>
      </c>
      <c r="C491">
        <v>80</v>
      </c>
      <c r="D491">
        <v>79.191589355000005</v>
      </c>
      <c r="E491">
        <v>50</v>
      </c>
      <c r="F491">
        <v>48.435562134000001</v>
      </c>
      <c r="G491">
        <v>1300.1890868999999</v>
      </c>
      <c r="H491">
        <v>1288.2062988</v>
      </c>
      <c r="I491">
        <v>1411.6350098</v>
      </c>
      <c r="J491">
        <v>1391.1765137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186.840205</v>
      </c>
      <c r="B492" s="1">
        <f>DATE(2010,11,3) + TIME(20,9,53)</f>
        <v>40485.840196759258</v>
      </c>
      <c r="C492">
        <v>80</v>
      </c>
      <c r="D492">
        <v>79.157676696999999</v>
      </c>
      <c r="E492">
        <v>50</v>
      </c>
      <c r="F492">
        <v>48.667106627999999</v>
      </c>
      <c r="G492">
        <v>1300.1828613</v>
      </c>
      <c r="H492">
        <v>1288.1982422000001</v>
      </c>
      <c r="I492">
        <v>1411.3488769999999</v>
      </c>
      <c r="J492">
        <v>1390.9645995999999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186.99651700000001</v>
      </c>
      <c r="B493" s="1">
        <f>DATE(2010,11,3) + TIME(23,54,59)</f>
        <v>40485.996516203704</v>
      </c>
      <c r="C493">
        <v>80</v>
      </c>
      <c r="D493">
        <v>79.122520446999999</v>
      </c>
      <c r="E493">
        <v>50</v>
      </c>
      <c r="F493">
        <v>48.870250702</v>
      </c>
      <c r="G493">
        <v>1300.1763916</v>
      </c>
      <c r="H493">
        <v>1288.1898193</v>
      </c>
      <c r="I493">
        <v>1411.0734863</v>
      </c>
      <c r="J493">
        <v>1390.7547606999999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187.16077999999999</v>
      </c>
      <c r="B494" s="1">
        <f>DATE(2010,11,4) + TIME(3,51,31)</f>
        <v>40486.160775462966</v>
      </c>
      <c r="C494">
        <v>80</v>
      </c>
      <c r="D494">
        <v>79.0859375</v>
      </c>
      <c r="E494">
        <v>50</v>
      </c>
      <c r="F494">
        <v>49.047786713000001</v>
      </c>
      <c r="G494">
        <v>1300.1695557</v>
      </c>
      <c r="H494">
        <v>1288.1810303</v>
      </c>
      <c r="I494">
        <v>1410.807251</v>
      </c>
      <c r="J494">
        <v>1390.5457764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187.33418499999999</v>
      </c>
      <c r="B495" s="1">
        <f>DATE(2010,11,4) + TIME(8,1,13)</f>
        <v>40486.334178240744</v>
      </c>
      <c r="C495">
        <v>80</v>
      </c>
      <c r="D495">
        <v>79.047714232999994</v>
      </c>
      <c r="E495">
        <v>50</v>
      </c>
      <c r="F495">
        <v>49.202220916999998</v>
      </c>
      <c r="G495">
        <v>1300.1622314000001</v>
      </c>
      <c r="H495">
        <v>1288.1717529</v>
      </c>
      <c r="I495">
        <v>1410.5479736</v>
      </c>
      <c r="J495">
        <v>1390.3369141000001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187.518148</v>
      </c>
      <c r="B496" s="1">
        <f>DATE(2010,11,4) + TIME(12,26,7)</f>
        <v>40486.518136574072</v>
      </c>
      <c r="C496">
        <v>80</v>
      </c>
      <c r="D496">
        <v>79.007598877000007</v>
      </c>
      <c r="E496">
        <v>50</v>
      </c>
      <c r="F496">
        <v>49.335830688000001</v>
      </c>
      <c r="G496">
        <v>1300.1542969</v>
      </c>
      <c r="H496">
        <v>1288.1618652</v>
      </c>
      <c r="I496">
        <v>1410.2940673999999</v>
      </c>
      <c r="J496">
        <v>1390.1270752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187.71437399999999</v>
      </c>
      <c r="B497" s="1">
        <f>DATE(2010,11,4) + TIME(17,8,41)</f>
        <v>40486.714363425926</v>
      </c>
      <c r="C497">
        <v>80</v>
      </c>
      <c r="D497">
        <v>78.965286254999995</v>
      </c>
      <c r="E497">
        <v>50</v>
      </c>
      <c r="F497">
        <v>49.450672150000003</v>
      </c>
      <c r="G497">
        <v>1300.1459961</v>
      </c>
      <c r="H497">
        <v>1288.1514893000001</v>
      </c>
      <c r="I497">
        <v>1410.0439452999999</v>
      </c>
      <c r="J497">
        <v>1389.9154053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187.924137</v>
      </c>
      <c r="B498" s="1">
        <f>DATE(2010,11,4) + TIME(22,10,45)</f>
        <v>40486.924131944441</v>
      </c>
      <c r="C498">
        <v>80</v>
      </c>
      <c r="D498">
        <v>78.920555114999999</v>
      </c>
      <c r="E498">
        <v>50</v>
      </c>
      <c r="F498">
        <v>49.548336028999998</v>
      </c>
      <c r="G498">
        <v>1300.1369629000001</v>
      </c>
      <c r="H498">
        <v>1288.1403809000001</v>
      </c>
      <c r="I498">
        <v>1409.7960204999999</v>
      </c>
      <c r="J498">
        <v>1389.7009277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188.14668599999999</v>
      </c>
      <c r="B499" s="1">
        <f>DATE(2010,11,5) + TIME(3,31,13)</f>
        <v>40487.146678240744</v>
      </c>
      <c r="C499">
        <v>80</v>
      </c>
      <c r="D499">
        <v>78.873535156000003</v>
      </c>
      <c r="E499">
        <v>50</v>
      </c>
      <c r="F499">
        <v>49.629806518999999</v>
      </c>
      <c r="G499">
        <v>1300.1271973</v>
      </c>
      <c r="H499">
        <v>1288.128418</v>
      </c>
      <c r="I499">
        <v>1409.5495605000001</v>
      </c>
      <c r="J499">
        <v>1389.4832764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188.38422800000001</v>
      </c>
      <c r="B500" s="1">
        <f>DATE(2010,11,5) + TIME(9,13,17)</f>
        <v>40487.38422453704</v>
      </c>
      <c r="C500">
        <v>80</v>
      </c>
      <c r="D500">
        <v>78.823860167999996</v>
      </c>
      <c r="E500">
        <v>50</v>
      </c>
      <c r="F500">
        <v>49.697265625</v>
      </c>
      <c r="G500">
        <v>1300.1168213000001</v>
      </c>
      <c r="H500">
        <v>1288.1157227000001</v>
      </c>
      <c r="I500">
        <v>1409.3056641000001</v>
      </c>
      <c r="J500">
        <v>1389.2640381000001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188.63046600000001</v>
      </c>
      <c r="B501" s="1">
        <f>DATE(2010,11,5) + TIME(15,7,52)</f>
        <v>40487.630462962959</v>
      </c>
      <c r="C501">
        <v>80</v>
      </c>
      <c r="D501">
        <v>78.772537231000001</v>
      </c>
      <c r="E501">
        <v>50</v>
      </c>
      <c r="F501">
        <v>49.751121521000002</v>
      </c>
      <c r="G501">
        <v>1300.1055908000001</v>
      </c>
      <c r="H501">
        <v>1288.1022949000001</v>
      </c>
      <c r="I501">
        <v>1409.0629882999999</v>
      </c>
      <c r="J501">
        <v>1389.0422363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188.87856500000001</v>
      </c>
      <c r="B502" s="1">
        <f>DATE(2010,11,5) + TIME(21,5,8)</f>
        <v>40487.878564814811</v>
      </c>
      <c r="C502">
        <v>80</v>
      </c>
      <c r="D502">
        <v>78.720703125</v>
      </c>
      <c r="E502">
        <v>50</v>
      </c>
      <c r="F502">
        <v>49.792900084999999</v>
      </c>
      <c r="G502">
        <v>1300.09375</v>
      </c>
      <c r="H502">
        <v>1288.0882568</v>
      </c>
      <c r="I502">
        <v>1408.8276367000001</v>
      </c>
      <c r="J502">
        <v>1388.8240966999999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189.12895</v>
      </c>
      <c r="B503" s="1">
        <f>DATE(2010,11,6) + TIME(3,5,41)</f>
        <v>40488.128946759258</v>
      </c>
      <c r="C503">
        <v>80</v>
      </c>
      <c r="D503">
        <v>78.668395996000001</v>
      </c>
      <c r="E503">
        <v>50</v>
      </c>
      <c r="F503">
        <v>49.825332641999999</v>
      </c>
      <c r="G503">
        <v>1300.0819091999999</v>
      </c>
      <c r="H503">
        <v>1288.0739745999999</v>
      </c>
      <c r="I503">
        <v>1408.6042480000001</v>
      </c>
      <c r="J503">
        <v>1388.6151123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189.382811</v>
      </c>
      <c r="B504" s="1">
        <f>DATE(2010,11,6) + TIME(9,11,14)</f>
        <v>40488.382800925923</v>
      </c>
      <c r="C504">
        <v>80</v>
      </c>
      <c r="D504">
        <v>78.615486145000006</v>
      </c>
      <c r="E504">
        <v>50</v>
      </c>
      <c r="F504">
        <v>49.850597381999997</v>
      </c>
      <c r="G504">
        <v>1300.0698242000001</v>
      </c>
      <c r="H504">
        <v>1288.0596923999999</v>
      </c>
      <c r="I504">
        <v>1408.3912353999999</v>
      </c>
      <c r="J504">
        <v>1388.4144286999999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189.64133899999999</v>
      </c>
      <c r="B505" s="1">
        <f>DATE(2010,11,6) + TIME(15,23,31)</f>
        <v>40488.641331018516</v>
      </c>
      <c r="C505">
        <v>80</v>
      </c>
      <c r="D505">
        <v>78.561836243000002</v>
      </c>
      <c r="E505">
        <v>50</v>
      </c>
      <c r="F505">
        <v>49.870323181000003</v>
      </c>
      <c r="G505">
        <v>1300.0574951000001</v>
      </c>
      <c r="H505">
        <v>1288.0450439000001</v>
      </c>
      <c r="I505">
        <v>1408.1865233999999</v>
      </c>
      <c r="J505">
        <v>1388.2203368999999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189.90579600000001</v>
      </c>
      <c r="B506" s="1">
        <f>DATE(2010,11,6) + TIME(21,44,20)</f>
        <v>40488.905787037038</v>
      </c>
      <c r="C506">
        <v>80</v>
      </c>
      <c r="D506">
        <v>78.507278442</v>
      </c>
      <c r="E506">
        <v>50</v>
      </c>
      <c r="F506">
        <v>49.885746001999998</v>
      </c>
      <c r="G506">
        <v>1300.0450439000001</v>
      </c>
      <c r="H506">
        <v>1288.0301514</v>
      </c>
      <c r="I506">
        <v>1407.9884033000001</v>
      </c>
      <c r="J506">
        <v>1388.0316161999999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190.17748399999999</v>
      </c>
      <c r="B507" s="1">
        <f>DATE(2010,11,7) + TIME(4,15,34)</f>
        <v>40489.177476851852</v>
      </c>
      <c r="C507">
        <v>80</v>
      </c>
      <c r="D507">
        <v>78.451614379999995</v>
      </c>
      <c r="E507">
        <v>50</v>
      </c>
      <c r="F507">
        <v>49.897815704000003</v>
      </c>
      <c r="G507">
        <v>1300.0322266000001</v>
      </c>
      <c r="H507">
        <v>1288.0148925999999</v>
      </c>
      <c r="I507">
        <v>1407.7955322</v>
      </c>
      <c r="J507">
        <v>1387.8470459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190.457786</v>
      </c>
      <c r="B508" s="1">
        <f>DATE(2010,11,7) + TIME(10,59,12)</f>
        <v>40489.457777777781</v>
      </c>
      <c r="C508">
        <v>80</v>
      </c>
      <c r="D508">
        <v>78.394638061999999</v>
      </c>
      <c r="E508">
        <v>50</v>
      </c>
      <c r="F508">
        <v>49.907268524000003</v>
      </c>
      <c r="G508">
        <v>1300.019043</v>
      </c>
      <c r="H508">
        <v>1287.9992675999999</v>
      </c>
      <c r="I508">
        <v>1407.6065673999999</v>
      </c>
      <c r="J508">
        <v>1387.6657714999999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190.74759800000001</v>
      </c>
      <c r="B509" s="1">
        <f>DATE(2010,11,7) + TIME(17,56,32)</f>
        <v>40489.74759259259</v>
      </c>
      <c r="C509">
        <v>80</v>
      </c>
      <c r="D509">
        <v>78.336212157999995</v>
      </c>
      <c r="E509">
        <v>50</v>
      </c>
      <c r="F509">
        <v>49.914661406999997</v>
      </c>
      <c r="G509">
        <v>1300.0053711</v>
      </c>
      <c r="H509">
        <v>1287.9830322</v>
      </c>
      <c r="I509">
        <v>1407.4206543</v>
      </c>
      <c r="J509">
        <v>1387.4869385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191.048292</v>
      </c>
      <c r="B510" s="1">
        <f>DATE(2010,11,8) + TIME(1,9,32)</f>
        <v>40490.04828703704</v>
      </c>
      <c r="C510">
        <v>80</v>
      </c>
      <c r="D510">
        <v>78.276115417</v>
      </c>
      <c r="E510">
        <v>50</v>
      </c>
      <c r="F510">
        <v>49.920436858999999</v>
      </c>
      <c r="G510">
        <v>1299.9912108999999</v>
      </c>
      <c r="H510">
        <v>1287.9661865</v>
      </c>
      <c r="I510">
        <v>1407.2369385</v>
      </c>
      <c r="J510">
        <v>1387.3098144999999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191.361683</v>
      </c>
      <c r="B511" s="1">
        <f>DATE(2010,11,8) + TIME(8,40,49)</f>
        <v>40490.361678240741</v>
      </c>
      <c r="C511">
        <v>80</v>
      </c>
      <c r="D511">
        <v>78.214080811000002</v>
      </c>
      <c r="E511">
        <v>50</v>
      </c>
      <c r="F511">
        <v>49.924957274999997</v>
      </c>
      <c r="G511">
        <v>1299.9765625</v>
      </c>
      <c r="H511">
        <v>1287.9487305</v>
      </c>
      <c r="I511">
        <v>1407.0548096</v>
      </c>
      <c r="J511">
        <v>1387.1340332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191.689865</v>
      </c>
      <c r="B512" s="1">
        <f>DATE(2010,11,8) + TIME(16,33,24)</f>
        <v>40490.68986111111</v>
      </c>
      <c r="C512">
        <v>80</v>
      </c>
      <c r="D512">
        <v>78.149772643999995</v>
      </c>
      <c r="E512">
        <v>50</v>
      </c>
      <c r="F512">
        <v>49.928497313999998</v>
      </c>
      <c r="G512">
        <v>1299.9611815999999</v>
      </c>
      <c r="H512">
        <v>1287.9305420000001</v>
      </c>
      <c r="I512">
        <v>1406.8731689000001</v>
      </c>
      <c r="J512">
        <v>1386.9586182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192.035303</v>
      </c>
      <c r="B513" s="1">
        <f>DATE(2010,11,9) + TIME(0,50,50)</f>
        <v>40491.035300925927</v>
      </c>
      <c r="C513">
        <v>80</v>
      </c>
      <c r="D513">
        <v>78.082832335999996</v>
      </c>
      <c r="E513">
        <v>50</v>
      </c>
      <c r="F513">
        <v>49.931274414000001</v>
      </c>
      <c r="G513">
        <v>1299.9450684000001</v>
      </c>
      <c r="H513">
        <v>1287.911499</v>
      </c>
      <c r="I513">
        <v>1406.6914062000001</v>
      </c>
      <c r="J513">
        <v>1386.7829589999999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192.39950200000001</v>
      </c>
      <c r="B514" s="1">
        <f>DATE(2010,11,9) + TIME(9,35,16)</f>
        <v>40491.39949074074</v>
      </c>
      <c r="C514">
        <v>80</v>
      </c>
      <c r="D514">
        <v>78.012992858999993</v>
      </c>
      <c r="E514">
        <v>50</v>
      </c>
      <c r="F514">
        <v>49.933452606000003</v>
      </c>
      <c r="G514">
        <v>1299.9281006000001</v>
      </c>
      <c r="H514">
        <v>1287.8913574000001</v>
      </c>
      <c r="I514">
        <v>1406.5084228999999</v>
      </c>
      <c r="J514">
        <v>1386.605957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192.78257199999999</v>
      </c>
      <c r="B515" s="1">
        <f>DATE(2010,11,9) + TIME(18,46,54)</f>
        <v>40491.782569444447</v>
      </c>
      <c r="C515">
        <v>80</v>
      </c>
      <c r="D515">
        <v>77.940208435000002</v>
      </c>
      <c r="E515">
        <v>50</v>
      </c>
      <c r="F515">
        <v>49.935157775999997</v>
      </c>
      <c r="G515">
        <v>1299.9101562000001</v>
      </c>
      <c r="H515">
        <v>1287.8701172000001</v>
      </c>
      <c r="I515">
        <v>1406.3239745999999</v>
      </c>
      <c r="J515">
        <v>1386.4276123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193.17755399999999</v>
      </c>
      <c r="B516" s="1">
        <f>DATE(2010,11,10) + TIME(4,15,40)</f>
        <v>40492.177546296298</v>
      </c>
      <c r="C516">
        <v>80</v>
      </c>
      <c r="D516">
        <v>77.865348815999994</v>
      </c>
      <c r="E516">
        <v>50</v>
      </c>
      <c r="F516">
        <v>49.936473845999998</v>
      </c>
      <c r="G516">
        <v>1299.8911132999999</v>
      </c>
      <c r="H516">
        <v>1287.8476562000001</v>
      </c>
      <c r="I516">
        <v>1406.1386719</v>
      </c>
      <c r="J516">
        <v>1386.2484131000001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193.574443</v>
      </c>
      <c r="B517" s="1">
        <f>DATE(2010,11,10) + TIME(13,47,11)</f>
        <v>40492.574432870373</v>
      </c>
      <c r="C517">
        <v>80</v>
      </c>
      <c r="D517">
        <v>77.789833068999997</v>
      </c>
      <c r="E517">
        <v>50</v>
      </c>
      <c r="F517">
        <v>49.937480927000003</v>
      </c>
      <c r="G517">
        <v>1299.8712158000001</v>
      </c>
      <c r="H517">
        <v>1287.8245850000001</v>
      </c>
      <c r="I517">
        <v>1405.9561768000001</v>
      </c>
      <c r="J517">
        <v>1386.0718993999999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193.975379</v>
      </c>
      <c r="B518" s="1">
        <f>DATE(2010,11,10) + TIME(23,24,32)</f>
        <v>40492.975370370368</v>
      </c>
      <c r="C518">
        <v>80</v>
      </c>
      <c r="D518">
        <v>77.713630675999994</v>
      </c>
      <c r="E518">
        <v>50</v>
      </c>
      <c r="F518">
        <v>49.938259125000002</v>
      </c>
      <c r="G518">
        <v>1299.8513184000001</v>
      </c>
      <c r="H518">
        <v>1287.8011475000001</v>
      </c>
      <c r="I518">
        <v>1405.7807617000001</v>
      </c>
      <c r="J518">
        <v>1385.9022216999999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194.38221300000001</v>
      </c>
      <c r="B519" s="1">
        <f>DATE(2010,11,11) + TIME(9,10,23)</f>
        <v>40493.382210648146</v>
      </c>
      <c r="C519">
        <v>80</v>
      </c>
      <c r="D519">
        <v>77.636657714999998</v>
      </c>
      <c r="E519">
        <v>50</v>
      </c>
      <c r="F519">
        <v>49.938877106</v>
      </c>
      <c r="G519">
        <v>1299.8311768000001</v>
      </c>
      <c r="H519">
        <v>1287.7774658000001</v>
      </c>
      <c r="I519">
        <v>1405.6110839999999</v>
      </c>
      <c r="J519">
        <v>1385.7382812000001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194.79571200000001</v>
      </c>
      <c r="B520" s="1">
        <f>DATE(2010,11,11) + TIME(19,5,49)</f>
        <v>40493.795706018522</v>
      </c>
      <c r="C520">
        <v>80</v>
      </c>
      <c r="D520">
        <v>77.558883667000003</v>
      </c>
      <c r="E520">
        <v>50</v>
      </c>
      <c r="F520">
        <v>49.939373015999998</v>
      </c>
      <c r="G520">
        <v>1299.8106689000001</v>
      </c>
      <c r="H520">
        <v>1287.753418</v>
      </c>
      <c r="I520">
        <v>1405.4460449000001</v>
      </c>
      <c r="J520">
        <v>1385.5788574000001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195.217985</v>
      </c>
      <c r="B521" s="1">
        <f>DATE(2010,11,12) + TIME(5,13,53)</f>
        <v>40494.217974537038</v>
      </c>
      <c r="C521">
        <v>80</v>
      </c>
      <c r="D521">
        <v>77.480079650999997</v>
      </c>
      <c r="E521">
        <v>50</v>
      </c>
      <c r="F521">
        <v>49.939773559999999</v>
      </c>
      <c r="G521">
        <v>1299.7897949000001</v>
      </c>
      <c r="H521">
        <v>1287.7288818</v>
      </c>
      <c r="I521">
        <v>1405.2851562000001</v>
      </c>
      <c r="J521">
        <v>1385.4233397999999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195.65117599999999</v>
      </c>
      <c r="B522" s="1">
        <f>DATE(2010,11,12) + TIME(15,37,41)</f>
        <v>40494.65116898148</v>
      </c>
      <c r="C522">
        <v>80</v>
      </c>
      <c r="D522">
        <v>77.399978637999993</v>
      </c>
      <c r="E522">
        <v>50</v>
      </c>
      <c r="F522">
        <v>49.940109253000003</v>
      </c>
      <c r="G522">
        <v>1299.7684326000001</v>
      </c>
      <c r="H522">
        <v>1287.7036132999999</v>
      </c>
      <c r="I522">
        <v>1405.1273193</v>
      </c>
      <c r="J522">
        <v>1385.2709961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196.097599</v>
      </c>
      <c r="B523" s="1">
        <f>DATE(2010,11,13) + TIME(2,20,32)</f>
        <v>40495.097592592596</v>
      </c>
      <c r="C523">
        <v>80</v>
      </c>
      <c r="D523">
        <v>77.318275451999995</v>
      </c>
      <c r="E523">
        <v>50</v>
      </c>
      <c r="F523">
        <v>49.940387725999997</v>
      </c>
      <c r="G523">
        <v>1299.7464600000001</v>
      </c>
      <c r="H523">
        <v>1287.6777344</v>
      </c>
      <c r="I523">
        <v>1404.9718018000001</v>
      </c>
      <c r="J523">
        <v>1385.1208495999999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196.55981299999999</v>
      </c>
      <c r="B524" s="1">
        <f>DATE(2010,11,13) + TIME(13,26,7)</f>
        <v>40495.559803240743</v>
      </c>
      <c r="C524">
        <v>80</v>
      </c>
      <c r="D524">
        <v>77.234596252000003</v>
      </c>
      <c r="E524">
        <v>50</v>
      </c>
      <c r="F524">
        <v>49.940624237000002</v>
      </c>
      <c r="G524">
        <v>1299.7237548999999</v>
      </c>
      <c r="H524">
        <v>1287.651001</v>
      </c>
      <c r="I524">
        <v>1404.817749</v>
      </c>
      <c r="J524">
        <v>1384.9722899999999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197.040718</v>
      </c>
      <c r="B525" s="1">
        <f>DATE(2010,11,14) + TIME(0,58,37)</f>
        <v>40496.040706018517</v>
      </c>
      <c r="C525">
        <v>80</v>
      </c>
      <c r="D525">
        <v>77.148551940999994</v>
      </c>
      <c r="E525">
        <v>50</v>
      </c>
      <c r="F525">
        <v>49.940830231</v>
      </c>
      <c r="G525">
        <v>1299.7000731999999</v>
      </c>
      <c r="H525">
        <v>1287.6231689000001</v>
      </c>
      <c r="I525">
        <v>1404.6645507999999</v>
      </c>
      <c r="J525">
        <v>1384.8243408000001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197.54366999999999</v>
      </c>
      <c r="B526" s="1">
        <f>DATE(2010,11,14) + TIME(13,2,53)</f>
        <v>40496.543668981481</v>
      </c>
      <c r="C526">
        <v>80</v>
      </c>
      <c r="D526">
        <v>77.059677124000004</v>
      </c>
      <c r="E526">
        <v>50</v>
      </c>
      <c r="F526">
        <v>49.941005707000002</v>
      </c>
      <c r="G526">
        <v>1299.6754149999999</v>
      </c>
      <c r="H526">
        <v>1287.5942382999999</v>
      </c>
      <c r="I526">
        <v>1404.5112305</v>
      </c>
      <c r="J526">
        <v>1384.6765137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198.06988699999999</v>
      </c>
      <c r="B527" s="1">
        <f>DATE(2010,11,15) + TIME(1,40,38)</f>
        <v>40497.069884259261</v>
      </c>
      <c r="C527">
        <v>80</v>
      </c>
      <c r="D527">
        <v>76.967712402000004</v>
      </c>
      <c r="E527">
        <v>50</v>
      </c>
      <c r="F527">
        <v>49.941165924000003</v>
      </c>
      <c r="G527">
        <v>1299.6495361</v>
      </c>
      <c r="H527">
        <v>1287.5637207</v>
      </c>
      <c r="I527">
        <v>1404.3571777</v>
      </c>
      <c r="J527">
        <v>1384.5279541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198.61323300000001</v>
      </c>
      <c r="B528" s="1">
        <f>DATE(2010,11,15) + TIME(14,43,3)</f>
        <v>40497.613229166665</v>
      </c>
      <c r="C528">
        <v>80</v>
      </c>
      <c r="D528">
        <v>76.873260497999993</v>
      </c>
      <c r="E528">
        <v>50</v>
      </c>
      <c r="F528">
        <v>49.941299438000001</v>
      </c>
      <c r="G528">
        <v>1299.6221923999999</v>
      </c>
      <c r="H528">
        <v>1287.5317382999999</v>
      </c>
      <c r="I528">
        <v>1404.2022704999999</v>
      </c>
      <c r="J528">
        <v>1384.3787841999999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199.159153</v>
      </c>
      <c r="B529" s="1">
        <f>DATE(2010,11,16) + TIME(3,49,10)</f>
        <v>40498.159143518518</v>
      </c>
      <c r="C529">
        <v>80</v>
      </c>
      <c r="D529">
        <v>76.77796936</v>
      </c>
      <c r="E529">
        <v>50</v>
      </c>
      <c r="F529">
        <v>49.941417694000002</v>
      </c>
      <c r="G529">
        <v>1299.5938721</v>
      </c>
      <c r="H529">
        <v>1287.4986572</v>
      </c>
      <c r="I529">
        <v>1404.0487060999999</v>
      </c>
      <c r="J529">
        <v>1384.2307129000001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199.70930200000001</v>
      </c>
      <c r="B530" s="1">
        <f>DATE(2010,11,16) + TIME(17,1,23)</f>
        <v>40498.709293981483</v>
      </c>
      <c r="C530">
        <v>80</v>
      </c>
      <c r="D530">
        <v>76.682121276999993</v>
      </c>
      <c r="E530">
        <v>50</v>
      </c>
      <c r="F530">
        <v>49.941520691000001</v>
      </c>
      <c r="G530">
        <v>1299.5651855000001</v>
      </c>
      <c r="H530">
        <v>1287.4650879000001</v>
      </c>
      <c r="I530">
        <v>1403.9003906</v>
      </c>
      <c r="J530">
        <v>1384.0878906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200.26590999999999</v>
      </c>
      <c r="B531" s="1">
        <f>DATE(2010,11,17) + TIME(6,22,54)</f>
        <v>40499.265902777777</v>
      </c>
      <c r="C531">
        <v>80</v>
      </c>
      <c r="D531">
        <v>76.585700989000003</v>
      </c>
      <c r="E531">
        <v>50</v>
      </c>
      <c r="F531">
        <v>49.941616058000001</v>
      </c>
      <c r="G531">
        <v>1299.5361327999999</v>
      </c>
      <c r="H531">
        <v>1287.4310303</v>
      </c>
      <c r="I531">
        <v>1403.7565918</v>
      </c>
      <c r="J531">
        <v>1383.9494629000001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200.83187100000001</v>
      </c>
      <c r="B532" s="1">
        <f>DATE(2010,11,17) + TIME(19,57,53)</f>
        <v>40499.831863425927</v>
      </c>
      <c r="C532">
        <v>80</v>
      </c>
      <c r="D532">
        <v>76.488517760999997</v>
      </c>
      <c r="E532">
        <v>50</v>
      </c>
      <c r="F532">
        <v>49.941699982000003</v>
      </c>
      <c r="G532">
        <v>1299.5067139</v>
      </c>
      <c r="H532">
        <v>1287.3964844</v>
      </c>
      <c r="I532">
        <v>1403.6165771000001</v>
      </c>
      <c r="J532">
        <v>1383.8145752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201.41006899999999</v>
      </c>
      <c r="B533" s="1">
        <f>DATE(2010,11,18) + TIME(9,50,29)</f>
        <v>40500.410057870373</v>
      </c>
      <c r="C533">
        <v>80</v>
      </c>
      <c r="D533">
        <v>76.390258789000001</v>
      </c>
      <c r="E533">
        <v>50</v>
      </c>
      <c r="F533">
        <v>49.941780090000002</v>
      </c>
      <c r="G533">
        <v>1299.4765625</v>
      </c>
      <c r="H533">
        <v>1287.3610839999999</v>
      </c>
      <c r="I533">
        <v>1403.4793701000001</v>
      </c>
      <c r="J533">
        <v>1383.6824951000001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202.001713</v>
      </c>
      <c r="B534" s="1">
        <f>DATE(2010,11,19) + TIME(0,2,28)</f>
        <v>40501.001712962963</v>
      </c>
      <c r="C534">
        <v>80</v>
      </c>
      <c r="D534">
        <v>76.290748596</v>
      </c>
      <c r="E534">
        <v>50</v>
      </c>
      <c r="F534">
        <v>49.941852570000002</v>
      </c>
      <c r="G534">
        <v>1299.4456786999999</v>
      </c>
      <c r="H534">
        <v>1287.3248291</v>
      </c>
      <c r="I534">
        <v>1403.3442382999999</v>
      </c>
      <c r="J534">
        <v>1383.5524902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202.60950600000001</v>
      </c>
      <c r="B535" s="1">
        <f>DATE(2010,11,19) + TIME(14,37,41)</f>
        <v>40501.609502314815</v>
      </c>
      <c r="C535">
        <v>80</v>
      </c>
      <c r="D535">
        <v>76.189659118999998</v>
      </c>
      <c r="E535">
        <v>50</v>
      </c>
      <c r="F535">
        <v>49.941925048999998</v>
      </c>
      <c r="G535">
        <v>1299.4138184000001</v>
      </c>
      <c r="H535">
        <v>1287.2873535000001</v>
      </c>
      <c r="I535">
        <v>1403.2109375</v>
      </c>
      <c r="J535">
        <v>1383.4241943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203.23686900000001</v>
      </c>
      <c r="B536" s="1">
        <f>DATE(2010,11,20) + TIME(5,41,5)</f>
        <v>40502.236863425926</v>
      </c>
      <c r="C536">
        <v>80</v>
      </c>
      <c r="D536">
        <v>76.086593628000003</v>
      </c>
      <c r="E536">
        <v>50</v>
      </c>
      <c r="F536">
        <v>49.941993713000002</v>
      </c>
      <c r="G536">
        <v>1299.3809814000001</v>
      </c>
      <c r="H536">
        <v>1287.2486572</v>
      </c>
      <c r="I536">
        <v>1403.0788574000001</v>
      </c>
      <c r="J536">
        <v>1383.2969971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203.88763800000001</v>
      </c>
      <c r="B537" s="1">
        <f>DATE(2010,11,20) + TIME(21,18,11)</f>
        <v>40502.887627314813</v>
      </c>
      <c r="C537">
        <v>80</v>
      </c>
      <c r="D537">
        <v>75.981056213000002</v>
      </c>
      <c r="E537">
        <v>50</v>
      </c>
      <c r="F537">
        <v>49.942062378000003</v>
      </c>
      <c r="G537">
        <v>1299.3468018000001</v>
      </c>
      <c r="H537">
        <v>1287.2084961</v>
      </c>
      <c r="I537">
        <v>1402.9472656</v>
      </c>
      <c r="J537">
        <v>1383.1704102000001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204.56622200000001</v>
      </c>
      <c r="B538" s="1">
        <f>DATE(2010,11,21) + TIME(13,35,21)</f>
        <v>40503.56621527778</v>
      </c>
      <c r="C538">
        <v>80</v>
      </c>
      <c r="D538">
        <v>75.872505188000005</v>
      </c>
      <c r="E538">
        <v>50</v>
      </c>
      <c r="F538">
        <v>49.942134856999999</v>
      </c>
      <c r="G538">
        <v>1299.3111572</v>
      </c>
      <c r="H538">
        <v>1287.166626</v>
      </c>
      <c r="I538">
        <v>1402.8155518000001</v>
      </c>
      <c r="J538">
        <v>1383.0438231999999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205.274899</v>
      </c>
      <c r="B539" s="1">
        <f>DATE(2010,11,22) + TIME(6,35,51)</f>
        <v>40504.274895833332</v>
      </c>
      <c r="C539">
        <v>80</v>
      </c>
      <c r="D539">
        <v>75.760566710999996</v>
      </c>
      <c r="E539">
        <v>50</v>
      </c>
      <c r="F539">
        <v>49.942203522</v>
      </c>
      <c r="G539">
        <v>1299.2736815999999</v>
      </c>
      <c r="H539">
        <v>1287.1224365</v>
      </c>
      <c r="I539">
        <v>1402.6831055</v>
      </c>
      <c r="J539">
        <v>1382.9163818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205.985918</v>
      </c>
      <c r="B540" s="1">
        <f>DATE(2010,11,22) + TIME(23,39,43)</f>
        <v>40504.985914351855</v>
      </c>
      <c r="C540">
        <v>80</v>
      </c>
      <c r="D540">
        <v>75.647529602000006</v>
      </c>
      <c r="E540">
        <v>50</v>
      </c>
      <c r="F540">
        <v>49.942272185999997</v>
      </c>
      <c r="G540">
        <v>1299.2340088000001</v>
      </c>
      <c r="H540">
        <v>1287.0760498</v>
      </c>
      <c r="I540">
        <v>1402.5496826000001</v>
      </c>
      <c r="J540">
        <v>1382.7880858999999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206.70192800000001</v>
      </c>
      <c r="B541" s="1">
        <f>DATE(2010,11,23) + TIME(16,50,46)</f>
        <v>40505.701921296299</v>
      </c>
      <c r="C541">
        <v>80</v>
      </c>
      <c r="D541">
        <v>75.533950806000007</v>
      </c>
      <c r="E541">
        <v>50</v>
      </c>
      <c r="F541">
        <v>49.942340850999997</v>
      </c>
      <c r="G541">
        <v>1299.1939697</v>
      </c>
      <c r="H541">
        <v>1287.0290527</v>
      </c>
      <c r="I541">
        <v>1402.4206543</v>
      </c>
      <c r="J541">
        <v>1382.6639404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207.42540299999999</v>
      </c>
      <c r="B542" s="1">
        <f>DATE(2010,11,24) + TIME(10,12,34)</f>
        <v>40506.425393518519</v>
      </c>
      <c r="C542">
        <v>80</v>
      </c>
      <c r="D542">
        <v>75.419975281000006</v>
      </c>
      <c r="E542">
        <v>50</v>
      </c>
      <c r="F542">
        <v>49.942409515000001</v>
      </c>
      <c r="G542">
        <v>1299.1531981999999</v>
      </c>
      <c r="H542">
        <v>1286.9812012</v>
      </c>
      <c r="I542">
        <v>1402.2951660000001</v>
      </c>
      <c r="J542">
        <v>1382.5433350000001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208.16015200000001</v>
      </c>
      <c r="B543" s="1">
        <f>DATE(2010,11,25) + TIME(3,50,37)</f>
        <v>40507.160150462965</v>
      </c>
      <c r="C543">
        <v>80</v>
      </c>
      <c r="D543">
        <v>75.305412292</v>
      </c>
      <c r="E543">
        <v>50</v>
      </c>
      <c r="F543">
        <v>49.942478180000002</v>
      </c>
      <c r="G543">
        <v>1299.1118164</v>
      </c>
      <c r="H543">
        <v>1286.9323730000001</v>
      </c>
      <c r="I543">
        <v>1402.1728516000001</v>
      </c>
      <c r="J543">
        <v>1382.4255370999999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208.90801999999999</v>
      </c>
      <c r="B544" s="1">
        <f>DATE(2010,11,25) + TIME(21,47,32)</f>
        <v>40507.908009259256</v>
      </c>
      <c r="C544">
        <v>80</v>
      </c>
      <c r="D544">
        <v>75.190078735</v>
      </c>
      <c r="E544">
        <v>50</v>
      </c>
      <c r="F544">
        <v>49.942546843999999</v>
      </c>
      <c r="G544">
        <v>1299.0693358999999</v>
      </c>
      <c r="H544">
        <v>1286.8823242000001</v>
      </c>
      <c r="I544">
        <v>1402.0527344</v>
      </c>
      <c r="J544">
        <v>1382.3100586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209.67277999999999</v>
      </c>
      <c r="B545" s="1">
        <f>DATE(2010,11,26) + TIME(16,8,48)</f>
        <v>40508.672777777778</v>
      </c>
      <c r="C545">
        <v>80</v>
      </c>
      <c r="D545">
        <v>75.073608398000005</v>
      </c>
      <c r="E545">
        <v>50</v>
      </c>
      <c r="F545">
        <v>49.942615508999999</v>
      </c>
      <c r="G545">
        <v>1299.0257568</v>
      </c>
      <c r="H545">
        <v>1286.8308105000001</v>
      </c>
      <c r="I545">
        <v>1401.9345702999999</v>
      </c>
      <c r="J545">
        <v>1382.1962891000001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210.45861500000001</v>
      </c>
      <c r="B546" s="1">
        <f>DATE(2010,11,27) + TIME(11,0,24)</f>
        <v>40509.458611111113</v>
      </c>
      <c r="C546">
        <v>80</v>
      </c>
      <c r="D546">
        <v>74.955535889000004</v>
      </c>
      <c r="E546">
        <v>50</v>
      </c>
      <c r="F546">
        <v>49.942687988000003</v>
      </c>
      <c r="G546">
        <v>1298.9808350000001</v>
      </c>
      <c r="H546">
        <v>1286.7775879000001</v>
      </c>
      <c r="I546">
        <v>1401.8176269999999</v>
      </c>
      <c r="J546">
        <v>1382.0838623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211.27013500000001</v>
      </c>
      <c r="B547" s="1">
        <f>DATE(2010,11,28) + TIME(6,28,59)</f>
        <v>40510.270127314812</v>
      </c>
      <c r="C547">
        <v>80</v>
      </c>
      <c r="D547">
        <v>74.835258483999993</v>
      </c>
      <c r="E547">
        <v>50</v>
      </c>
      <c r="F547">
        <v>49.942764281999999</v>
      </c>
      <c r="G547">
        <v>1298.934082</v>
      </c>
      <c r="H547">
        <v>1286.7222899999999</v>
      </c>
      <c r="I547">
        <v>1401.7015381000001</v>
      </c>
      <c r="J547">
        <v>1381.9720459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212.11255499999999</v>
      </c>
      <c r="B548" s="1">
        <f>DATE(2010,11,29) + TIME(2,42,4)</f>
        <v>40511.112546296295</v>
      </c>
      <c r="C548">
        <v>80</v>
      </c>
      <c r="D548">
        <v>74.712219238000003</v>
      </c>
      <c r="E548">
        <v>50</v>
      </c>
      <c r="F548">
        <v>49.942844391000001</v>
      </c>
      <c r="G548">
        <v>1298.885376</v>
      </c>
      <c r="H548">
        <v>1286.6645507999999</v>
      </c>
      <c r="I548">
        <v>1401.5855713000001</v>
      </c>
      <c r="J548">
        <v>1381.8604736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212.988317</v>
      </c>
      <c r="B549" s="1">
        <f>DATE(2010,11,29) + TIME(23,43,10)</f>
        <v>40511.988310185188</v>
      </c>
      <c r="C549">
        <v>80</v>
      </c>
      <c r="D549">
        <v>74.585990906000006</v>
      </c>
      <c r="E549">
        <v>50</v>
      </c>
      <c r="F549">
        <v>49.942924499999997</v>
      </c>
      <c r="G549">
        <v>1298.8342285000001</v>
      </c>
      <c r="H549">
        <v>1286.6040039</v>
      </c>
      <c r="I549">
        <v>1401.4691161999999</v>
      </c>
      <c r="J549">
        <v>1381.7484131000001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213.87812299999999</v>
      </c>
      <c r="B550" s="1">
        <f>DATE(2010,11,30) + TIME(21,4,29)</f>
        <v>40512.878113425926</v>
      </c>
      <c r="C550">
        <v>80</v>
      </c>
      <c r="D550">
        <v>74.457801818999997</v>
      </c>
      <c r="E550">
        <v>50</v>
      </c>
      <c r="F550">
        <v>49.943004608000003</v>
      </c>
      <c r="G550">
        <v>1298.7803954999999</v>
      </c>
      <c r="H550">
        <v>1286.5401611</v>
      </c>
      <c r="I550">
        <v>1401.3520507999999</v>
      </c>
      <c r="J550">
        <v>1381.6356201000001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214</v>
      </c>
      <c r="B551" s="1">
        <f>DATE(2010,12,1) + TIME(0,0,0)</f>
        <v>40513</v>
      </c>
      <c r="C551">
        <v>80</v>
      </c>
      <c r="D551">
        <v>74.427017211999996</v>
      </c>
      <c r="E551">
        <v>50</v>
      </c>
      <c r="F551">
        <v>49.943004608000003</v>
      </c>
      <c r="G551">
        <v>1298.7226562000001</v>
      </c>
      <c r="H551">
        <v>1286.4818115</v>
      </c>
      <c r="I551">
        <v>1401.2371826000001</v>
      </c>
      <c r="J551">
        <v>1381.5252685999999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214.89323400000001</v>
      </c>
      <c r="B552" s="1">
        <f>DATE(2010,12,1) + TIME(21,26,15)</f>
        <v>40513.893229166664</v>
      </c>
      <c r="C552">
        <v>80</v>
      </c>
      <c r="D552">
        <v>74.304840088000006</v>
      </c>
      <c r="E552">
        <v>50</v>
      </c>
      <c r="F552">
        <v>49.943099975999999</v>
      </c>
      <c r="G552">
        <v>1298.7169189000001</v>
      </c>
      <c r="H552">
        <v>1286.4639893000001</v>
      </c>
      <c r="I552">
        <v>1401.2214355000001</v>
      </c>
      <c r="J552">
        <v>1381.5097656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215.796482</v>
      </c>
      <c r="B553" s="1">
        <f>DATE(2010,12,2) + TIME(19,6,56)</f>
        <v>40514.796481481484</v>
      </c>
      <c r="C553">
        <v>80</v>
      </c>
      <c r="D553">
        <v>74.179107665999993</v>
      </c>
      <c r="E553">
        <v>50</v>
      </c>
      <c r="F553">
        <v>49.943183898999997</v>
      </c>
      <c r="G553">
        <v>1298.6607666</v>
      </c>
      <c r="H553">
        <v>1286.3975829999999</v>
      </c>
      <c r="I553">
        <v>1401.1104736</v>
      </c>
      <c r="J553">
        <v>1381.4029541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216.713356</v>
      </c>
      <c r="B554" s="1">
        <f>DATE(2010,12,3) + TIME(17,7,13)</f>
        <v>40515.71334490741</v>
      </c>
      <c r="C554">
        <v>80</v>
      </c>
      <c r="D554">
        <v>74.051254271999994</v>
      </c>
      <c r="E554">
        <v>50</v>
      </c>
      <c r="F554">
        <v>49.943267822000003</v>
      </c>
      <c r="G554">
        <v>1298.6030272999999</v>
      </c>
      <c r="H554">
        <v>1286.3288574000001</v>
      </c>
      <c r="I554">
        <v>1401.0017089999999</v>
      </c>
      <c r="J554">
        <v>1381.2979736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217.645861</v>
      </c>
      <c r="B555" s="1">
        <f>DATE(2010,12,4) + TIME(15,30,2)</f>
        <v>40516.645856481482</v>
      </c>
      <c r="C555">
        <v>80</v>
      </c>
      <c r="D555">
        <v>73.921882628999995</v>
      </c>
      <c r="E555">
        <v>50</v>
      </c>
      <c r="F555">
        <v>49.943355560000001</v>
      </c>
      <c r="G555">
        <v>1298.5435791</v>
      </c>
      <c r="H555">
        <v>1286.2579346</v>
      </c>
      <c r="I555">
        <v>1400.8947754000001</v>
      </c>
      <c r="J555">
        <v>1381.1949463000001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218.59862799999999</v>
      </c>
      <c r="B556" s="1">
        <f>DATE(2010,12,5) + TIME(14,22,1)</f>
        <v>40517.598622685182</v>
      </c>
      <c r="C556">
        <v>80</v>
      </c>
      <c r="D556">
        <v>73.791007996000005</v>
      </c>
      <c r="E556">
        <v>50</v>
      </c>
      <c r="F556">
        <v>49.943443297999998</v>
      </c>
      <c r="G556">
        <v>1298.4822998</v>
      </c>
      <c r="H556">
        <v>1286.1844481999999</v>
      </c>
      <c r="I556">
        <v>1400.7893065999999</v>
      </c>
      <c r="J556">
        <v>1381.0932617000001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219.57687799999999</v>
      </c>
      <c r="B557" s="1">
        <f>DATE(2010,12,6) + TIME(13,50,42)</f>
        <v>40518.576874999999</v>
      </c>
      <c r="C557">
        <v>80</v>
      </c>
      <c r="D557">
        <v>73.658302307</v>
      </c>
      <c r="E557">
        <v>50</v>
      </c>
      <c r="F557">
        <v>49.943534851000003</v>
      </c>
      <c r="G557">
        <v>1298.4188231999999</v>
      </c>
      <c r="H557">
        <v>1286.1082764</v>
      </c>
      <c r="I557">
        <v>1400.6850586</v>
      </c>
      <c r="J557">
        <v>1380.9925536999999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220.58375899999999</v>
      </c>
      <c r="B558" s="1">
        <f>DATE(2010,12,7) + TIME(14,0,36)</f>
        <v>40519.583749999998</v>
      </c>
      <c r="C558">
        <v>80</v>
      </c>
      <c r="D558">
        <v>73.523406981999997</v>
      </c>
      <c r="E558">
        <v>50</v>
      </c>
      <c r="F558">
        <v>49.943630218999999</v>
      </c>
      <c r="G558">
        <v>1298.3526611</v>
      </c>
      <c r="H558">
        <v>1286.0288086</v>
      </c>
      <c r="I558">
        <v>1400.5811768000001</v>
      </c>
      <c r="J558">
        <v>1380.8922118999999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221.62526299999999</v>
      </c>
      <c r="B559" s="1">
        <f>DATE(2010,12,8) + TIME(15,0,22)</f>
        <v>40520.625254629631</v>
      </c>
      <c r="C559">
        <v>80</v>
      </c>
      <c r="D559">
        <v>73.385810852000006</v>
      </c>
      <c r="E559">
        <v>50</v>
      </c>
      <c r="F559">
        <v>49.943729400999999</v>
      </c>
      <c r="G559">
        <v>1298.2835693</v>
      </c>
      <c r="H559">
        <v>1285.9454346</v>
      </c>
      <c r="I559">
        <v>1400.4776611</v>
      </c>
      <c r="J559">
        <v>1380.7922363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222.68859800000001</v>
      </c>
      <c r="B560" s="1">
        <f>DATE(2010,12,9) + TIME(16,31,34)</f>
        <v>40521.688587962963</v>
      </c>
      <c r="C560">
        <v>80</v>
      </c>
      <c r="D560">
        <v>73.246017456000004</v>
      </c>
      <c r="E560">
        <v>50</v>
      </c>
      <c r="F560">
        <v>49.943828582999998</v>
      </c>
      <c r="G560">
        <v>1298.2110596</v>
      </c>
      <c r="H560">
        <v>1285.8579102000001</v>
      </c>
      <c r="I560">
        <v>1400.3737793</v>
      </c>
      <c r="J560">
        <v>1380.6917725000001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223.75669300000001</v>
      </c>
      <c r="B561" s="1">
        <f>DATE(2010,12,10) + TIME(18,9,38)</f>
        <v>40522.756689814814</v>
      </c>
      <c r="C561">
        <v>80</v>
      </c>
      <c r="D561">
        <v>73.105445861999996</v>
      </c>
      <c r="E561">
        <v>50</v>
      </c>
      <c r="F561">
        <v>49.943927764999998</v>
      </c>
      <c r="G561">
        <v>1298.1356201000001</v>
      </c>
      <c r="H561">
        <v>1285.7667236</v>
      </c>
      <c r="I561">
        <v>1400.2709961</v>
      </c>
      <c r="J561">
        <v>1380.5924072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224.83551700000001</v>
      </c>
      <c r="B562" s="1">
        <f>DATE(2010,12,11) + TIME(20,3,8)</f>
        <v>40523.835509259261</v>
      </c>
      <c r="C562">
        <v>80</v>
      </c>
      <c r="D562">
        <v>72.964553832999997</v>
      </c>
      <c r="E562">
        <v>50</v>
      </c>
      <c r="F562">
        <v>49.944026946999998</v>
      </c>
      <c r="G562">
        <v>1298.0584716999999</v>
      </c>
      <c r="H562">
        <v>1285.6732178</v>
      </c>
      <c r="I562">
        <v>1400.1710204999999</v>
      </c>
      <c r="J562">
        <v>1380.4956055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225.92721299999999</v>
      </c>
      <c r="B563" s="1">
        <f>DATE(2010,12,12) + TIME(22,15,11)</f>
        <v>40524.927210648151</v>
      </c>
      <c r="C563">
        <v>80</v>
      </c>
      <c r="D563">
        <v>72.823364257999998</v>
      </c>
      <c r="E563">
        <v>50</v>
      </c>
      <c r="F563">
        <v>49.944129943999997</v>
      </c>
      <c r="G563">
        <v>1297.9793701000001</v>
      </c>
      <c r="H563">
        <v>1285.5769043</v>
      </c>
      <c r="I563">
        <v>1400.0729980000001</v>
      </c>
      <c r="J563">
        <v>1380.4006348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227.036823</v>
      </c>
      <c r="B564" s="1">
        <f>DATE(2010,12,14) + TIME(0,53,1)</f>
        <v>40526.036817129629</v>
      </c>
      <c r="C564">
        <v>80</v>
      </c>
      <c r="D564">
        <v>72.681564331000004</v>
      </c>
      <c r="E564">
        <v>50</v>
      </c>
      <c r="F564">
        <v>49.944236754999999</v>
      </c>
      <c r="G564">
        <v>1297.8978271000001</v>
      </c>
      <c r="H564">
        <v>1285.4774170000001</v>
      </c>
      <c r="I564">
        <v>1399.9768065999999</v>
      </c>
      <c r="J564">
        <v>1380.3073730000001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228.17029600000001</v>
      </c>
      <c r="B565" s="1">
        <f>DATE(2010,12,15) + TIME(4,5,13)</f>
        <v>40527.170289351852</v>
      </c>
      <c r="C565">
        <v>80</v>
      </c>
      <c r="D565">
        <v>72.538612365999995</v>
      </c>
      <c r="E565">
        <v>50</v>
      </c>
      <c r="F565">
        <v>49.944343566999997</v>
      </c>
      <c r="G565">
        <v>1297.8135986</v>
      </c>
      <c r="H565">
        <v>1285.3742675999999</v>
      </c>
      <c r="I565">
        <v>1399.8818358999999</v>
      </c>
      <c r="J565">
        <v>1380.215332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229.333528</v>
      </c>
      <c r="B566" s="1">
        <f>DATE(2010,12,16) + TIME(8,0,16)</f>
        <v>40528.333518518521</v>
      </c>
      <c r="C566">
        <v>80</v>
      </c>
      <c r="D566">
        <v>72.393882751000007</v>
      </c>
      <c r="E566">
        <v>50</v>
      </c>
      <c r="F566">
        <v>49.944450377999999</v>
      </c>
      <c r="G566">
        <v>1297.7260742000001</v>
      </c>
      <c r="H566">
        <v>1285.2668457</v>
      </c>
      <c r="I566">
        <v>1399.7877197</v>
      </c>
      <c r="J566">
        <v>1380.1239014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230.52996300000001</v>
      </c>
      <c r="B567" s="1">
        <f>DATE(2010,12,17) + TIME(12,43,8)</f>
        <v>40529.529953703706</v>
      </c>
      <c r="C567">
        <v>80</v>
      </c>
      <c r="D567">
        <v>72.246833800999994</v>
      </c>
      <c r="E567">
        <v>50</v>
      </c>
      <c r="F567">
        <v>49.944564819</v>
      </c>
      <c r="G567">
        <v>1297.6345214999999</v>
      </c>
      <c r="H567">
        <v>1285.1541748</v>
      </c>
      <c r="I567">
        <v>1399.6939697</v>
      </c>
      <c r="J567">
        <v>1380.0327147999999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231.76714000000001</v>
      </c>
      <c r="B568" s="1">
        <f>DATE(2010,12,18) + TIME(18,24,40)</f>
        <v>40530.767129629632</v>
      </c>
      <c r="C568">
        <v>80</v>
      </c>
      <c r="D568">
        <v>72.096786499000004</v>
      </c>
      <c r="E568">
        <v>50</v>
      </c>
      <c r="F568">
        <v>49.944679260000001</v>
      </c>
      <c r="G568">
        <v>1297.5386963000001</v>
      </c>
      <c r="H568">
        <v>1285.0358887</v>
      </c>
      <c r="I568">
        <v>1399.6003418</v>
      </c>
      <c r="J568">
        <v>1379.9416504000001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233.026037</v>
      </c>
      <c r="B569" s="1">
        <f>DATE(2010,12,20) + TIME(0,37,29)</f>
        <v>40532.026030092595</v>
      </c>
      <c r="C569">
        <v>80</v>
      </c>
      <c r="D569">
        <v>71.944297790999997</v>
      </c>
      <c r="E569">
        <v>50</v>
      </c>
      <c r="F569">
        <v>49.944797516000001</v>
      </c>
      <c r="G569">
        <v>1297.4376221</v>
      </c>
      <c r="H569">
        <v>1284.9110106999999</v>
      </c>
      <c r="I569">
        <v>1399.5062256000001</v>
      </c>
      <c r="J569">
        <v>1379.8500977000001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234.292832</v>
      </c>
      <c r="B570" s="1">
        <f>DATE(2010,12,21) + TIME(7,1,40)</f>
        <v>40533.292824074073</v>
      </c>
      <c r="C570">
        <v>80</v>
      </c>
      <c r="D570">
        <v>71.790664672999995</v>
      </c>
      <c r="E570">
        <v>50</v>
      </c>
      <c r="F570">
        <v>49.944919585999997</v>
      </c>
      <c r="G570">
        <v>1297.3326416</v>
      </c>
      <c r="H570">
        <v>1284.7808838000001</v>
      </c>
      <c r="I570">
        <v>1399.4133300999999</v>
      </c>
      <c r="J570">
        <v>1379.7595214999999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235.569367</v>
      </c>
      <c r="B571" s="1">
        <f>DATE(2010,12,22) + TIME(13,39,53)</f>
        <v>40534.569363425922</v>
      </c>
      <c r="C571">
        <v>80</v>
      </c>
      <c r="D571">
        <v>71.636566161999994</v>
      </c>
      <c r="E571">
        <v>50</v>
      </c>
      <c r="F571">
        <v>49.945037841999998</v>
      </c>
      <c r="G571">
        <v>1297.2248535000001</v>
      </c>
      <c r="H571">
        <v>1284.6467285000001</v>
      </c>
      <c r="I571">
        <v>1399.3226318</v>
      </c>
      <c r="J571">
        <v>1379.6708983999999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236.86254700000001</v>
      </c>
      <c r="B572" s="1">
        <f>DATE(2010,12,23) + TIME(20,42,4)</f>
        <v>40535.862546296295</v>
      </c>
      <c r="C572">
        <v>80</v>
      </c>
      <c r="D572">
        <v>71.481880188000005</v>
      </c>
      <c r="E572">
        <v>50</v>
      </c>
      <c r="F572">
        <v>49.945159912000001</v>
      </c>
      <c r="G572">
        <v>1297.1140137</v>
      </c>
      <c r="H572">
        <v>1284.5081786999999</v>
      </c>
      <c r="I572">
        <v>1399.2337646000001</v>
      </c>
      <c r="J572">
        <v>1379.5841064000001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238.17938899999999</v>
      </c>
      <c r="B573" s="1">
        <f>DATE(2010,12,25) + TIME(4,18,19)</f>
        <v>40537.179386574076</v>
      </c>
      <c r="C573">
        <v>80</v>
      </c>
      <c r="D573">
        <v>71.326042174999998</v>
      </c>
      <c r="E573">
        <v>50</v>
      </c>
      <c r="F573">
        <v>49.945281981999997</v>
      </c>
      <c r="G573">
        <v>1296.9993896000001</v>
      </c>
      <c r="H573">
        <v>1284.3645019999999</v>
      </c>
      <c r="I573">
        <v>1399.1462402</v>
      </c>
      <c r="J573">
        <v>1379.4985352000001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239.52502100000001</v>
      </c>
      <c r="B574" s="1">
        <f>DATE(2010,12,26) + TIME(12,36,1)</f>
        <v>40538.525011574071</v>
      </c>
      <c r="C574">
        <v>80</v>
      </c>
      <c r="D574">
        <v>71.168380737000007</v>
      </c>
      <c r="E574">
        <v>50</v>
      </c>
      <c r="F574">
        <v>49.945407867</v>
      </c>
      <c r="G574">
        <v>1296.8803711</v>
      </c>
      <c r="H574">
        <v>1284.2148437999999</v>
      </c>
      <c r="I574">
        <v>1399.0596923999999</v>
      </c>
      <c r="J574">
        <v>1379.4136963000001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240.900158</v>
      </c>
      <c r="B575" s="1">
        <f>DATE(2010,12,27) + TIME(21,36,13)</f>
        <v>40539.900150462963</v>
      </c>
      <c r="C575">
        <v>80</v>
      </c>
      <c r="D575">
        <v>71.008460998999993</v>
      </c>
      <c r="E575">
        <v>50</v>
      </c>
      <c r="F575">
        <v>49.945537567000002</v>
      </c>
      <c r="G575">
        <v>1296.7563477000001</v>
      </c>
      <c r="H575">
        <v>1284.0584716999999</v>
      </c>
      <c r="I575">
        <v>1398.9736327999999</v>
      </c>
      <c r="J575">
        <v>1379.3293457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242.31267500000001</v>
      </c>
      <c r="B576" s="1">
        <f>DATE(2010,12,29) + TIME(7,30,15)</f>
        <v>40541.312673611108</v>
      </c>
      <c r="C576">
        <v>80</v>
      </c>
      <c r="D576">
        <v>70.845664978000002</v>
      </c>
      <c r="E576">
        <v>50</v>
      </c>
      <c r="F576">
        <v>49.945667266999997</v>
      </c>
      <c r="G576">
        <v>1296.6269531</v>
      </c>
      <c r="H576">
        <v>1283.8946533000001</v>
      </c>
      <c r="I576">
        <v>1398.8881836</v>
      </c>
      <c r="J576">
        <v>1379.2454834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243.77101099999999</v>
      </c>
      <c r="B577" s="1">
        <f>DATE(2010,12,30) + TIME(18,30,15)</f>
        <v>40542.771006944444</v>
      </c>
      <c r="C577">
        <v>80</v>
      </c>
      <c r="D577">
        <v>70.679145813000005</v>
      </c>
      <c r="E577">
        <v>50</v>
      </c>
      <c r="F577">
        <v>49.945804596000002</v>
      </c>
      <c r="G577">
        <v>1296.4912108999999</v>
      </c>
      <c r="H577">
        <v>1283.7224120999999</v>
      </c>
      <c r="I577">
        <v>1398.8028564000001</v>
      </c>
      <c r="J577">
        <v>1379.161499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245</v>
      </c>
      <c r="B578" s="1">
        <f>DATE(2011,1,1) + TIME(0,0,0)</f>
        <v>40544</v>
      </c>
      <c r="C578">
        <v>80</v>
      </c>
      <c r="D578">
        <v>70.521629333000007</v>
      </c>
      <c r="E578">
        <v>50</v>
      </c>
      <c r="F578">
        <v>49.945919037000003</v>
      </c>
      <c r="G578">
        <v>1296.3485106999999</v>
      </c>
      <c r="H578">
        <v>1283.5427245999999</v>
      </c>
      <c r="I578">
        <v>1398.7169189000001</v>
      </c>
      <c r="J578">
        <v>1379.0769043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246.46252000000001</v>
      </c>
      <c r="B579" s="1">
        <f>DATE(2011,1,2) + TIME(11,6,1)</f>
        <v>40545.462511574071</v>
      </c>
      <c r="C579">
        <v>80</v>
      </c>
      <c r="D579">
        <v>70.361381531000006</v>
      </c>
      <c r="E579">
        <v>50</v>
      </c>
      <c r="F579">
        <v>49.946056366000001</v>
      </c>
      <c r="G579">
        <v>1296.2231445</v>
      </c>
      <c r="H579">
        <v>1283.3797606999999</v>
      </c>
      <c r="I579">
        <v>1398.6467285000001</v>
      </c>
      <c r="J579">
        <v>1379.0075684000001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247.94958500000001</v>
      </c>
      <c r="B580" s="1">
        <f>DATE(2011,1,3) + TIME(22,47,24)</f>
        <v>40546.949583333335</v>
      </c>
      <c r="C580">
        <v>80</v>
      </c>
      <c r="D580">
        <v>70.194000243999994</v>
      </c>
      <c r="E580">
        <v>50</v>
      </c>
      <c r="F580">
        <v>49.946193694999998</v>
      </c>
      <c r="G580">
        <v>1296.0748291</v>
      </c>
      <c r="H580">
        <v>1283.1901855000001</v>
      </c>
      <c r="I580">
        <v>1398.5651855000001</v>
      </c>
      <c r="J580">
        <v>1378.9270019999999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249.43664999999999</v>
      </c>
      <c r="B581" s="1">
        <f>DATE(2011,1,5) + TIME(10,28,46)</f>
        <v>40548.436643518522</v>
      </c>
      <c r="C581">
        <v>80</v>
      </c>
      <c r="D581">
        <v>70.023338318</v>
      </c>
      <c r="E581">
        <v>50</v>
      </c>
      <c r="F581">
        <v>49.946331024000003</v>
      </c>
      <c r="G581">
        <v>1295.9201660000001</v>
      </c>
      <c r="H581">
        <v>1282.9916992000001</v>
      </c>
      <c r="I581">
        <v>1398.484375</v>
      </c>
      <c r="J581">
        <v>1378.8470459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250.96902800000001</v>
      </c>
      <c r="B582" s="1">
        <f>DATE(2011,1,6) + TIME(23,15,24)</f>
        <v>40549.969027777777</v>
      </c>
      <c r="C582">
        <v>80</v>
      </c>
      <c r="D582">
        <v>69.849319457999997</v>
      </c>
      <c r="E582">
        <v>50</v>
      </c>
      <c r="F582">
        <v>49.946472168</v>
      </c>
      <c r="G582">
        <v>1295.7615966999999</v>
      </c>
      <c r="H582">
        <v>1282.7869873</v>
      </c>
      <c r="I582">
        <v>1398.4057617000001</v>
      </c>
      <c r="J582">
        <v>1378.769043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252.53442999999999</v>
      </c>
      <c r="B583" s="1">
        <f>DATE(2011,1,8) + TIME(12,49,34)</f>
        <v>40551.534421296295</v>
      </c>
      <c r="C583">
        <v>80</v>
      </c>
      <c r="D583">
        <v>69.671211243000002</v>
      </c>
      <c r="E583">
        <v>50</v>
      </c>
      <c r="F583">
        <v>49.946617126</v>
      </c>
      <c r="G583">
        <v>1295.5952147999999</v>
      </c>
      <c r="H583">
        <v>1282.5716553</v>
      </c>
      <c r="I583">
        <v>1398.3267822</v>
      </c>
      <c r="J583">
        <v>1378.6906738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254.09983199999999</v>
      </c>
      <c r="B584" s="1">
        <f>DATE(2011,1,10) + TIME(2,23,45)</f>
        <v>40553.099826388891</v>
      </c>
      <c r="C584">
        <v>80</v>
      </c>
      <c r="D584">
        <v>69.490303040000001</v>
      </c>
      <c r="E584">
        <v>50</v>
      </c>
      <c r="F584">
        <v>49.946758269999997</v>
      </c>
      <c r="G584">
        <v>1295.4216309000001</v>
      </c>
      <c r="H584">
        <v>1282.3464355000001</v>
      </c>
      <c r="I584">
        <v>1398.2482910000001</v>
      </c>
      <c r="J584">
        <v>1378.6126709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255.665233</v>
      </c>
      <c r="B585" s="1">
        <f>DATE(2011,1,11) + TIME(15,57,56)</f>
        <v>40554.665231481478</v>
      </c>
      <c r="C585">
        <v>80</v>
      </c>
      <c r="D585">
        <v>69.307960510000001</v>
      </c>
      <c r="E585">
        <v>50</v>
      </c>
      <c r="F585">
        <v>49.946903229</v>
      </c>
      <c r="G585">
        <v>1295.2440185999999</v>
      </c>
      <c r="H585">
        <v>1282.1151123</v>
      </c>
      <c r="I585">
        <v>1398.1717529</v>
      </c>
      <c r="J585">
        <v>1378.5363769999999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257.33056099999999</v>
      </c>
      <c r="B586" s="1">
        <f>DATE(2011,1,13) + TIME(7,56,0)</f>
        <v>40556.330555555556</v>
      </c>
      <c r="C586">
        <v>80</v>
      </c>
      <c r="D586">
        <v>69.120437621999997</v>
      </c>
      <c r="E586">
        <v>50</v>
      </c>
      <c r="F586">
        <v>49.947055816999999</v>
      </c>
      <c r="G586">
        <v>1295.0623779</v>
      </c>
      <c r="H586">
        <v>1281.8769531</v>
      </c>
      <c r="I586">
        <v>1398.0972899999999</v>
      </c>
      <c r="J586">
        <v>1378.4620361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259.00804900000003</v>
      </c>
      <c r="B587" s="1">
        <f>DATE(2011,1,15) + TIME(0,11,35)</f>
        <v>40558.008043981485</v>
      </c>
      <c r="C587">
        <v>80</v>
      </c>
      <c r="D587">
        <v>68.926391601999995</v>
      </c>
      <c r="E587">
        <v>50</v>
      </c>
      <c r="F587">
        <v>49.947208404999998</v>
      </c>
      <c r="G587">
        <v>1294.8665771000001</v>
      </c>
      <c r="H587">
        <v>1281.6206055</v>
      </c>
      <c r="I587">
        <v>1398.0200195</v>
      </c>
      <c r="J587">
        <v>1378.3847656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260.70354200000003</v>
      </c>
      <c r="B588" s="1">
        <f>DATE(2011,1,16) + TIME(16,53,5)</f>
        <v>40559.703530092593</v>
      </c>
      <c r="C588">
        <v>80</v>
      </c>
      <c r="D588">
        <v>68.727951050000001</v>
      </c>
      <c r="E588">
        <v>50</v>
      </c>
      <c r="F588">
        <v>49.947360992</v>
      </c>
      <c r="G588">
        <v>1294.6644286999999</v>
      </c>
      <c r="H588">
        <v>1281.3547363</v>
      </c>
      <c r="I588">
        <v>1397.9442139</v>
      </c>
      <c r="J588">
        <v>1378.3087158000001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262.42051800000002</v>
      </c>
      <c r="B589" s="1">
        <f>DATE(2011,1,18) + TIME(10,5,32)</f>
        <v>40561.42050925926</v>
      </c>
      <c r="C589">
        <v>80</v>
      </c>
      <c r="D589">
        <v>68.525306701999995</v>
      </c>
      <c r="E589">
        <v>50</v>
      </c>
      <c r="F589">
        <v>49.947517394999998</v>
      </c>
      <c r="G589">
        <v>1294.4558105000001</v>
      </c>
      <c r="H589">
        <v>1281.0793457</v>
      </c>
      <c r="I589">
        <v>1397.8695068</v>
      </c>
      <c r="J589">
        <v>1378.2337646000001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264.16845999999998</v>
      </c>
      <c r="B590" s="1">
        <f>DATE(2011,1,20) + TIME(4,2,34)</f>
        <v>40563.168449074074</v>
      </c>
      <c r="C590">
        <v>80</v>
      </c>
      <c r="D590">
        <v>68.317802428999997</v>
      </c>
      <c r="E590">
        <v>50</v>
      </c>
      <c r="F590">
        <v>49.947673797999997</v>
      </c>
      <c r="G590">
        <v>1294.2403564000001</v>
      </c>
      <c r="H590">
        <v>1280.7935791</v>
      </c>
      <c r="I590">
        <v>1397.7956543</v>
      </c>
      <c r="J590">
        <v>1378.1595459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265.95720999999998</v>
      </c>
      <c r="B591" s="1">
        <f>DATE(2011,1,21) + TIME(22,58,22)</f>
        <v>40564.957199074073</v>
      </c>
      <c r="C591">
        <v>80</v>
      </c>
      <c r="D591">
        <v>68.104209900000001</v>
      </c>
      <c r="E591">
        <v>50</v>
      </c>
      <c r="F591">
        <v>49.947834014999998</v>
      </c>
      <c r="G591">
        <v>1294.0166016000001</v>
      </c>
      <c r="H591">
        <v>1280.4959716999999</v>
      </c>
      <c r="I591">
        <v>1397.7225341999999</v>
      </c>
      <c r="J591">
        <v>1378.0858154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267.79241200000001</v>
      </c>
      <c r="B592" s="1">
        <f>DATE(2011,1,23) + TIME(19,1,4)</f>
        <v>40566.792407407411</v>
      </c>
      <c r="C592">
        <v>80</v>
      </c>
      <c r="D592">
        <v>67.883171082000004</v>
      </c>
      <c r="E592">
        <v>50</v>
      </c>
      <c r="F592">
        <v>49.947998046999999</v>
      </c>
      <c r="G592">
        <v>1293.7832031</v>
      </c>
      <c r="H592">
        <v>1280.1846923999999</v>
      </c>
      <c r="I592">
        <v>1397.6494141000001</v>
      </c>
      <c r="J592">
        <v>1378.0119629000001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269.67383000000001</v>
      </c>
      <c r="B593" s="1">
        <f>DATE(2011,1,25) + TIME(16,10,18)</f>
        <v>40568.673819444448</v>
      </c>
      <c r="C593">
        <v>80</v>
      </c>
      <c r="D593">
        <v>67.653656006000006</v>
      </c>
      <c r="E593">
        <v>50</v>
      </c>
      <c r="F593">
        <v>49.948165893999999</v>
      </c>
      <c r="G593">
        <v>1293.5393065999999</v>
      </c>
      <c r="H593">
        <v>1279.8581543</v>
      </c>
      <c r="I593">
        <v>1397.5762939000001</v>
      </c>
      <c r="J593">
        <v>1377.9379882999999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271.555249</v>
      </c>
      <c r="B594" s="1">
        <f>DATE(2011,1,27) + TIME(13,19,33)</f>
        <v>40570.555243055554</v>
      </c>
      <c r="C594">
        <v>80</v>
      </c>
      <c r="D594">
        <v>67.416748046999999</v>
      </c>
      <c r="E594">
        <v>50</v>
      </c>
      <c r="F594">
        <v>49.948329926</v>
      </c>
      <c r="G594">
        <v>1293.2844238</v>
      </c>
      <c r="H594">
        <v>1279.5162353999999</v>
      </c>
      <c r="I594">
        <v>1397.5031738</v>
      </c>
      <c r="J594">
        <v>1377.8638916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273.45835899999997</v>
      </c>
      <c r="B595" s="1">
        <f>DATE(2011,1,29) + TIME(11,0,2)</f>
        <v>40572.458356481482</v>
      </c>
      <c r="C595">
        <v>80</v>
      </c>
      <c r="D595">
        <v>67.173767089999998</v>
      </c>
      <c r="E595">
        <v>50</v>
      </c>
      <c r="F595">
        <v>49.948497772000003</v>
      </c>
      <c r="G595">
        <v>1293.0239257999999</v>
      </c>
      <c r="H595">
        <v>1279.1649170000001</v>
      </c>
      <c r="I595">
        <v>1397.4317627</v>
      </c>
      <c r="J595">
        <v>1377.7913818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275.37773199999998</v>
      </c>
      <c r="B596" s="1">
        <f>DATE(2011,1,31) + TIME(9,3,56)</f>
        <v>40574.37773148148</v>
      </c>
      <c r="C596">
        <v>80</v>
      </c>
      <c r="D596">
        <v>66.924041747999993</v>
      </c>
      <c r="E596">
        <v>50</v>
      </c>
      <c r="F596">
        <v>49.948665619000003</v>
      </c>
      <c r="G596">
        <v>1292.7556152</v>
      </c>
      <c r="H596">
        <v>1278.8020019999999</v>
      </c>
      <c r="I596">
        <v>1397.3613281</v>
      </c>
      <c r="J596">
        <v>1377.7197266000001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276</v>
      </c>
      <c r="B597" s="1">
        <f>DATE(2011,2,1) + TIME(0,0,0)</f>
        <v>40575</v>
      </c>
      <c r="C597">
        <v>80</v>
      </c>
      <c r="D597">
        <v>66.769233704000001</v>
      </c>
      <c r="E597">
        <v>50</v>
      </c>
      <c r="F597">
        <v>49.948719025000003</v>
      </c>
      <c r="G597">
        <v>1292.4899902</v>
      </c>
      <c r="H597">
        <v>1278.4633789</v>
      </c>
      <c r="I597">
        <v>1397.2907714999999</v>
      </c>
      <c r="J597">
        <v>1377.6481934000001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277.94590399999998</v>
      </c>
      <c r="B598" s="1">
        <f>DATE(2011,2,2) + TIME(22,42,6)</f>
        <v>40576.945902777778</v>
      </c>
      <c r="C598">
        <v>80</v>
      </c>
      <c r="D598">
        <v>66.559577942000004</v>
      </c>
      <c r="E598">
        <v>50</v>
      </c>
      <c r="F598">
        <v>49.948890685999999</v>
      </c>
      <c r="G598">
        <v>1292.3753661999999</v>
      </c>
      <c r="H598">
        <v>1278.2791748</v>
      </c>
      <c r="I598">
        <v>1397.2697754000001</v>
      </c>
      <c r="J598">
        <v>1377.6256103999999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279.944232</v>
      </c>
      <c r="B599" s="1">
        <f>DATE(2011,2,4) + TIME(22,39,41)</f>
        <v>40578.944224537037</v>
      </c>
      <c r="C599">
        <v>80</v>
      </c>
      <c r="D599">
        <v>66.306350707999997</v>
      </c>
      <c r="E599">
        <v>50</v>
      </c>
      <c r="F599">
        <v>49.949066162000001</v>
      </c>
      <c r="G599">
        <v>1292.0994873</v>
      </c>
      <c r="H599">
        <v>1277.9067382999999</v>
      </c>
      <c r="I599">
        <v>1397.2015381000001</v>
      </c>
      <c r="J599">
        <v>1377.5563964999999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281.99271599999997</v>
      </c>
      <c r="B600" s="1">
        <f>DATE(2011,2,6) + TIME(23,49,30)</f>
        <v>40580.992708333331</v>
      </c>
      <c r="C600">
        <v>80</v>
      </c>
      <c r="D600">
        <v>66.030158997000001</v>
      </c>
      <c r="E600">
        <v>50</v>
      </c>
      <c r="F600">
        <v>49.949241637999997</v>
      </c>
      <c r="G600">
        <v>1291.8043213000001</v>
      </c>
      <c r="H600">
        <v>1277.5039062000001</v>
      </c>
      <c r="I600">
        <v>1397.1330565999999</v>
      </c>
      <c r="J600">
        <v>1377.4863281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284.08687500000002</v>
      </c>
      <c r="B601" s="1">
        <f>DATE(2011,2,9) + TIME(2,5,5)</f>
        <v>40583.086863425924</v>
      </c>
      <c r="C601">
        <v>80</v>
      </c>
      <c r="D601">
        <v>65.737319946</v>
      </c>
      <c r="E601">
        <v>50</v>
      </c>
      <c r="F601">
        <v>49.949417113999999</v>
      </c>
      <c r="G601">
        <v>1291.4946289</v>
      </c>
      <c r="H601">
        <v>1277.0788574000001</v>
      </c>
      <c r="I601">
        <v>1397.0644531</v>
      </c>
      <c r="J601">
        <v>1377.4160156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286.18816800000002</v>
      </c>
      <c r="B602" s="1">
        <f>DATE(2011,2,11) + TIME(4,30,57)</f>
        <v>40585.188159722224</v>
      </c>
      <c r="C602">
        <v>80</v>
      </c>
      <c r="D602">
        <v>65.431114196999999</v>
      </c>
      <c r="E602">
        <v>50</v>
      </c>
      <c r="F602">
        <v>49.949596405000001</v>
      </c>
      <c r="G602">
        <v>1291.1722411999999</v>
      </c>
      <c r="H602">
        <v>1276.6347656</v>
      </c>
      <c r="I602">
        <v>1396.9957274999999</v>
      </c>
      <c r="J602">
        <v>1377.3455810999999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288.30035800000002</v>
      </c>
      <c r="B603" s="1">
        <f>DATE(2011,2,13) + TIME(7,12,30)</f>
        <v>40587.300347222219</v>
      </c>
      <c r="C603">
        <v>80</v>
      </c>
      <c r="D603">
        <v>65.114288329999994</v>
      </c>
      <c r="E603">
        <v>50</v>
      </c>
      <c r="F603">
        <v>49.949775696000003</v>
      </c>
      <c r="G603">
        <v>1290.8427733999999</v>
      </c>
      <c r="H603">
        <v>1276.1787108999999</v>
      </c>
      <c r="I603">
        <v>1396.9283447</v>
      </c>
      <c r="J603">
        <v>1377.2762451000001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290.43512600000003</v>
      </c>
      <c r="B604" s="1">
        <f>DATE(2011,2,15) + TIME(10,26,34)</f>
        <v>40589.435115740744</v>
      </c>
      <c r="C604">
        <v>80</v>
      </c>
      <c r="D604">
        <v>64.786689757999994</v>
      </c>
      <c r="E604">
        <v>50</v>
      </c>
      <c r="F604">
        <v>49.949954986999998</v>
      </c>
      <c r="G604">
        <v>1290.5062256000001</v>
      </c>
      <c r="H604">
        <v>1275.7110596</v>
      </c>
      <c r="I604">
        <v>1396.8620605000001</v>
      </c>
      <c r="J604">
        <v>1377.2080077999999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292.603836</v>
      </c>
      <c r="B605" s="1">
        <f>DATE(2011,2,17) + TIME(14,29,31)</f>
        <v>40591.603831018518</v>
      </c>
      <c r="C605">
        <v>80</v>
      </c>
      <c r="D605">
        <v>64.446601868000002</v>
      </c>
      <c r="E605">
        <v>50</v>
      </c>
      <c r="F605">
        <v>49.950134276999997</v>
      </c>
      <c r="G605">
        <v>1290.1613769999999</v>
      </c>
      <c r="H605">
        <v>1275.2297363</v>
      </c>
      <c r="I605">
        <v>1396.7965088000001</v>
      </c>
      <c r="J605">
        <v>1377.1402588000001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294.819412</v>
      </c>
      <c r="B606" s="1">
        <f>DATE(2011,2,19) + TIME(19,39,57)</f>
        <v>40593.819409722222</v>
      </c>
      <c r="C606">
        <v>80</v>
      </c>
      <c r="D606">
        <v>64.091659546000002</v>
      </c>
      <c r="E606">
        <v>50</v>
      </c>
      <c r="F606">
        <v>49.950317382999998</v>
      </c>
      <c r="G606">
        <v>1289.8063964999999</v>
      </c>
      <c r="H606">
        <v>1274.7324219</v>
      </c>
      <c r="I606">
        <v>1396.7312012</v>
      </c>
      <c r="J606">
        <v>1377.072876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297.034989</v>
      </c>
      <c r="B607" s="1">
        <f>DATE(2011,2,22) + TIME(0,50,23)</f>
        <v>40596.034988425927</v>
      </c>
      <c r="C607">
        <v>80</v>
      </c>
      <c r="D607">
        <v>63.721820831000002</v>
      </c>
      <c r="E607">
        <v>50</v>
      </c>
      <c r="F607">
        <v>49.950500488000003</v>
      </c>
      <c r="G607">
        <v>1289.4393310999999</v>
      </c>
      <c r="H607">
        <v>1274.2169189000001</v>
      </c>
      <c r="I607">
        <v>1396.6657714999999</v>
      </c>
      <c r="J607">
        <v>1377.005249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299.34834000000001</v>
      </c>
      <c r="B608" s="1">
        <f>DATE(2011,2,24) + TIME(8,21,36)</f>
        <v>40598.348333333335</v>
      </c>
      <c r="C608">
        <v>80</v>
      </c>
      <c r="D608">
        <v>63.335769653</v>
      </c>
      <c r="E608">
        <v>50</v>
      </c>
      <c r="F608">
        <v>49.950687408</v>
      </c>
      <c r="G608">
        <v>1289.0664062000001</v>
      </c>
      <c r="H608">
        <v>1273.6894531</v>
      </c>
      <c r="I608">
        <v>1396.6016846</v>
      </c>
      <c r="J608">
        <v>1376.9389647999999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301.66169000000002</v>
      </c>
      <c r="B609" s="1">
        <f>DATE(2011,2,26) + TIME(15,52,50)</f>
        <v>40600.661689814813</v>
      </c>
      <c r="C609">
        <v>80</v>
      </c>
      <c r="D609">
        <v>62.929164886000002</v>
      </c>
      <c r="E609">
        <v>50</v>
      </c>
      <c r="F609">
        <v>49.950874329000001</v>
      </c>
      <c r="G609">
        <v>1288.6745605000001</v>
      </c>
      <c r="H609">
        <v>1273.1347656</v>
      </c>
      <c r="I609">
        <v>1396.5358887</v>
      </c>
      <c r="J609">
        <v>1376.8709716999999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304</v>
      </c>
      <c r="B610" s="1">
        <f>DATE(2011,3,1) + TIME(0,0,0)</f>
        <v>40603</v>
      </c>
      <c r="C610">
        <v>80</v>
      </c>
      <c r="D610">
        <v>62.507255553999997</v>
      </c>
      <c r="E610">
        <v>50</v>
      </c>
      <c r="F610">
        <v>49.951065063000001</v>
      </c>
      <c r="G610">
        <v>1288.2763672000001</v>
      </c>
      <c r="H610">
        <v>1272.5679932</v>
      </c>
      <c r="I610">
        <v>1396.4714355000001</v>
      </c>
      <c r="J610">
        <v>1376.8041992000001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306.33529199999998</v>
      </c>
      <c r="B611" s="1">
        <f>DATE(2011,3,3) + TIME(8,2,49)</f>
        <v>40605.335289351853</v>
      </c>
      <c r="C611">
        <v>80</v>
      </c>
      <c r="D611">
        <v>62.070468902999998</v>
      </c>
      <c r="E611">
        <v>50</v>
      </c>
      <c r="F611">
        <v>49.951248169000003</v>
      </c>
      <c r="G611">
        <v>1287.8698730000001</v>
      </c>
      <c r="H611">
        <v>1271.9870605000001</v>
      </c>
      <c r="I611">
        <v>1396.4073486</v>
      </c>
      <c r="J611">
        <v>1376.7379149999999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308.73925100000002</v>
      </c>
      <c r="B612" s="1">
        <f>DATE(2011,3,5) + TIME(17,44,31)</f>
        <v>40607.739247685182</v>
      </c>
      <c r="C612">
        <v>80</v>
      </c>
      <c r="D612">
        <v>61.617790221999996</v>
      </c>
      <c r="E612">
        <v>50</v>
      </c>
      <c r="F612">
        <v>49.951438904</v>
      </c>
      <c r="G612">
        <v>1287.4591064000001</v>
      </c>
      <c r="H612">
        <v>1271.3963623</v>
      </c>
      <c r="I612">
        <v>1396.3444824000001</v>
      </c>
      <c r="J612">
        <v>1376.6727295000001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311.181129</v>
      </c>
      <c r="B613" s="1">
        <f>DATE(2011,3,8) + TIME(4,20,49)</f>
        <v>40610.181122685186</v>
      </c>
      <c r="C613">
        <v>80</v>
      </c>
      <c r="D613">
        <v>61.143463134999998</v>
      </c>
      <c r="E613">
        <v>50</v>
      </c>
      <c r="F613">
        <v>49.951629638999997</v>
      </c>
      <c r="G613">
        <v>1287.0339355000001</v>
      </c>
      <c r="H613">
        <v>1270.7832031</v>
      </c>
      <c r="I613">
        <v>1396.2808838000001</v>
      </c>
      <c r="J613">
        <v>1376.6069336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313.65964200000002</v>
      </c>
      <c r="B614" s="1">
        <f>DATE(2011,3,10) + TIME(15,49,53)</f>
        <v>40612.659641203703</v>
      </c>
      <c r="C614">
        <v>80</v>
      </c>
      <c r="D614">
        <v>60.648662567000002</v>
      </c>
      <c r="E614">
        <v>50</v>
      </c>
      <c r="F614">
        <v>49.951820374</v>
      </c>
      <c r="G614">
        <v>1286.5980225000001</v>
      </c>
      <c r="H614">
        <v>1270.1516113</v>
      </c>
      <c r="I614">
        <v>1396.2172852000001</v>
      </c>
      <c r="J614">
        <v>1376.5410156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316.13815499999998</v>
      </c>
      <c r="B615" s="1">
        <f>DATE(2011,3,13) + TIME(3,18,56)</f>
        <v>40615.138148148151</v>
      </c>
      <c r="C615">
        <v>80</v>
      </c>
      <c r="D615">
        <v>60.135505676000001</v>
      </c>
      <c r="E615">
        <v>50</v>
      </c>
      <c r="F615">
        <v>49.952011108000001</v>
      </c>
      <c r="G615">
        <v>1286.1522216999999</v>
      </c>
      <c r="H615">
        <v>1269.5031738</v>
      </c>
      <c r="I615">
        <v>1396.1536865</v>
      </c>
      <c r="J615">
        <v>1376.4752197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318.64749599999999</v>
      </c>
      <c r="B616" s="1">
        <f>DATE(2011,3,15) + TIME(15,32,23)</f>
        <v>40617.647488425922</v>
      </c>
      <c r="C616">
        <v>80</v>
      </c>
      <c r="D616">
        <v>59.606147765999999</v>
      </c>
      <c r="E616">
        <v>50</v>
      </c>
      <c r="F616">
        <v>49.952201842999997</v>
      </c>
      <c r="G616">
        <v>1285.7026367000001</v>
      </c>
      <c r="H616">
        <v>1268.8452147999999</v>
      </c>
      <c r="I616">
        <v>1396.0910644999999</v>
      </c>
      <c r="J616">
        <v>1376.4105225000001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321.17814099999998</v>
      </c>
      <c r="B617" s="1">
        <f>DATE(2011,3,18) + TIME(4,16,31)</f>
        <v>40620.178136574075</v>
      </c>
      <c r="C617">
        <v>80</v>
      </c>
      <c r="D617">
        <v>59.058689117</v>
      </c>
      <c r="E617">
        <v>50</v>
      </c>
      <c r="F617">
        <v>49.952392578000001</v>
      </c>
      <c r="G617">
        <v>1285.2453613</v>
      </c>
      <c r="H617">
        <v>1268.1730957</v>
      </c>
      <c r="I617">
        <v>1396.0285644999999</v>
      </c>
      <c r="J617">
        <v>1376.3458252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323.72987599999999</v>
      </c>
      <c r="B618" s="1">
        <f>DATE(2011,3,20) + TIME(17,31,1)</f>
        <v>40622.729872685188</v>
      </c>
      <c r="C618">
        <v>80</v>
      </c>
      <c r="D618">
        <v>58.494094849</v>
      </c>
      <c r="E618">
        <v>50</v>
      </c>
      <c r="F618">
        <v>49.952583312999998</v>
      </c>
      <c r="G618">
        <v>1284.7819824000001</v>
      </c>
      <c r="H618">
        <v>1267.4886475000001</v>
      </c>
      <c r="I618">
        <v>1395.9663086</v>
      </c>
      <c r="J618">
        <v>1376.2816161999999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326.300028</v>
      </c>
      <c r="B619" s="1">
        <f>DATE(2011,3,23) + TIME(7,12,2)</f>
        <v>40625.300023148149</v>
      </c>
      <c r="C619">
        <v>80</v>
      </c>
      <c r="D619">
        <v>57.912731170999997</v>
      </c>
      <c r="E619">
        <v>50</v>
      </c>
      <c r="F619">
        <v>49.952774048000002</v>
      </c>
      <c r="G619">
        <v>1284.3128661999999</v>
      </c>
      <c r="H619">
        <v>1266.7923584</v>
      </c>
      <c r="I619">
        <v>1395.9044189000001</v>
      </c>
      <c r="J619">
        <v>1376.2177733999999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328.89510100000001</v>
      </c>
      <c r="B620" s="1">
        <f>DATE(2011,3,25) + TIME(21,28,56)</f>
        <v>40627.895092592589</v>
      </c>
      <c r="C620">
        <v>80</v>
      </c>
      <c r="D620">
        <v>57.315029144</v>
      </c>
      <c r="E620">
        <v>50</v>
      </c>
      <c r="F620">
        <v>49.952960967999999</v>
      </c>
      <c r="G620">
        <v>1283.8391113</v>
      </c>
      <c r="H620">
        <v>1266.0853271000001</v>
      </c>
      <c r="I620">
        <v>1395.8427733999999</v>
      </c>
      <c r="J620">
        <v>1376.1542969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331.51787899999999</v>
      </c>
      <c r="B621" s="1">
        <f>DATE(2011,3,28) + TIME(12,25,44)</f>
        <v>40630.517870370371</v>
      </c>
      <c r="C621">
        <v>80</v>
      </c>
      <c r="D621">
        <v>56.700550079000003</v>
      </c>
      <c r="E621">
        <v>50</v>
      </c>
      <c r="F621">
        <v>49.953151703000003</v>
      </c>
      <c r="G621">
        <v>1283.3598632999999</v>
      </c>
      <c r="H621">
        <v>1265.3665771000001</v>
      </c>
      <c r="I621">
        <v>1395.78125</v>
      </c>
      <c r="J621">
        <v>1376.0910644999999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334.171333</v>
      </c>
      <c r="B622" s="1">
        <f>DATE(2011,3,31) + TIME(4,6,43)</f>
        <v>40633.171331018515</v>
      </c>
      <c r="C622">
        <v>80</v>
      </c>
      <c r="D622">
        <v>56.069103241000001</v>
      </c>
      <c r="E622">
        <v>50</v>
      </c>
      <c r="F622">
        <v>49.953342438</v>
      </c>
      <c r="G622">
        <v>1282.8752440999999</v>
      </c>
      <c r="H622">
        <v>1264.6361084</v>
      </c>
      <c r="I622">
        <v>1395.7196045000001</v>
      </c>
      <c r="J622">
        <v>1376.0279541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335</v>
      </c>
      <c r="B623" s="1">
        <f>DATE(2011,4,1) + TIME(0,0,0)</f>
        <v>40634</v>
      </c>
      <c r="C623">
        <v>80</v>
      </c>
      <c r="D623">
        <v>55.639762877999999</v>
      </c>
      <c r="E623">
        <v>50</v>
      </c>
      <c r="F623">
        <v>49.953399658000002</v>
      </c>
      <c r="G623">
        <v>1282.3969727000001</v>
      </c>
      <c r="H623">
        <v>1263.9776611</v>
      </c>
      <c r="I623">
        <v>1395.6571045000001</v>
      </c>
      <c r="J623">
        <v>1375.9642334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337.69054699999998</v>
      </c>
      <c r="B624" s="1">
        <f>DATE(2011,4,3) + TIME(16,34,23)</f>
        <v>40636.69054398148</v>
      </c>
      <c r="C624">
        <v>80</v>
      </c>
      <c r="D624">
        <v>55.163288115999997</v>
      </c>
      <c r="E624">
        <v>50</v>
      </c>
      <c r="F624">
        <v>49.953594207999998</v>
      </c>
      <c r="G624">
        <v>1282.2106934000001</v>
      </c>
      <c r="H624">
        <v>1263.6114502</v>
      </c>
      <c r="I624">
        <v>1395.6387939000001</v>
      </c>
      <c r="J624">
        <v>1375.9444579999999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340.425792</v>
      </c>
      <c r="B625" s="1">
        <f>DATE(2011,4,6) + TIME(10,13,8)</f>
        <v>40639.425787037035</v>
      </c>
      <c r="C625">
        <v>80</v>
      </c>
      <c r="D625">
        <v>54.533996582</v>
      </c>
      <c r="E625">
        <v>50</v>
      </c>
      <c r="F625">
        <v>49.953781128000003</v>
      </c>
      <c r="G625">
        <v>1281.7322998</v>
      </c>
      <c r="H625">
        <v>1262.8933105000001</v>
      </c>
      <c r="I625">
        <v>1395.5771483999999</v>
      </c>
      <c r="J625">
        <v>1375.8819579999999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343.16103800000002</v>
      </c>
      <c r="B626" s="1">
        <f>DATE(2011,4,9) + TIME(3,51,53)</f>
        <v>40642.161030092589</v>
      </c>
      <c r="C626">
        <v>80</v>
      </c>
      <c r="D626">
        <v>53.858036040999998</v>
      </c>
      <c r="E626">
        <v>50</v>
      </c>
      <c r="F626">
        <v>49.953971863</v>
      </c>
      <c r="G626">
        <v>1281.234375</v>
      </c>
      <c r="H626">
        <v>1262.1325684000001</v>
      </c>
      <c r="I626">
        <v>1395.5148925999999</v>
      </c>
      <c r="J626">
        <v>1375.8187256000001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345.89628299999998</v>
      </c>
      <c r="B627" s="1">
        <f>DATE(2011,4,11) + TIME(21,30,38)</f>
        <v>40644.896273148152</v>
      </c>
      <c r="C627">
        <v>80</v>
      </c>
      <c r="D627">
        <v>53.167068481000001</v>
      </c>
      <c r="E627">
        <v>50</v>
      </c>
      <c r="F627">
        <v>49.954158782999997</v>
      </c>
      <c r="G627">
        <v>1280.7349853999999</v>
      </c>
      <c r="H627">
        <v>1261.3624268000001</v>
      </c>
      <c r="I627">
        <v>1395.453125</v>
      </c>
      <c r="J627">
        <v>1375.7558594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348.631529</v>
      </c>
      <c r="B628" s="1">
        <f>DATE(2011,4,14) + TIME(15,9,24)</f>
        <v>40647.631527777776</v>
      </c>
      <c r="C628">
        <v>80</v>
      </c>
      <c r="D628">
        <v>52.469280243</v>
      </c>
      <c r="E628">
        <v>50</v>
      </c>
      <c r="F628">
        <v>49.954341888000002</v>
      </c>
      <c r="G628">
        <v>1280.2375488</v>
      </c>
      <c r="H628">
        <v>1260.5904541</v>
      </c>
      <c r="I628">
        <v>1395.3918457</v>
      </c>
      <c r="J628">
        <v>1375.6937256000001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351.36677400000002</v>
      </c>
      <c r="B629" s="1">
        <f>DATE(2011,4,17) + TIME(8,48,9)</f>
        <v>40650.366770833331</v>
      </c>
      <c r="C629">
        <v>80</v>
      </c>
      <c r="D629">
        <v>51.767726897999999</v>
      </c>
      <c r="E629">
        <v>50</v>
      </c>
      <c r="F629">
        <v>49.954524994000003</v>
      </c>
      <c r="G629">
        <v>1279.7435303</v>
      </c>
      <c r="H629">
        <v>1259.8192139</v>
      </c>
      <c r="I629">
        <v>1395.3309326000001</v>
      </c>
      <c r="J629">
        <v>1375.6320800999999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354.258036</v>
      </c>
      <c r="B630" s="1">
        <f>DATE(2011,4,20) + TIME(6,11,34)</f>
        <v>40653.258032407408</v>
      </c>
      <c r="C630">
        <v>80</v>
      </c>
      <c r="D630">
        <v>51.055759430000002</v>
      </c>
      <c r="E630">
        <v>50</v>
      </c>
      <c r="F630">
        <v>49.954715729</v>
      </c>
      <c r="G630">
        <v>1279.253418</v>
      </c>
      <c r="H630">
        <v>1259.0467529</v>
      </c>
      <c r="I630">
        <v>1395.2705077999999</v>
      </c>
      <c r="J630">
        <v>1375.5710449000001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357.19292000000002</v>
      </c>
      <c r="B631" s="1">
        <f>DATE(2011,4,23) + TIME(4,37,48)</f>
        <v>40656.192916666667</v>
      </c>
      <c r="C631">
        <v>80</v>
      </c>
      <c r="D631">
        <v>50.316120148000003</v>
      </c>
      <c r="E631">
        <v>50</v>
      </c>
      <c r="F631">
        <v>49.954910278</v>
      </c>
      <c r="G631">
        <v>1278.7430420000001</v>
      </c>
      <c r="H631">
        <v>1258.2420654</v>
      </c>
      <c r="I631">
        <v>1395.2069091999999</v>
      </c>
      <c r="J631">
        <v>1375.5069579999999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360.17938299999997</v>
      </c>
      <c r="B632" s="1">
        <f>DATE(2011,4,26) + TIME(4,18,18)</f>
        <v>40659.179375</v>
      </c>
      <c r="C632">
        <v>80</v>
      </c>
      <c r="D632">
        <v>49.562229156000001</v>
      </c>
      <c r="E632">
        <v>50</v>
      </c>
      <c r="F632">
        <v>49.955101012999997</v>
      </c>
      <c r="G632">
        <v>1278.2297363</v>
      </c>
      <c r="H632">
        <v>1257.4266356999999</v>
      </c>
      <c r="I632">
        <v>1395.1428223</v>
      </c>
      <c r="J632">
        <v>1375.4425048999999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363.22447799999998</v>
      </c>
      <c r="B633" s="1">
        <f>DATE(2011,4,29) + TIME(5,23,14)</f>
        <v>40662.22446759259</v>
      </c>
      <c r="C633">
        <v>80</v>
      </c>
      <c r="D633">
        <v>48.797130584999998</v>
      </c>
      <c r="E633">
        <v>50</v>
      </c>
      <c r="F633">
        <v>49.955295563</v>
      </c>
      <c r="G633">
        <v>1277.7144774999999</v>
      </c>
      <c r="H633">
        <v>1256.6025391000001</v>
      </c>
      <c r="I633">
        <v>1395.0778809000001</v>
      </c>
      <c r="J633">
        <v>1375.3773193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365</v>
      </c>
      <c r="B634" s="1">
        <f>DATE(2011,5,1) + TIME(0,0,0)</f>
        <v>40664</v>
      </c>
      <c r="C634">
        <v>80</v>
      </c>
      <c r="D634">
        <v>48.123191833</v>
      </c>
      <c r="E634">
        <v>50</v>
      </c>
      <c r="F634">
        <v>49.955406189000001</v>
      </c>
      <c r="G634">
        <v>1277.1998291</v>
      </c>
      <c r="H634">
        <v>1255.8117675999999</v>
      </c>
      <c r="I634">
        <v>1395.0114745999999</v>
      </c>
      <c r="J634">
        <v>1375.3110352000001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365.000001</v>
      </c>
      <c r="B635" s="1">
        <f>DATE(2011,5,1) + TIME(0,0,0)</f>
        <v>40664</v>
      </c>
      <c r="C635">
        <v>80</v>
      </c>
      <c r="D635">
        <v>48.123355865000001</v>
      </c>
      <c r="E635">
        <v>50</v>
      </c>
      <c r="F635">
        <v>49.955295563</v>
      </c>
      <c r="G635">
        <v>1300.7320557</v>
      </c>
      <c r="H635">
        <v>1278.1726074000001</v>
      </c>
      <c r="I635">
        <v>1374.4368896000001</v>
      </c>
      <c r="J635">
        <v>1355.7938231999999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365.00000399999999</v>
      </c>
      <c r="B636" s="1">
        <f>DATE(2011,5,1) + TIME(0,0,0)</f>
        <v>40664</v>
      </c>
      <c r="C636">
        <v>80</v>
      </c>
      <c r="D636">
        <v>48.123806000000002</v>
      </c>
      <c r="E636">
        <v>50</v>
      </c>
      <c r="F636">
        <v>49.955001830999997</v>
      </c>
      <c r="G636">
        <v>1303.1232910000001</v>
      </c>
      <c r="H636">
        <v>1280.7669678</v>
      </c>
      <c r="I636">
        <v>1372.1047363</v>
      </c>
      <c r="J636">
        <v>1353.4606934000001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365.00001300000002</v>
      </c>
      <c r="B637" s="1">
        <f>DATE(2011,5,1) + TIME(0,0,1)</f>
        <v>40664.000011574077</v>
      </c>
      <c r="C637">
        <v>80</v>
      </c>
      <c r="D637">
        <v>48.124912262000002</v>
      </c>
      <c r="E637">
        <v>50</v>
      </c>
      <c r="F637">
        <v>49.954341888000002</v>
      </c>
      <c r="G637">
        <v>1308.6451416</v>
      </c>
      <c r="H637">
        <v>1286.5957031</v>
      </c>
      <c r="I637">
        <v>1366.8730469</v>
      </c>
      <c r="J637">
        <v>1348.2272949000001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365.00004000000001</v>
      </c>
      <c r="B638" s="1">
        <f>DATE(2011,5,1) + TIME(0,0,3)</f>
        <v>40664.000034722223</v>
      </c>
      <c r="C638">
        <v>80</v>
      </c>
      <c r="D638">
        <v>48.127281189000001</v>
      </c>
      <c r="E638">
        <v>50</v>
      </c>
      <c r="F638">
        <v>49.953239441000001</v>
      </c>
      <c r="G638">
        <v>1318.2961425999999</v>
      </c>
      <c r="H638">
        <v>1296.4194336</v>
      </c>
      <c r="I638">
        <v>1358.1300048999999</v>
      </c>
      <c r="J638">
        <v>1339.4842529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365.00012099999998</v>
      </c>
      <c r="B639" s="1">
        <f>DATE(2011,5,1) + TIME(0,0,10)</f>
        <v>40664.000115740739</v>
      </c>
      <c r="C639">
        <v>80</v>
      </c>
      <c r="D639">
        <v>48.132225036999998</v>
      </c>
      <c r="E639">
        <v>50</v>
      </c>
      <c r="F639">
        <v>49.951881409000002</v>
      </c>
      <c r="G639">
        <v>1330.5109863</v>
      </c>
      <c r="H639">
        <v>1308.5634766000001</v>
      </c>
      <c r="I639">
        <v>1347.4487305</v>
      </c>
      <c r="J639">
        <v>1328.8126221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365.00036399999999</v>
      </c>
      <c r="B640" s="1">
        <f>DATE(2011,5,1) + TIME(0,0,31)</f>
        <v>40664.000358796293</v>
      </c>
      <c r="C640">
        <v>80</v>
      </c>
      <c r="D640">
        <v>48.144157409999998</v>
      </c>
      <c r="E640">
        <v>50</v>
      </c>
      <c r="F640">
        <v>49.950450897000003</v>
      </c>
      <c r="G640">
        <v>1343.4210204999999</v>
      </c>
      <c r="H640">
        <v>1321.3433838000001</v>
      </c>
      <c r="I640">
        <v>1336.4455565999999</v>
      </c>
      <c r="J640">
        <v>1317.8265381000001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365.00109300000003</v>
      </c>
      <c r="B641" s="1">
        <f>DATE(2011,5,1) + TIME(0,1,34)</f>
        <v>40664.001087962963</v>
      </c>
      <c r="C641">
        <v>80</v>
      </c>
      <c r="D641">
        <v>48.176971436000002</v>
      </c>
      <c r="E641">
        <v>50</v>
      </c>
      <c r="F641">
        <v>49.948917389000002</v>
      </c>
      <c r="G641">
        <v>1356.7814940999999</v>
      </c>
      <c r="H641">
        <v>1334.5854492000001</v>
      </c>
      <c r="I641">
        <v>1325.4180908000001</v>
      </c>
      <c r="J641">
        <v>1306.8203125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365.00328000000002</v>
      </c>
      <c r="B642" s="1">
        <f>DATE(2011,5,1) + TIME(0,4,43)</f>
        <v>40664.003275462965</v>
      </c>
      <c r="C642">
        <v>80</v>
      </c>
      <c r="D642">
        <v>48.272354126000003</v>
      </c>
      <c r="E642">
        <v>50</v>
      </c>
      <c r="F642">
        <v>49.947044372999997</v>
      </c>
      <c r="G642">
        <v>1371.0386963000001</v>
      </c>
      <c r="H642">
        <v>1348.7818603999999</v>
      </c>
      <c r="I642">
        <v>1314.0783690999999</v>
      </c>
      <c r="J642">
        <v>1295.4822998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365.00984099999999</v>
      </c>
      <c r="B643" s="1">
        <f>DATE(2011,5,1) + TIME(0,14,10)</f>
        <v>40664.009837962964</v>
      </c>
      <c r="C643">
        <v>80</v>
      </c>
      <c r="D643">
        <v>48.552528381000002</v>
      </c>
      <c r="E643">
        <v>50</v>
      </c>
      <c r="F643">
        <v>49.944240569999998</v>
      </c>
      <c r="G643">
        <v>1385.5805664</v>
      </c>
      <c r="H643">
        <v>1363.4307861</v>
      </c>
      <c r="I643">
        <v>1302.3419189000001</v>
      </c>
      <c r="J643">
        <v>1283.6922606999999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365.02952399999998</v>
      </c>
      <c r="B644" s="1">
        <f>DATE(2011,5,1) + TIME(0,42,30)</f>
        <v>40664.029513888891</v>
      </c>
      <c r="C644">
        <v>80</v>
      </c>
      <c r="D644">
        <v>49.363590240000001</v>
      </c>
      <c r="E644">
        <v>50</v>
      </c>
      <c r="F644">
        <v>49.939064025999997</v>
      </c>
      <c r="G644">
        <v>1397.2395019999999</v>
      </c>
      <c r="H644">
        <v>1375.4993896000001</v>
      </c>
      <c r="I644">
        <v>1292.4826660000001</v>
      </c>
      <c r="J644">
        <v>1273.7143555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365.05158799999998</v>
      </c>
      <c r="B645" s="1">
        <f>DATE(2011,5,1) + TIME(1,14,17)</f>
        <v>40664.051585648151</v>
      </c>
      <c r="C645">
        <v>80</v>
      </c>
      <c r="D645">
        <v>50.243461609000001</v>
      </c>
      <c r="E645">
        <v>50</v>
      </c>
      <c r="F645">
        <v>49.934204102000002</v>
      </c>
      <c r="G645">
        <v>1401.5435791</v>
      </c>
      <c r="H645">
        <v>1380.1794434000001</v>
      </c>
      <c r="I645">
        <v>1288.840332</v>
      </c>
      <c r="J645">
        <v>1269.9951172000001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365.07402400000001</v>
      </c>
      <c r="B646" s="1">
        <f>DATE(2011,5,1) + TIME(1,46,35)</f>
        <v>40664.074016203704</v>
      </c>
      <c r="C646">
        <v>80</v>
      </c>
      <c r="D646">
        <v>51.110996245999999</v>
      </c>
      <c r="E646">
        <v>50</v>
      </c>
      <c r="F646">
        <v>49.929584503000001</v>
      </c>
      <c r="G646">
        <v>1403.1064452999999</v>
      </c>
      <c r="H646">
        <v>1382.0688477000001</v>
      </c>
      <c r="I646">
        <v>1287.5472411999999</v>
      </c>
      <c r="J646">
        <v>1268.6586914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365.096835</v>
      </c>
      <c r="B647" s="1">
        <f>DATE(2011,5,1) + TIME(2,19,26)</f>
        <v>40664.096828703703</v>
      </c>
      <c r="C647">
        <v>80</v>
      </c>
      <c r="D647">
        <v>51.967063904</v>
      </c>
      <c r="E647">
        <v>50</v>
      </c>
      <c r="F647">
        <v>49.925033569</v>
      </c>
      <c r="G647">
        <v>1403.6071777</v>
      </c>
      <c r="H647">
        <v>1382.8651123</v>
      </c>
      <c r="I647">
        <v>1287.1096190999999</v>
      </c>
      <c r="J647">
        <v>1268.1972656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365.12005699999997</v>
      </c>
      <c r="B648" s="1">
        <f>DATE(2011,5,1) + TIME(2,52,52)</f>
        <v>40664.120046296295</v>
      </c>
      <c r="C648">
        <v>80</v>
      </c>
      <c r="D648">
        <v>52.812858581999997</v>
      </c>
      <c r="E648">
        <v>50</v>
      </c>
      <c r="F648">
        <v>49.920471190999997</v>
      </c>
      <c r="G648">
        <v>1403.6542969</v>
      </c>
      <c r="H648">
        <v>1383.1867675999999</v>
      </c>
      <c r="I648">
        <v>1286.987793</v>
      </c>
      <c r="J648">
        <v>1268.0622559000001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365.14371699999998</v>
      </c>
      <c r="B649" s="1">
        <f>DATE(2011,5,1) + TIME(3,26,57)</f>
        <v>40664.14371527778</v>
      </c>
      <c r="C649">
        <v>80</v>
      </c>
      <c r="D649">
        <v>53.64906311</v>
      </c>
      <c r="E649">
        <v>50</v>
      </c>
      <c r="F649">
        <v>49.915874481000003</v>
      </c>
      <c r="G649">
        <v>1403.4973144999999</v>
      </c>
      <c r="H649">
        <v>1383.2891846</v>
      </c>
      <c r="I649">
        <v>1286.9755858999999</v>
      </c>
      <c r="J649">
        <v>1268.0429687999999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365.167845</v>
      </c>
      <c r="B650" s="1">
        <f>DATE(2011,5,1) + TIME(4,1,41)</f>
        <v>40664.16783564815</v>
      </c>
      <c r="C650">
        <v>80</v>
      </c>
      <c r="D650">
        <v>54.476028442</v>
      </c>
      <c r="E650">
        <v>50</v>
      </c>
      <c r="F650">
        <v>49.911231995000001</v>
      </c>
      <c r="G650">
        <v>1403.2471923999999</v>
      </c>
      <c r="H650">
        <v>1383.286499</v>
      </c>
      <c r="I650">
        <v>1286.9952393000001</v>
      </c>
      <c r="J650">
        <v>1268.0584716999999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365.19246600000002</v>
      </c>
      <c r="B651" s="1">
        <f>DATE(2011,5,1) + TIME(4,37,9)</f>
        <v>40664.192465277774</v>
      </c>
      <c r="C651">
        <v>80</v>
      </c>
      <c r="D651">
        <v>55.293949126999998</v>
      </c>
      <c r="E651">
        <v>50</v>
      </c>
      <c r="F651">
        <v>49.906532288000001</v>
      </c>
      <c r="G651">
        <v>1402.9556885</v>
      </c>
      <c r="H651">
        <v>1383.2321777</v>
      </c>
      <c r="I651">
        <v>1287.0189209</v>
      </c>
      <c r="J651">
        <v>1268.0797118999999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365.21760799999998</v>
      </c>
      <c r="B652" s="1">
        <f>DATE(2011,5,1) + TIME(5,13,21)</f>
        <v>40664.217604166668</v>
      </c>
      <c r="C652">
        <v>80</v>
      </c>
      <c r="D652">
        <v>56.102905272999998</v>
      </c>
      <c r="E652">
        <v>50</v>
      </c>
      <c r="F652">
        <v>49.901771545000003</v>
      </c>
      <c r="G652">
        <v>1402.6478271000001</v>
      </c>
      <c r="H652">
        <v>1383.1525879000001</v>
      </c>
      <c r="I652">
        <v>1287.0384521000001</v>
      </c>
      <c r="J652">
        <v>1268.0974120999999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365.24329599999999</v>
      </c>
      <c r="B653" s="1">
        <f>DATE(2011,5,1) + TIME(5,50,20)</f>
        <v>40664.243287037039</v>
      </c>
      <c r="C653">
        <v>80</v>
      </c>
      <c r="D653">
        <v>56.902923584</v>
      </c>
      <c r="E653">
        <v>50</v>
      </c>
      <c r="F653">
        <v>49.896949767999999</v>
      </c>
      <c r="G653">
        <v>1402.3364257999999</v>
      </c>
      <c r="H653">
        <v>1383.0610352000001</v>
      </c>
      <c r="I653">
        <v>1287.0527344</v>
      </c>
      <c r="J653">
        <v>1268.1102295000001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365.26956200000001</v>
      </c>
      <c r="B654" s="1">
        <f>DATE(2011,5,1) + TIME(6,28,10)</f>
        <v>40664.269560185188</v>
      </c>
      <c r="C654">
        <v>80</v>
      </c>
      <c r="D654">
        <v>57.694000244000001</v>
      </c>
      <c r="E654">
        <v>50</v>
      </c>
      <c r="F654">
        <v>49.892059326000002</v>
      </c>
      <c r="G654">
        <v>1402.0275879000001</v>
      </c>
      <c r="H654">
        <v>1382.9642334</v>
      </c>
      <c r="I654">
        <v>1287.0623779</v>
      </c>
      <c r="J654">
        <v>1268.1186522999999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365.29642899999999</v>
      </c>
      <c r="B655" s="1">
        <f>DATE(2011,5,1) + TIME(7,6,51)</f>
        <v>40664.296423611115</v>
      </c>
      <c r="C655">
        <v>80</v>
      </c>
      <c r="D655">
        <v>58.475959778000004</v>
      </c>
      <c r="E655">
        <v>50</v>
      </c>
      <c r="F655">
        <v>49.887100220000001</v>
      </c>
      <c r="G655">
        <v>1401.7248535000001</v>
      </c>
      <c r="H655">
        <v>1382.8660889</v>
      </c>
      <c r="I655">
        <v>1287.0688477000001</v>
      </c>
      <c r="J655">
        <v>1268.1239014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365.323936</v>
      </c>
      <c r="B656" s="1">
        <f>DATE(2011,5,1) + TIME(7,46,28)</f>
        <v>40664.323935185188</v>
      </c>
      <c r="C656">
        <v>80</v>
      </c>
      <c r="D656">
        <v>59.248867035000004</v>
      </c>
      <c r="E656">
        <v>50</v>
      </c>
      <c r="F656">
        <v>49.882068633999999</v>
      </c>
      <c r="G656">
        <v>1401.4295654</v>
      </c>
      <c r="H656">
        <v>1382.7685547000001</v>
      </c>
      <c r="I656">
        <v>1287.0731201000001</v>
      </c>
      <c r="J656">
        <v>1268.1269531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365.35211700000002</v>
      </c>
      <c r="B657" s="1">
        <f>DATE(2011,5,1) + TIME(8,27,2)</f>
        <v>40664.352106481485</v>
      </c>
      <c r="C657">
        <v>80</v>
      </c>
      <c r="D657">
        <v>60.012680054</v>
      </c>
      <c r="E657">
        <v>50</v>
      </c>
      <c r="F657">
        <v>49.876953125</v>
      </c>
      <c r="G657">
        <v>1401.1428223</v>
      </c>
      <c r="H657">
        <v>1382.6724853999999</v>
      </c>
      <c r="I657">
        <v>1287.0760498</v>
      </c>
      <c r="J657">
        <v>1268.1285399999999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365.381012</v>
      </c>
      <c r="B658" s="1">
        <f>DATE(2011,5,1) + TIME(9,8,39)</f>
        <v>40664.381006944444</v>
      </c>
      <c r="C658">
        <v>80</v>
      </c>
      <c r="D658">
        <v>60.766788482999999</v>
      </c>
      <c r="E658">
        <v>50</v>
      </c>
      <c r="F658">
        <v>49.871753693000002</v>
      </c>
      <c r="G658">
        <v>1400.8645019999999</v>
      </c>
      <c r="H658">
        <v>1382.5786132999999</v>
      </c>
      <c r="I658">
        <v>1287.0780029</v>
      </c>
      <c r="J658">
        <v>1268.1291504000001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365.410662</v>
      </c>
      <c r="B659" s="1">
        <f>DATE(2011,5,1) + TIME(9,51,21)</f>
        <v>40664.41065972222</v>
      </c>
      <c r="C659">
        <v>80</v>
      </c>
      <c r="D659">
        <v>61.511627197000003</v>
      </c>
      <c r="E659">
        <v>50</v>
      </c>
      <c r="F659">
        <v>49.866466522000003</v>
      </c>
      <c r="G659">
        <v>1400.5947266000001</v>
      </c>
      <c r="H659">
        <v>1382.4869385</v>
      </c>
      <c r="I659">
        <v>1287.0794678</v>
      </c>
      <c r="J659">
        <v>1268.1292725000001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365.44110999999998</v>
      </c>
      <c r="B660" s="1">
        <f>DATE(2011,5,1) + TIME(10,35,11)</f>
        <v>40664.441099537034</v>
      </c>
      <c r="C660">
        <v>80</v>
      </c>
      <c r="D660">
        <v>62.247089385999999</v>
      </c>
      <c r="E660">
        <v>50</v>
      </c>
      <c r="F660">
        <v>49.861083983999997</v>
      </c>
      <c r="G660">
        <v>1400.333374</v>
      </c>
      <c r="H660">
        <v>1382.3978271000001</v>
      </c>
      <c r="I660">
        <v>1287.0804443</v>
      </c>
      <c r="J660">
        <v>1268.1289062000001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365.47240499999998</v>
      </c>
      <c r="B661" s="1">
        <f>DATE(2011,5,1) + TIME(11,20,15)</f>
        <v>40664.472395833334</v>
      </c>
      <c r="C661">
        <v>80</v>
      </c>
      <c r="D661">
        <v>62.973060607999997</v>
      </c>
      <c r="E661">
        <v>50</v>
      </c>
      <c r="F661">
        <v>49.855598450000002</v>
      </c>
      <c r="G661">
        <v>1400.0802002</v>
      </c>
      <c r="H661">
        <v>1382.3109131000001</v>
      </c>
      <c r="I661">
        <v>1287.0814209</v>
      </c>
      <c r="J661">
        <v>1268.1282959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365.50459899999998</v>
      </c>
      <c r="B662" s="1">
        <f>DATE(2011,5,1) + TIME(12,6,37)</f>
        <v>40664.504594907405</v>
      </c>
      <c r="C662">
        <v>80</v>
      </c>
      <c r="D662">
        <v>63.689407349</v>
      </c>
      <c r="E662">
        <v>50</v>
      </c>
      <c r="F662">
        <v>49.850006104000002</v>
      </c>
      <c r="G662">
        <v>1399.8347168</v>
      </c>
      <c r="H662">
        <v>1382.2263184000001</v>
      </c>
      <c r="I662">
        <v>1287.0821533000001</v>
      </c>
      <c r="J662">
        <v>1268.1274414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365.53774900000002</v>
      </c>
      <c r="B663" s="1">
        <f>DATE(2011,5,1) + TIME(12,54,21)</f>
        <v>40664.537743055553</v>
      </c>
      <c r="C663">
        <v>80</v>
      </c>
      <c r="D663">
        <v>64.395980835000003</v>
      </c>
      <c r="E663">
        <v>50</v>
      </c>
      <c r="F663">
        <v>49.844303130999997</v>
      </c>
      <c r="G663">
        <v>1399.5965576000001</v>
      </c>
      <c r="H663">
        <v>1382.1437988</v>
      </c>
      <c r="I663">
        <v>1287.0827637</v>
      </c>
      <c r="J663">
        <v>1268.1265868999999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365.57191699999998</v>
      </c>
      <c r="B664" s="1">
        <f>DATE(2011,5,1) + TIME(13,43,33)</f>
        <v>40664.571909722225</v>
      </c>
      <c r="C664">
        <v>80</v>
      </c>
      <c r="D664">
        <v>65.092651367000002</v>
      </c>
      <c r="E664">
        <v>50</v>
      </c>
      <c r="F664">
        <v>49.838470459</v>
      </c>
      <c r="G664">
        <v>1399.3656006000001</v>
      </c>
      <c r="H664">
        <v>1382.0632324000001</v>
      </c>
      <c r="I664">
        <v>1287.083374</v>
      </c>
      <c r="J664">
        <v>1268.1254882999999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365.60718100000003</v>
      </c>
      <c r="B665" s="1">
        <f>DATE(2011,5,1) + TIME(14,34,20)</f>
        <v>40664.607175925928</v>
      </c>
      <c r="C665">
        <v>80</v>
      </c>
      <c r="D665">
        <v>65.779533385999997</v>
      </c>
      <c r="E665">
        <v>50</v>
      </c>
      <c r="F665">
        <v>49.832511902</v>
      </c>
      <c r="G665">
        <v>1399.1413574000001</v>
      </c>
      <c r="H665">
        <v>1381.9842529</v>
      </c>
      <c r="I665">
        <v>1287.0838623</v>
      </c>
      <c r="J665">
        <v>1268.1243896000001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365.64361500000001</v>
      </c>
      <c r="B666" s="1">
        <f>DATE(2011,5,1) + TIME(15,26,48)</f>
        <v>40664.643611111111</v>
      </c>
      <c r="C666">
        <v>80</v>
      </c>
      <c r="D666">
        <v>66.456260681000003</v>
      </c>
      <c r="E666">
        <v>50</v>
      </c>
      <c r="F666">
        <v>49.826408385999997</v>
      </c>
      <c r="G666">
        <v>1398.9233397999999</v>
      </c>
      <c r="H666">
        <v>1381.9069824000001</v>
      </c>
      <c r="I666">
        <v>1287.0843506000001</v>
      </c>
      <c r="J666">
        <v>1268.1231689000001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365.68129499999998</v>
      </c>
      <c r="B667" s="1">
        <f>DATE(2011,5,1) + TIME(16,21,3)</f>
        <v>40664.681284722225</v>
      </c>
      <c r="C667">
        <v>80</v>
      </c>
      <c r="D667">
        <v>67.122497558999996</v>
      </c>
      <c r="E667">
        <v>50</v>
      </c>
      <c r="F667">
        <v>49.820152282999999</v>
      </c>
      <c r="G667">
        <v>1398.7114257999999</v>
      </c>
      <c r="H667">
        <v>1381.8310547000001</v>
      </c>
      <c r="I667">
        <v>1287.0847168</v>
      </c>
      <c r="J667">
        <v>1268.1218262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365.72031099999998</v>
      </c>
      <c r="B668" s="1">
        <f>DATE(2011,5,1) + TIME(17,17,14)</f>
        <v>40664.720300925925</v>
      </c>
      <c r="C668">
        <v>80</v>
      </c>
      <c r="D668">
        <v>67.778007506999998</v>
      </c>
      <c r="E668">
        <v>50</v>
      </c>
      <c r="F668">
        <v>49.813739777000002</v>
      </c>
      <c r="G668">
        <v>1398.505249</v>
      </c>
      <c r="H668">
        <v>1381.7563477000001</v>
      </c>
      <c r="I668">
        <v>1287.0852050999999</v>
      </c>
      <c r="J668">
        <v>1268.1204834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365.76076399999999</v>
      </c>
      <c r="B669" s="1">
        <f>DATE(2011,5,1) + TIME(18,15,30)</f>
        <v>40664.760763888888</v>
      </c>
      <c r="C669">
        <v>80</v>
      </c>
      <c r="D669">
        <v>68.422538756999998</v>
      </c>
      <c r="E669">
        <v>50</v>
      </c>
      <c r="F669">
        <v>49.807147980000003</v>
      </c>
      <c r="G669">
        <v>1398.3045654</v>
      </c>
      <c r="H669">
        <v>1381.6827393000001</v>
      </c>
      <c r="I669">
        <v>1287.0854492000001</v>
      </c>
      <c r="J669">
        <v>1268.1190185999999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365.80276900000001</v>
      </c>
      <c r="B670" s="1">
        <f>DATE(2011,5,1) + TIME(19,15,59)</f>
        <v>40664.802766203706</v>
      </c>
      <c r="C670">
        <v>80</v>
      </c>
      <c r="D670">
        <v>69.055839539000004</v>
      </c>
      <c r="E670">
        <v>50</v>
      </c>
      <c r="F670">
        <v>49.800373077000003</v>
      </c>
      <c r="G670">
        <v>1398.1088867000001</v>
      </c>
      <c r="H670">
        <v>1381.6097411999999</v>
      </c>
      <c r="I670">
        <v>1287.0858154</v>
      </c>
      <c r="J670">
        <v>1268.1175536999999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365.84644900000001</v>
      </c>
      <c r="B671" s="1">
        <f>DATE(2011,5,1) + TIME(20,18,53)</f>
        <v>40664.846446759257</v>
      </c>
      <c r="C671">
        <v>80</v>
      </c>
      <c r="D671">
        <v>69.677612304999997</v>
      </c>
      <c r="E671">
        <v>50</v>
      </c>
      <c r="F671">
        <v>49.793392181000002</v>
      </c>
      <c r="G671">
        <v>1397.9179687999999</v>
      </c>
      <c r="H671">
        <v>1381.5375977000001</v>
      </c>
      <c r="I671">
        <v>1287.0860596</v>
      </c>
      <c r="J671">
        <v>1268.1158447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365.89194700000002</v>
      </c>
      <c r="B672" s="1">
        <f>DATE(2011,5,1) + TIME(21,24,24)</f>
        <v>40664.891944444447</v>
      </c>
      <c r="C672">
        <v>80</v>
      </c>
      <c r="D672">
        <v>70.287345885999997</v>
      </c>
      <c r="E672">
        <v>50</v>
      </c>
      <c r="F672">
        <v>49.786193848000003</v>
      </c>
      <c r="G672">
        <v>1397.7315673999999</v>
      </c>
      <c r="H672">
        <v>1381.4656981999999</v>
      </c>
      <c r="I672">
        <v>1287.0863036999999</v>
      </c>
      <c r="J672">
        <v>1268.1141356999999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365.93942199999998</v>
      </c>
      <c r="B673" s="1">
        <f>DATE(2011,5,1) + TIME(22,32,46)</f>
        <v>40664.939421296294</v>
      </c>
      <c r="C673">
        <v>80</v>
      </c>
      <c r="D673">
        <v>70.884658813000001</v>
      </c>
      <c r="E673">
        <v>50</v>
      </c>
      <c r="F673">
        <v>49.778755187999998</v>
      </c>
      <c r="G673">
        <v>1397.5491943</v>
      </c>
      <c r="H673">
        <v>1381.394043</v>
      </c>
      <c r="I673">
        <v>1287.0864257999999</v>
      </c>
      <c r="J673">
        <v>1268.1124268000001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365.98905300000001</v>
      </c>
      <c r="B674" s="1">
        <f>DATE(2011,5,1) + TIME(23,44,14)</f>
        <v>40664.989050925928</v>
      </c>
      <c r="C674">
        <v>80</v>
      </c>
      <c r="D674">
        <v>71.469436646000005</v>
      </c>
      <c r="E674">
        <v>50</v>
      </c>
      <c r="F674">
        <v>49.771057128999999</v>
      </c>
      <c r="G674">
        <v>1397.3708495999999</v>
      </c>
      <c r="H674">
        <v>1381.3223877</v>
      </c>
      <c r="I674">
        <v>1287.0864257999999</v>
      </c>
      <c r="J674">
        <v>1268.1105957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366.04105199999998</v>
      </c>
      <c r="B675" s="1">
        <f>DATE(2011,5,2) + TIME(0,59,6)</f>
        <v>40665.041041666664</v>
      </c>
      <c r="C675">
        <v>80</v>
      </c>
      <c r="D675">
        <v>72.041351317999997</v>
      </c>
      <c r="E675">
        <v>50</v>
      </c>
      <c r="F675">
        <v>49.763072968000003</v>
      </c>
      <c r="G675">
        <v>1397.1959228999999</v>
      </c>
      <c r="H675">
        <v>1381.2506103999999</v>
      </c>
      <c r="I675">
        <v>1287.0864257999999</v>
      </c>
      <c r="J675">
        <v>1268.1086425999999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366.09568300000001</v>
      </c>
      <c r="B676" s="1">
        <f>DATE(2011,5,2) + TIME(2,17,46)</f>
        <v>40665.095671296294</v>
      </c>
      <c r="C676">
        <v>80</v>
      </c>
      <c r="D676">
        <v>72.600242614999999</v>
      </c>
      <c r="E676">
        <v>50</v>
      </c>
      <c r="F676">
        <v>49.754776001000003</v>
      </c>
      <c r="G676">
        <v>1397.0240478999999</v>
      </c>
      <c r="H676">
        <v>1381.1782227000001</v>
      </c>
      <c r="I676">
        <v>1287.0864257999999</v>
      </c>
      <c r="J676">
        <v>1268.1065673999999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366.153188</v>
      </c>
      <c r="B677" s="1">
        <f>DATE(2011,5,2) + TIME(3,40,35)</f>
        <v>40665.153182870374</v>
      </c>
      <c r="C677">
        <v>80</v>
      </c>
      <c r="D677">
        <v>73.145347595000004</v>
      </c>
      <c r="E677">
        <v>50</v>
      </c>
      <c r="F677">
        <v>49.746128081999998</v>
      </c>
      <c r="G677">
        <v>1396.8551024999999</v>
      </c>
      <c r="H677">
        <v>1381.1052245999999</v>
      </c>
      <c r="I677">
        <v>1287.0863036999999</v>
      </c>
      <c r="J677">
        <v>1268.1043701000001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366.21388400000001</v>
      </c>
      <c r="B678" s="1">
        <f>DATE(2011,5,2) + TIME(5,7,59)</f>
        <v>40665.213877314818</v>
      </c>
      <c r="C678">
        <v>80</v>
      </c>
      <c r="D678">
        <v>73.676193237000007</v>
      </c>
      <c r="E678">
        <v>50</v>
      </c>
      <c r="F678">
        <v>49.737102509000003</v>
      </c>
      <c r="G678">
        <v>1396.6887207</v>
      </c>
      <c r="H678">
        <v>1381.0311279</v>
      </c>
      <c r="I678">
        <v>1287.0860596</v>
      </c>
      <c r="J678">
        <v>1268.1020507999999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366.27813800000001</v>
      </c>
      <c r="B679" s="1">
        <f>DATE(2011,5,2) + TIME(6,40,31)</f>
        <v>40665.278136574074</v>
      </c>
      <c r="C679">
        <v>80</v>
      </c>
      <c r="D679">
        <v>74.192245482999994</v>
      </c>
      <c r="E679">
        <v>50</v>
      </c>
      <c r="F679">
        <v>49.727653502999999</v>
      </c>
      <c r="G679">
        <v>1396.5244141000001</v>
      </c>
      <c r="H679">
        <v>1380.9558105000001</v>
      </c>
      <c r="I679">
        <v>1287.0856934000001</v>
      </c>
      <c r="J679">
        <v>1268.0997314000001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366.34638799999999</v>
      </c>
      <c r="B680" s="1">
        <f>DATE(2011,5,2) + TIME(8,18,47)</f>
        <v>40665.346377314818</v>
      </c>
      <c r="C680">
        <v>80</v>
      </c>
      <c r="D680">
        <v>74.692955017000003</v>
      </c>
      <c r="E680">
        <v>50</v>
      </c>
      <c r="F680">
        <v>49.717727660999998</v>
      </c>
      <c r="G680">
        <v>1396.3620605000001</v>
      </c>
      <c r="H680">
        <v>1380.8789062000001</v>
      </c>
      <c r="I680">
        <v>1287.0852050999999</v>
      </c>
      <c r="J680">
        <v>1268.097168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366.41913299999999</v>
      </c>
      <c r="B681" s="1">
        <f>DATE(2011,5,2) + TIME(10,3,33)</f>
        <v>40665.419131944444</v>
      </c>
      <c r="C681">
        <v>80</v>
      </c>
      <c r="D681">
        <v>75.177474975999999</v>
      </c>
      <c r="E681">
        <v>50</v>
      </c>
      <c r="F681">
        <v>49.707275391000003</v>
      </c>
      <c r="G681">
        <v>1396.2009277</v>
      </c>
      <c r="H681">
        <v>1380.8000488</v>
      </c>
      <c r="I681">
        <v>1287.0845947</v>
      </c>
      <c r="J681">
        <v>1268.0944824000001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366.497006</v>
      </c>
      <c r="B682" s="1">
        <f>DATE(2011,5,2) + TIME(11,55,41)</f>
        <v>40665.497002314813</v>
      </c>
      <c r="C682">
        <v>80</v>
      </c>
      <c r="D682">
        <v>75.645118713000002</v>
      </c>
      <c r="E682">
        <v>50</v>
      </c>
      <c r="F682">
        <v>49.696216583000002</v>
      </c>
      <c r="G682">
        <v>1396.0408935999999</v>
      </c>
      <c r="H682">
        <v>1380.7188721</v>
      </c>
      <c r="I682">
        <v>1287.0838623</v>
      </c>
      <c r="J682">
        <v>1268.0916748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366.58076599999998</v>
      </c>
      <c r="B683" s="1">
        <f>DATE(2011,5,2) + TIME(13,56,18)</f>
        <v>40665.580763888887</v>
      </c>
      <c r="C683">
        <v>80</v>
      </c>
      <c r="D683">
        <v>76.095390320000007</v>
      </c>
      <c r="E683">
        <v>50</v>
      </c>
      <c r="F683">
        <v>49.684471129999999</v>
      </c>
      <c r="G683">
        <v>1395.8812256000001</v>
      </c>
      <c r="H683">
        <v>1380.6348877</v>
      </c>
      <c r="I683">
        <v>1287.0830077999999</v>
      </c>
      <c r="J683">
        <v>1268.0886230000001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366.67134199999998</v>
      </c>
      <c r="B684" s="1">
        <f>DATE(2011,5,2) + TIME(16,6,43)</f>
        <v>40665.671331018515</v>
      </c>
      <c r="C684">
        <v>80</v>
      </c>
      <c r="D684">
        <v>76.527511597</v>
      </c>
      <c r="E684">
        <v>50</v>
      </c>
      <c r="F684">
        <v>49.671939850000001</v>
      </c>
      <c r="G684">
        <v>1395.7215576000001</v>
      </c>
      <c r="H684">
        <v>1380.5474853999999</v>
      </c>
      <c r="I684">
        <v>1287.0819091999999</v>
      </c>
      <c r="J684">
        <v>1268.0853271000001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366.76835299999999</v>
      </c>
      <c r="B685" s="1">
        <f>DATE(2011,5,2) + TIME(18,26,25)</f>
        <v>40665.76834490741</v>
      </c>
      <c r="C685">
        <v>80</v>
      </c>
      <c r="D685">
        <v>76.934906006000006</v>
      </c>
      <c r="E685">
        <v>50</v>
      </c>
      <c r="F685">
        <v>49.658676147000001</v>
      </c>
      <c r="G685">
        <v>1395.5631103999999</v>
      </c>
      <c r="H685">
        <v>1380.4571533000001</v>
      </c>
      <c r="I685">
        <v>1287.0805664</v>
      </c>
      <c r="J685">
        <v>1268.0819091999999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366.86537399999997</v>
      </c>
      <c r="B686" s="1">
        <f>DATE(2011,5,2) + TIME(20,46,8)</f>
        <v>40665.865370370368</v>
      </c>
      <c r="C686">
        <v>80</v>
      </c>
      <c r="D686">
        <v>77.293518066000004</v>
      </c>
      <c r="E686">
        <v>50</v>
      </c>
      <c r="F686">
        <v>49.645477294999999</v>
      </c>
      <c r="G686">
        <v>1395.4141846</v>
      </c>
      <c r="H686">
        <v>1380.3673096</v>
      </c>
      <c r="I686">
        <v>1287.0789795000001</v>
      </c>
      <c r="J686">
        <v>1268.0782471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366.96290199999999</v>
      </c>
      <c r="B687" s="1">
        <f>DATE(2011,5,2) + TIME(23,6,34)</f>
        <v>40665.962893518517</v>
      </c>
      <c r="C687">
        <v>80</v>
      </c>
      <c r="D687">
        <v>77.610542296999995</v>
      </c>
      <c r="E687">
        <v>50</v>
      </c>
      <c r="F687">
        <v>49.632278442</v>
      </c>
      <c r="G687">
        <v>1395.2739257999999</v>
      </c>
      <c r="H687">
        <v>1380.2797852000001</v>
      </c>
      <c r="I687">
        <v>1287.0771483999999</v>
      </c>
      <c r="J687">
        <v>1268.0745850000001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367.06115799999998</v>
      </c>
      <c r="B688" s="1">
        <f>DATE(2011,5,3) + TIME(1,28,4)</f>
        <v>40666.061157407406</v>
      </c>
      <c r="C688">
        <v>80</v>
      </c>
      <c r="D688">
        <v>77.891143799000005</v>
      </c>
      <c r="E688">
        <v>50</v>
      </c>
      <c r="F688">
        <v>49.619052887000002</v>
      </c>
      <c r="G688">
        <v>1395.1411132999999</v>
      </c>
      <c r="H688">
        <v>1380.1939697</v>
      </c>
      <c r="I688">
        <v>1287.0753173999999</v>
      </c>
      <c r="J688">
        <v>1268.0708007999999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367.16036100000002</v>
      </c>
      <c r="B689" s="1">
        <f>DATE(2011,5,3) + TIME(3,50,55)</f>
        <v>40666.160358796296</v>
      </c>
      <c r="C689">
        <v>80</v>
      </c>
      <c r="D689">
        <v>78.139732361</v>
      </c>
      <c r="E689">
        <v>50</v>
      </c>
      <c r="F689">
        <v>49.605770110999998</v>
      </c>
      <c r="G689">
        <v>1395.0146483999999</v>
      </c>
      <c r="H689">
        <v>1380.1097411999999</v>
      </c>
      <c r="I689">
        <v>1287.0733643000001</v>
      </c>
      <c r="J689">
        <v>1268.0671387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367.26072299999998</v>
      </c>
      <c r="B690" s="1">
        <f>DATE(2011,5,3) + TIME(6,15,26)</f>
        <v>40666.260717592595</v>
      </c>
      <c r="C690">
        <v>80</v>
      </c>
      <c r="D690">
        <v>78.360084533999995</v>
      </c>
      <c r="E690">
        <v>50</v>
      </c>
      <c r="F690">
        <v>49.592403412000003</v>
      </c>
      <c r="G690">
        <v>1394.8936768000001</v>
      </c>
      <c r="H690">
        <v>1380.0268555</v>
      </c>
      <c r="I690">
        <v>1287.0711670000001</v>
      </c>
      <c r="J690">
        <v>1268.0633545000001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367.36245600000001</v>
      </c>
      <c r="B691" s="1">
        <f>DATE(2011,5,3) + TIME(8,41,56)</f>
        <v>40666.362453703703</v>
      </c>
      <c r="C691">
        <v>80</v>
      </c>
      <c r="D691">
        <v>78.555435181000007</v>
      </c>
      <c r="E691">
        <v>50</v>
      </c>
      <c r="F691">
        <v>49.578929901000002</v>
      </c>
      <c r="G691">
        <v>1394.7775879000001</v>
      </c>
      <c r="H691">
        <v>1379.9450684000001</v>
      </c>
      <c r="I691">
        <v>1287.0689697</v>
      </c>
      <c r="J691">
        <v>1268.0594481999999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367.46576900000002</v>
      </c>
      <c r="B692" s="1">
        <f>DATE(2011,5,3) + TIME(11,10,42)</f>
        <v>40666.465763888889</v>
      </c>
      <c r="C692">
        <v>80</v>
      </c>
      <c r="D692">
        <v>78.728607178000004</v>
      </c>
      <c r="E692">
        <v>50</v>
      </c>
      <c r="F692">
        <v>49.565319060999997</v>
      </c>
      <c r="G692">
        <v>1394.6655272999999</v>
      </c>
      <c r="H692">
        <v>1379.8641356999999</v>
      </c>
      <c r="I692">
        <v>1287.0666504000001</v>
      </c>
      <c r="J692">
        <v>1268.0556641000001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367.570877</v>
      </c>
      <c r="B693" s="1">
        <f>DATE(2011,5,3) + TIME(13,42,3)</f>
        <v>40666.570868055554</v>
      </c>
      <c r="C693">
        <v>80</v>
      </c>
      <c r="D693">
        <v>78.882072449000006</v>
      </c>
      <c r="E693">
        <v>50</v>
      </c>
      <c r="F693">
        <v>49.551551818999997</v>
      </c>
      <c r="G693">
        <v>1394.5571289</v>
      </c>
      <c r="H693">
        <v>1379.7840576000001</v>
      </c>
      <c r="I693">
        <v>1287.0642089999999</v>
      </c>
      <c r="J693">
        <v>1268.0516356999999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367.67801700000001</v>
      </c>
      <c r="B694" s="1">
        <f>DATE(2011,5,3) + TIME(16,16,20)</f>
        <v>40666.67800925926</v>
      </c>
      <c r="C694">
        <v>80</v>
      </c>
      <c r="D694">
        <v>79.017997742000006</v>
      </c>
      <c r="E694">
        <v>50</v>
      </c>
      <c r="F694">
        <v>49.537593842</v>
      </c>
      <c r="G694">
        <v>1394.4519043</v>
      </c>
      <c r="H694">
        <v>1379.7045897999999</v>
      </c>
      <c r="I694">
        <v>1287.0615233999999</v>
      </c>
      <c r="J694">
        <v>1268.0476074000001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367.78743900000001</v>
      </c>
      <c r="B695" s="1">
        <f>DATE(2011,5,3) + TIME(18,53,54)</f>
        <v>40666.787430555552</v>
      </c>
      <c r="C695">
        <v>80</v>
      </c>
      <c r="D695">
        <v>79.138282775999997</v>
      </c>
      <c r="E695">
        <v>50</v>
      </c>
      <c r="F695">
        <v>49.523418427000003</v>
      </c>
      <c r="G695">
        <v>1394.3492432</v>
      </c>
      <c r="H695">
        <v>1379.6254882999999</v>
      </c>
      <c r="I695">
        <v>1287.0588379000001</v>
      </c>
      <c r="J695">
        <v>1268.0435791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367.89935700000001</v>
      </c>
      <c r="B696" s="1">
        <f>DATE(2011,5,3) + TIME(21,35,4)</f>
        <v>40666.899351851855</v>
      </c>
      <c r="C696">
        <v>80</v>
      </c>
      <c r="D696">
        <v>79.244590759000005</v>
      </c>
      <c r="E696">
        <v>50</v>
      </c>
      <c r="F696">
        <v>49.509002686000002</v>
      </c>
      <c r="G696">
        <v>1394.2489014</v>
      </c>
      <c r="H696">
        <v>1379.5467529</v>
      </c>
      <c r="I696">
        <v>1287.0560303</v>
      </c>
      <c r="J696">
        <v>1268.0394286999999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368.01403399999998</v>
      </c>
      <c r="B697" s="1">
        <f>DATE(2011,5,4) + TIME(0,20,12)</f>
        <v>40667.014027777775</v>
      </c>
      <c r="C697">
        <v>80</v>
      </c>
      <c r="D697">
        <v>79.338401794000006</v>
      </c>
      <c r="E697">
        <v>50</v>
      </c>
      <c r="F697">
        <v>49.494316101000003</v>
      </c>
      <c r="G697">
        <v>1394.1506348</v>
      </c>
      <c r="H697">
        <v>1379.4682617000001</v>
      </c>
      <c r="I697">
        <v>1287.0531006000001</v>
      </c>
      <c r="J697">
        <v>1268.0350341999999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368.131753</v>
      </c>
      <c r="B698" s="1">
        <f>DATE(2011,5,4) + TIME(3,9,43)</f>
        <v>40667.131747685184</v>
      </c>
      <c r="C698">
        <v>80</v>
      </c>
      <c r="D698">
        <v>79.421051024999997</v>
      </c>
      <c r="E698">
        <v>50</v>
      </c>
      <c r="F698">
        <v>49.479324341000002</v>
      </c>
      <c r="G698">
        <v>1394.0538329999999</v>
      </c>
      <c r="H698">
        <v>1379.3898925999999</v>
      </c>
      <c r="I698">
        <v>1287.0500488</v>
      </c>
      <c r="J698">
        <v>1268.0306396000001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368.25281899999999</v>
      </c>
      <c r="B699" s="1">
        <f>DATE(2011,5,4) + TIME(6,4,3)</f>
        <v>40667.252812500003</v>
      </c>
      <c r="C699">
        <v>80</v>
      </c>
      <c r="D699">
        <v>79.493721007999994</v>
      </c>
      <c r="E699">
        <v>50</v>
      </c>
      <c r="F699">
        <v>49.464000702</v>
      </c>
      <c r="G699">
        <v>1393.9584961</v>
      </c>
      <c r="H699">
        <v>1379.3115233999999</v>
      </c>
      <c r="I699">
        <v>1287.046875</v>
      </c>
      <c r="J699">
        <v>1268.0261230000001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368.37756899999999</v>
      </c>
      <c r="B700" s="1">
        <f>DATE(2011,5,4) + TIME(9,3,41)</f>
        <v>40667.377557870372</v>
      </c>
      <c r="C700">
        <v>80</v>
      </c>
      <c r="D700">
        <v>79.557479857999994</v>
      </c>
      <c r="E700">
        <v>50</v>
      </c>
      <c r="F700">
        <v>49.448299407999997</v>
      </c>
      <c r="G700">
        <v>1393.8641356999999</v>
      </c>
      <c r="H700">
        <v>1379.2329102000001</v>
      </c>
      <c r="I700">
        <v>1287.043457</v>
      </c>
      <c r="J700">
        <v>1268.0214844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368.506372</v>
      </c>
      <c r="B701" s="1">
        <f>DATE(2011,5,4) + TIME(12,9,10)</f>
        <v>40667.506365740737</v>
      </c>
      <c r="C701">
        <v>80</v>
      </c>
      <c r="D701">
        <v>79.61328125</v>
      </c>
      <c r="E701">
        <v>50</v>
      </c>
      <c r="F701">
        <v>49.432189940999997</v>
      </c>
      <c r="G701">
        <v>1393.7705077999999</v>
      </c>
      <c r="H701">
        <v>1379.1540527</v>
      </c>
      <c r="I701">
        <v>1287.0400391000001</v>
      </c>
      <c r="J701">
        <v>1268.0167236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368.63963799999999</v>
      </c>
      <c r="B702" s="1">
        <f>DATE(2011,5,4) + TIME(15,21,4)</f>
        <v>40667.63962962963</v>
      </c>
      <c r="C702">
        <v>80</v>
      </c>
      <c r="D702">
        <v>79.661979674999998</v>
      </c>
      <c r="E702">
        <v>50</v>
      </c>
      <c r="F702">
        <v>49.415618895999998</v>
      </c>
      <c r="G702">
        <v>1393.6774902</v>
      </c>
      <c r="H702">
        <v>1379.0748291</v>
      </c>
      <c r="I702">
        <v>1287.0363769999999</v>
      </c>
      <c r="J702">
        <v>1268.0117187999999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368.777828</v>
      </c>
      <c r="B703" s="1">
        <f>DATE(2011,5,4) + TIME(18,40,4)</f>
        <v>40667.777824074074</v>
      </c>
      <c r="C703">
        <v>80</v>
      </c>
      <c r="D703">
        <v>79.704345703000001</v>
      </c>
      <c r="E703">
        <v>50</v>
      </c>
      <c r="F703">
        <v>49.398548126000001</v>
      </c>
      <c r="G703">
        <v>1393.5847168</v>
      </c>
      <c r="H703">
        <v>1378.9951172000001</v>
      </c>
      <c r="I703">
        <v>1287.0325928</v>
      </c>
      <c r="J703">
        <v>1268.0065918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368.92146200000002</v>
      </c>
      <c r="B704" s="1">
        <f>DATE(2011,5,4) + TIME(22,6,54)</f>
        <v>40667.921458333331</v>
      </c>
      <c r="C704">
        <v>80</v>
      </c>
      <c r="D704">
        <v>79.741073607999994</v>
      </c>
      <c r="E704">
        <v>50</v>
      </c>
      <c r="F704">
        <v>49.380912780999999</v>
      </c>
      <c r="G704">
        <v>1393.4919434000001</v>
      </c>
      <c r="H704">
        <v>1378.9146728999999</v>
      </c>
      <c r="I704">
        <v>1287.0286865</v>
      </c>
      <c r="J704">
        <v>1268.0012207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369.07122099999998</v>
      </c>
      <c r="B705" s="1">
        <f>DATE(2011,5,5) + TIME(1,42,33)</f>
        <v>40668.071215277778</v>
      </c>
      <c r="C705">
        <v>80</v>
      </c>
      <c r="D705">
        <v>79.772819518999995</v>
      </c>
      <c r="E705">
        <v>50</v>
      </c>
      <c r="F705">
        <v>49.362651825</v>
      </c>
      <c r="G705">
        <v>1393.3988036999999</v>
      </c>
      <c r="H705">
        <v>1378.833374</v>
      </c>
      <c r="I705">
        <v>1287.0245361</v>
      </c>
      <c r="J705">
        <v>1267.9957274999999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369.227688</v>
      </c>
      <c r="B706" s="1">
        <f>DATE(2011,5,5) + TIME(5,27,52)</f>
        <v>40668.227685185186</v>
      </c>
      <c r="C706">
        <v>80</v>
      </c>
      <c r="D706">
        <v>79.800117493000002</v>
      </c>
      <c r="E706">
        <v>50</v>
      </c>
      <c r="F706">
        <v>49.343700409</v>
      </c>
      <c r="G706">
        <v>1393.3051757999999</v>
      </c>
      <c r="H706">
        <v>1378.7510986</v>
      </c>
      <c r="I706">
        <v>1287.0201416</v>
      </c>
      <c r="J706">
        <v>1267.9899902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369.39151199999998</v>
      </c>
      <c r="B707" s="1">
        <f>DATE(2011,5,5) + TIME(9,23,46)</f>
        <v>40668.391504629632</v>
      </c>
      <c r="C707">
        <v>80</v>
      </c>
      <c r="D707">
        <v>79.823471068999993</v>
      </c>
      <c r="E707">
        <v>50</v>
      </c>
      <c r="F707">
        <v>49.323993682999998</v>
      </c>
      <c r="G707">
        <v>1393.2106934000001</v>
      </c>
      <c r="H707">
        <v>1378.6674805</v>
      </c>
      <c r="I707">
        <v>1287.015625</v>
      </c>
      <c r="J707">
        <v>1267.9838867000001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369.56142699999998</v>
      </c>
      <c r="B708" s="1">
        <f>DATE(2011,5,5) + TIME(13,28,27)</f>
        <v>40668.561423611114</v>
      </c>
      <c r="C708">
        <v>80</v>
      </c>
      <c r="D708">
        <v>79.843147278000004</v>
      </c>
      <c r="E708">
        <v>50</v>
      </c>
      <c r="F708">
        <v>49.303661345999998</v>
      </c>
      <c r="G708">
        <v>1393.1152344</v>
      </c>
      <c r="H708">
        <v>1378.5826416</v>
      </c>
      <c r="I708">
        <v>1287.0107422000001</v>
      </c>
      <c r="J708">
        <v>1267.9775391000001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369.738136</v>
      </c>
      <c r="B709" s="1">
        <f>DATE(2011,5,5) + TIME(17,42,54)</f>
        <v>40668.738125000003</v>
      </c>
      <c r="C709">
        <v>80</v>
      </c>
      <c r="D709">
        <v>79.859672545999999</v>
      </c>
      <c r="E709">
        <v>50</v>
      </c>
      <c r="F709">
        <v>49.282630920000003</v>
      </c>
      <c r="G709">
        <v>1393.0196533000001</v>
      </c>
      <c r="H709">
        <v>1378.4971923999999</v>
      </c>
      <c r="I709">
        <v>1287.0057373</v>
      </c>
      <c r="J709">
        <v>1267.9709473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369.92245200000002</v>
      </c>
      <c r="B710" s="1">
        <f>DATE(2011,5,5) + TIME(22,8,19)</f>
        <v>40668.922442129631</v>
      </c>
      <c r="C710">
        <v>80</v>
      </c>
      <c r="D710">
        <v>79.873489379999995</v>
      </c>
      <c r="E710">
        <v>50</v>
      </c>
      <c r="F710">
        <v>49.260822296000001</v>
      </c>
      <c r="G710">
        <v>1392.9234618999999</v>
      </c>
      <c r="H710">
        <v>1378.4111327999999</v>
      </c>
      <c r="I710">
        <v>1287.0004882999999</v>
      </c>
      <c r="J710">
        <v>1267.9641113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370.11510299999998</v>
      </c>
      <c r="B711" s="1">
        <f>DATE(2011,5,6) + TIME(2,45,44)</f>
        <v>40669.11509259259</v>
      </c>
      <c r="C711">
        <v>80</v>
      </c>
      <c r="D711">
        <v>79.885002135999997</v>
      </c>
      <c r="E711">
        <v>50</v>
      </c>
      <c r="F711">
        <v>49.238170623999999</v>
      </c>
      <c r="G711">
        <v>1392.8265381000001</v>
      </c>
      <c r="H711">
        <v>1378.3239745999999</v>
      </c>
      <c r="I711">
        <v>1286.9949951000001</v>
      </c>
      <c r="J711">
        <v>1267.9569091999999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370.315562</v>
      </c>
      <c r="B712" s="1">
        <f>DATE(2011,5,6) + TIME(7,34,24)</f>
        <v>40669.315555555557</v>
      </c>
      <c r="C712">
        <v>80</v>
      </c>
      <c r="D712">
        <v>79.894477843999994</v>
      </c>
      <c r="E712">
        <v>50</v>
      </c>
      <c r="F712">
        <v>49.214725494</v>
      </c>
      <c r="G712">
        <v>1392.7286377</v>
      </c>
      <c r="H712">
        <v>1378.2357178</v>
      </c>
      <c r="I712">
        <v>1286.9892577999999</v>
      </c>
      <c r="J712">
        <v>1267.9494629000001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370.51680599999997</v>
      </c>
      <c r="B713" s="1">
        <f>DATE(2011,5,6) + TIME(12,24,12)</f>
        <v>40669.516805555555</v>
      </c>
      <c r="C713">
        <v>80</v>
      </c>
      <c r="D713">
        <v>79.902015685999999</v>
      </c>
      <c r="E713">
        <v>50</v>
      </c>
      <c r="F713">
        <v>49.191143036</v>
      </c>
      <c r="G713">
        <v>1392.6301269999999</v>
      </c>
      <c r="H713">
        <v>1378.1467285000001</v>
      </c>
      <c r="I713">
        <v>1286.9831543</v>
      </c>
      <c r="J713">
        <v>1267.9417725000001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370.71875199999999</v>
      </c>
      <c r="B714" s="1">
        <f>DATE(2011,5,6) + TIME(17,15,0)</f>
        <v>40669.71875</v>
      </c>
      <c r="C714">
        <v>80</v>
      </c>
      <c r="D714">
        <v>79.908027649000005</v>
      </c>
      <c r="E714">
        <v>50</v>
      </c>
      <c r="F714">
        <v>49.167461394999997</v>
      </c>
      <c r="G714">
        <v>1392.5344238</v>
      </c>
      <c r="H714">
        <v>1378.0601807</v>
      </c>
      <c r="I714">
        <v>1286.9770507999999</v>
      </c>
      <c r="J714">
        <v>1267.9339600000001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370.921898</v>
      </c>
      <c r="B715" s="1">
        <f>DATE(2011,5,6) + TIME(22,7,31)</f>
        <v>40669.921886574077</v>
      </c>
      <c r="C715">
        <v>80</v>
      </c>
      <c r="D715">
        <v>79.912841796999999</v>
      </c>
      <c r="E715">
        <v>50</v>
      </c>
      <c r="F715">
        <v>49.143657683999997</v>
      </c>
      <c r="G715">
        <v>1392.4412841999999</v>
      </c>
      <c r="H715">
        <v>1377.9759521000001</v>
      </c>
      <c r="I715">
        <v>1286.9709473</v>
      </c>
      <c r="J715">
        <v>1267.9260254000001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371.12671399999999</v>
      </c>
      <c r="B716" s="1">
        <f>DATE(2011,5,7) + TIME(3,2,28)</f>
        <v>40670.126712962963</v>
      </c>
      <c r="C716">
        <v>80</v>
      </c>
      <c r="D716">
        <v>79.916717528999996</v>
      </c>
      <c r="E716">
        <v>50</v>
      </c>
      <c r="F716">
        <v>49.119697571000003</v>
      </c>
      <c r="G716">
        <v>1392.3504639</v>
      </c>
      <c r="H716">
        <v>1377.8936768000001</v>
      </c>
      <c r="I716">
        <v>1286.9647216999999</v>
      </c>
      <c r="J716">
        <v>1267.9182129000001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371.33365900000001</v>
      </c>
      <c r="B717" s="1">
        <f>DATE(2011,5,7) + TIME(8,0,28)</f>
        <v>40670.333657407406</v>
      </c>
      <c r="C717">
        <v>80</v>
      </c>
      <c r="D717">
        <v>79.919837951999995</v>
      </c>
      <c r="E717">
        <v>50</v>
      </c>
      <c r="F717">
        <v>49.095558167</v>
      </c>
      <c r="G717">
        <v>1392.2614745999999</v>
      </c>
      <c r="H717">
        <v>1377.8129882999999</v>
      </c>
      <c r="I717">
        <v>1286.9584961</v>
      </c>
      <c r="J717">
        <v>1267.9101562000001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371.54326600000002</v>
      </c>
      <c r="B718" s="1">
        <f>DATE(2011,5,7) + TIME(13,2,18)</f>
        <v>40670.543263888889</v>
      </c>
      <c r="C718">
        <v>80</v>
      </c>
      <c r="D718">
        <v>79.922363281000003</v>
      </c>
      <c r="E718">
        <v>50</v>
      </c>
      <c r="F718">
        <v>49.071186066000003</v>
      </c>
      <c r="G718">
        <v>1392.1741943</v>
      </c>
      <c r="H718">
        <v>1377.7337646000001</v>
      </c>
      <c r="I718">
        <v>1286.9522704999999</v>
      </c>
      <c r="J718">
        <v>1267.9020995999999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371.75594599999999</v>
      </c>
      <c r="B719" s="1">
        <f>DATE(2011,5,7) + TIME(18,8,33)</f>
        <v>40670.755937499998</v>
      </c>
      <c r="C719">
        <v>80</v>
      </c>
      <c r="D719">
        <v>79.924423218000001</v>
      </c>
      <c r="E719">
        <v>50</v>
      </c>
      <c r="F719">
        <v>49.04655838</v>
      </c>
      <c r="G719">
        <v>1392.0881348</v>
      </c>
      <c r="H719">
        <v>1377.6557617000001</v>
      </c>
      <c r="I719">
        <v>1286.9459228999999</v>
      </c>
      <c r="J719">
        <v>1267.8939209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371.97215699999998</v>
      </c>
      <c r="B720" s="1">
        <f>DATE(2011,5,7) + TIME(23,19,54)</f>
        <v>40670.97215277778</v>
      </c>
      <c r="C720">
        <v>80</v>
      </c>
      <c r="D720">
        <v>79.926101685000006</v>
      </c>
      <c r="E720">
        <v>50</v>
      </c>
      <c r="F720">
        <v>49.021629333</v>
      </c>
      <c r="G720">
        <v>1392.0031738</v>
      </c>
      <c r="H720">
        <v>1377.5787353999999</v>
      </c>
      <c r="I720">
        <v>1286.9394531</v>
      </c>
      <c r="J720">
        <v>1267.8856201000001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372.19239800000003</v>
      </c>
      <c r="B721" s="1">
        <f>DATE(2011,5,8) + TIME(4,37,3)</f>
        <v>40671.192395833335</v>
      </c>
      <c r="C721">
        <v>80</v>
      </c>
      <c r="D721">
        <v>79.927474975999999</v>
      </c>
      <c r="E721">
        <v>50</v>
      </c>
      <c r="F721">
        <v>48.996356964</v>
      </c>
      <c r="G721">
        <v>1391.9190673999999</v>
      </c>
      <c r="H721">
        <v>1377.5025635</v>
      </c>
      <c r="I721">
        <v>1286.9328613</v>
      </c>
      <c r="J721">
        <v>1267.8770752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372.41719399999999</v>
      </c>
      <c r="B722" s="1">
        <f>DATE(2011,5,8) + TIME(10,0,45)</f>
        <v>40671.417187500003</v>
      </c>
      <c r="C722">
        <v>80</v>
      </c>
      <c r="D722">
        <v>79.928604125999996</v>
      </c>
      <c r="E722">
        <v>50</v>
      </c>
      <c r="F722">
        <v>48.970687865999999</v>
      </c>
      <c r="G722">
        <v>1391.8355713000001</v>
      </c>
      <c r="H722">
        <v>1377.4268798999999</v>
      </c>
      <c r="I722">
        <v>1286.9261475000001</v>
      </c>
      <c r="J722">
        <v>1267.8685303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372.64710700000001</v>
      </c>
      <c r="B723" s="1">
        <f>DATE(2011,5,8) + TIME(15,31,50)</f>
        <v>40671.647106481483</v>
      </c>
      <c r="C723">
        <v>80</v>
      </c>
      <c r="D723">
        <v>79.929542541999993</v>
      </c>
      <c r="E723">
        <v>50</v>
      </c>
      <c r="F723">
        <v>48.944580078000001</v>
      </c>
      <c r="G723">
        <v>1391.7526855000001</v>
      </c>
      <c r="H723">
        <v>1377.3516846</v>
      </c>
      <c r="I723">
        <v>1286.9193115</v>
      </c>
      <c r="J723">
        <v>1267.8596190999999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372.882746</v>
      </c>
      <c r="B724" s="1">
        <f>DATE(2011,5,8) + TIME(21,11,9)</f>
        <v>40671.882743055554</v>
      </c>
      <c r="C724">
        <v>80</v>
      </c>
      <c r="D724">
        <v>79.930320739999999</v>
      </c>
      <c r="E724">
        <v>50</v>
      </c>
      <c r="F724">
        <v>48.917964935000001</v>
      </c>
      <c r="G724">
        <v>1391.6699219</v>
      </c>
      <c r="H724">
        <v>1377.2767334</v>
      </c>
      <c r="I724">
        <v>1286.9123535000001</v>
      </c>
      <c r="J724">
        <v>1267.8505858999999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373.124776</v>
      </c>
      <c r="B725" s="1">
        <f>DATE(2011,5,9) + TIME(2,59,40)</f>
        <v>40672.124768518515</v>
      </c>
      <c r="C725">
        <v>80</v>
      </c>
      <c r="D725">
        <v>79.930969238000003</v>
      </c>
      <c r="E725">
        <v>50</v>
      </c>
      <c r="F725">
        <v>48.890792847</v>
      </c>
      <c r="G725">
        <v>1391.5872803</v>
      </c>
      <c r="H725">
        <v>1377.2019043</v>
      </c>
      <c r="I725">
        <v>1286.9051514</v>
      </c>
      <c r="J725">
        <v>1267.8413086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373.37392599999998</v>
      </c>
      <c r="B726" s="1">
        <f>DATE(2011,5,9) + TIME(8,58,27)</f>
        <v>40672.373923611114</v>
      </c>
      <c r="C726">
        <v>80</v>
      </c>
      <c r="D726">
        <v>79.931510924999998</v>
      </c>
      <c r="E726">
        <v>50</v>
      </c>
      <c r="F726">
        <v>48.862983704000001</v>
      </c>
      <c r="G726">
        <v>1391.5046387</v>
      </c>
      <c r="H726">
        <v>1377.1269531</v>
      </c>
      <c r="I726">
        <v>1286.8977050999999</v>
      </c>
      <c r="J726">
        <v>1267.8317870999999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373.631013</v>
      </c>
      <c r="B727" s="1">
        <f>DATE(2011,5,9) + TIME(15,8,39)</f>
        <v>40672.631006944444</v>
      </c>
      <c r="C727">
        <v>80</v>
      </c>
      <c r="D727">
        <v>79.931968689000001</v>
      </c>
      <c r="E727">
        <v>50</v>
      </c>
      <c r="F727">
        <v>48.834472656000003</v>
      </c>
      <c r="G727">
        <v>1391.4215088000001</v>
      </c>
      <c r="H727">
        <v>1377.0517577999999</v>
      </c>
      <c r="I727">
        <v>1286.8901367000001</v>
      </c>
      <c r="J727">
        <v>1267.8220214999999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373.89705700000002</v>
      </c>
      <c r="B728" s="1">
        <f>DATE(2011,5,9) + TIME(21,31,45)</f>
        <v>40672.897048611114</v>
      </c>
      <c r="C728">
        <v>80</v>
      </c>
      <c r="D728">
        <v>79.932357788000004</v>
      </c>
      <c r="E728">
        <v>50</v>
      </c>
      <c r="F728">
        <v>48.805160522000001</v>
      </c>
      <c r="G728">
        <v>1391.3380127</v>
      </c>
      <c r="H728">
        <v>1376.9760742000001</v>
      </c>
      <c r="I728">
        <v>1286.8823242000001</v>
      </c>
      <c r="J728">
        <v>1267.8118896000001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374.17308400000002</v>
      </c>
      <c r="B729" s="1">
        <f>DATE(2011,5,10) + TIME(4,9,14)</f>
        <v>40673.173078703701</v>
      </c>
      <c r="C729">
        <v>80</v>
      </c>
      <c r="D729">
        <v>79.932685852000006</v>
      </c>
      <c r="E729">
        <v>50</v>
      </c>
      <c r="F729">
        <v>48.774951934999997</v>
      </c>
      <c r="G729">
        <v>1391.2536620999999</v>
      </c>
      <c r="H729">
        <v>1376.8997803</v>
      </c>
      <c r="I729">
        <v>1286.8741454999999</v>
      </c>
      <c r="J729">
        <v>1267.8013916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374.45903199999998</v>
      </c>
      <c r="B730" s="1">
        <f>DATE(2011,5,10) + TIME(11,1,0)</f>
        <v>40673.459027777775</v>
      </c>
      <c r="C730">
        <v>80</v>
      </c>
      <c r="D730">
        <v>79.932960510000001</v>
      </c>
      <c r="E730">
        <v>50</v>
      </c>
      <c r="F730">
        <v>48.743846892999997</v>
      </c>
      <c r="G730">
        <v>1391.168457</v>
      </c>
      <c r="H730">
        <v>1376.8227539</v>
      </c>
      <c r="I730">
        <v>1286.8656006000001</v>
      </c>
      <c r="J730">
        <v>1267.7904053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374.7534</v>
      </c>
      <c r="B731" s="1">
        <f>DATE(2011,5,10) + TIME(18,4,53)</f>
        <v>40673.753391203703</v>
      </c>
      <c r="C731">
        <v>80</v>
      </c>
      <c r="D731">
        <v>79.933197020999998</v>
      </c>
      <c r="E731">
        <v>50</v>
      </c>
      <c r="F731">
        <v>48.711959839000002</v>
      </c>
      <c r="G731">
        <v>1391.0822754000001</v>
      </c>
      <c r="H731">
        <v>1376.744751</v>
      </c>
      <c r="I731">
        <v>1286.8568115</v>
      </c>
      <c r="J731">
        <v>1267.7791748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375.05718400000001</v>
      </c>
      <c r="B732" s="1">
        <f>DATE(2011,5,11) + TIME(1,22,20)</f>
        <v>40674.057175925926</v>
      </c>
      <c r="C732">
        <v>80</v>
      </c>
      <c r="D732">
        <v>79.933403014999996</v>
      </c>
      <c r="E732">
        <v>50</v>
      </c>
      <c r="F732">
        <v>48.679210662999999</v>
      </c>
      <c r="G732">
        <v>1390.9959716999999</v>
      </c>
      <c r="H732">
        <v>1376.666626</v>
      </c>
      <c r="I732">
        <v>1286.8476562000001</v>
      </c>
      <c r="J732">
        <v>1267.7674560999999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375.37142599999999</v>
      </c>
      <c r="B733" s="1">
        <f>DATE(2011,5,11) + TIME(8,54,51)</f>
        <v>40674.371423611112</v>
      </c>
      <c r="C733">
        <v>80</v>
      </c>
      <c r="D733">
        <v>79.933570861999996</v>
      </c>
      <c r="E733">
        <v>50</v>
      </c>
      <c r="F733">
        <v>48.645523071</v>
      </c>
      <c r="G733">
        <v>1390.9090576000001</v>
      </c>
      <c r="H733">
        <v>1376.5881348</v>
      </c>
      <c r="I733">
        <v>1286.8382568</v>
      </c>
      <c r="J733">
        <v>1267.7553711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375.68822399999999</v>
      </c>
      <c r="B734" s="1">
        <f>DATE(2011,5,11) + TIME(16,31,2)</f>
        <v>40674.688217592593</v>
      </c>
      <c r="C734">
        <v>80</v>
      </c>
      <c r="D734">
        <v>79.933715820000003</v>
      </c>
      <c r="E734">
        <v>50</v>
      </c>
      <c r="F734">
        <v>48.611507416000002</v>
      </c>
      <c r="G734">
        <v>1390.8214111</v>
      </c>
      <c r="H734">
        <v>1376.5089111</v>
      </c>
      <c r="I734">
        <v>1286.8284911999999</v>
      </c>
      <c r="J734">
        <v>1267.7429199000001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376.00745000000001</v>
      </c>
      <c r="B735" s="1">
        <f>DATE(2011,5,12) + TIME(0,10,43)</f>
        <v>40675.00744212963</v>
      </c>
      <c r="C735">
        <v>80</v>
      </c>
      <c r="D735">
        <v>79.933837890999996</v>
      </c>
      <c r="E735">
        <v>50</v>
      </c>
      <c r="F735">
        <v>48.577228546000001</v>
      </c>
      <c r="G735">
        <v>1390.7352295000001</v>
      </c>
      <c r="H735">
        <v>1376.4310303</v>
      </c>
      <c r="I735">
        <v>1286.8186035000001</v>
      </c>
      <c r="J735">
        <v>1267.7303466999999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376.32843400000002</v>
      </c>
      <c r="B736" s="1">
        <f>DATE(2011,5,12) + TIME(7,52,56)</f>
        <v>40675.328425925924</v>
      </c>
      <c r="C736">
        <v>80</v>
      </c>
      <c r="D736">
        <v>79.933937072999996</v>
      </c>
      <c r="E736">
        <v>50</v>
      </c>
      <c r="F736">
        <v>48.542781830000003</v>
      </c>
      <c r="G736">
        <v>1390.6506348</v>
      </c>
      <c r="H736">
        <v>1376.3544922000001</v>
      </c>
      <c r="I736">
        <v>1286.8085937999999</v>
      </c>
      <c r="J736">
        <v>1267.7176514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376.65198400000003</v>
      </c>
      <c r="B737" s="1">
        <f>DATE(2011,5,12) + TIME(15,38,51)</f>
        <v>40675.651979166665</v>
      </c>
      <c r="C737">
        <v>80</v>
      </c>
      <c r="D737">
        <v>79.934020996000001</v>
      </c>
      <c r="E737">
        <v>50</v>
      </c>
      <c r="F737">
        <v>48.508140564000001</v>
      </c>
      <c r="G737">
        <v>1390.5675048999999</v>
      </c>
      <c r="H737">
        <v>1376.2794189000001</v>
      </c>
      <c r="I737">
        <v>1286.7984618999999</v>
      </c>
      <c r="J737">
        <v>1267.7048339999999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376.97893099999999</v>
      </c>
      <c r="B738" s="1">
        <f>DATE(2011,5,12) + TIME(23,29,39)</f>
        <v>40675.97892361111</v>
      </c>
      <c r="C738">
        <v>80</v>
      </c>
      <c r="D738">
        <v>79.934089661000002</v>
      </c>
      <c r="E738">
        <v>50</v>
      </c>
      <c r="F738">
        <v>48.473266602000002</v>
      </c>
      <c r="G738">
        <v>1390.4858397999999</v>
      </c>
      <c r="H738">
        <v>1376.2055664</v>
      </c>
      <c r="I738">
        <v>1286.7883300999999</v>
      </c>
      <c r="J738">
        <v>1267.6918945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377.309934</v>
      </c>
      <c r="B739" s="1">
        <f>DATE(2011,5,13) + TIME(7,26,18)</f>
        <v>40676.309930555559</v>
      </c>
      <c r="C739">
        <v>80</v>
      </c>
      <c r="D739">
        <v>79.934150696000003</v>
      </c>
      <c r="E739">
        <v>50</v>
      </c>
      <c r="F739">
        <v>48.438110352000002</v>
      </c>
      <c r="G739">
        <v>1390.4051514</v>
      </c>
      <c r="H739">
        <v>1376.1325684000001</v>
      </c>
      <c r="I739">
        <v>1286.7780762</v>
      </c>
      <c r="J739">
        <v>1267.6787108999999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377.64577100000002</v>
      </c>
      <c r="B740" s="1">
        <f>DATE(2011,5,13) + TIME(15,29,54)</f>
        <v>40676.64576388889</v>
      </c>
      <c r="C740">
        <v>80</v>
      </c>
      <c r="D740">
        <v>79.934196471999996</v>
      </c>
      <c r="E740">
        <v>50</v>
      </c>
      <c r="F740">
        <v>48.402622223000002</v>
      </c>
      <c r="G740">
        <v>1390.3253173999999</v>
      </c>
      <c r="H740">
        <v>1376.0604248</v>
      </c>
      <c r="I740">
        <v>1286.7677002</v>
      </c>
      <c r="J740">
        <v>1267.6654053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377.98724600000003</v>
      </c>
      <c r="B741" s="1">
        <f>DATE(2011,5,13) + TIME(23,41,38)</f>
        <v>40676.987245370372</v>
      </c>
      <c r="C741">
        <v>80</v>
      </c>
      <c r="D741">
        <v>79.934242248999993</v>
      </c>
      <c r="E741">
        <v>50</v>
      </c>
      <c r="F741">
        <v>48.366737366000002</v>
      </c>
      <c r="G741">
        <v>1390.2460937999999</v>
      </c>
      <c r="H741">
        <v>1375.9888916</v>
      </c>
      <c r="I741">
        <v>1286.7570800999999</v>
      </c>
      <c r="J741">
        <v>1267.6518555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378.33521100000002</v>
      </c>
      <c r="B742" s="1">
        <f>DATE(2011,5,14) + TIME(8,2,42)</f>
        <v>40677.33520833333</v>
      </c>
      <c r="C742">
        <v>80</v>
      </c>
      <c r="D742">
        <v>79.934280396000005</v>
      </c>
      <c r="E742">
        <v>50</v>
      </c>
      <c r="F742">
        <v>48.330387115000001</v>
      </c>
      <c r="G742">
        <v>1390.1673584</v>
      </c>
      <c r="H742">
        <v>1375.9177245999999</v>
      </c>
      <c r="I742">
        <v>1286.7463379000001</v>
      </c>
      <c r="J742">
        <v>1267.6380615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378.69057900000001</v>
      </c>
      <c r="B743" s="1">
        <f>DATE(2011,5,14) + TIME(16,34,26)</f>
        <v>40677.690578703703</v>
      </c>
      <c r="C743">
        <v>80</v>
      </c>
      <c r="D743">
        <v>79.934310913000004</v>
      </c>
      <c r="E743">
        <v>50</v>
      </c>
      <c r="F743">
        <v>48.293491363999998</v>
      </c>
      <c r="G743">
        <v>1390.0888672000001</v>
      </c>
      <c r="H743">
        <v>1375.8468018000001</v>
      </c>
      <c r="I743">
        <v>1286.7353516000001</v>
      </c>
      <c r="J743">
        <v>1267.6239014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379.05433099999999</v>
      </c>
      <c r="B744" s="1">
        <f>DATE(2011,5,15) + TIME(1,18,14)</f>
        <v>40678.054328703707</v>
      </c>
      <c r="C744">
        <v>80</v>
      </c>
      <c r="D744">
        <v>79.934333800999994</v>
      </c>
      <c r="E744">
        <v>50</v>
      </c>
      <c r="F744">
        <v>48.255970001000001</v>
      </c>
      <c r="G744">
        <v>1390.0104980000001</v>
      </c>
      <c r="H744">
        <v>1375.7758789</v>
      </c>
      <c r="I744">
        <v>1286.7241211</v>
      </c>
      <c r="J744">
        <v>1267.6094971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379.42754400000001</v>
      </c>
      <c r="B745" s="1">
        <f>DATE(2011,5,15) + TIME(10,15,39)</f>
        <v>40678.427534722221</v>
      </c>
      <c r="C745">
        <v>80</v>
      </c>
      <c r="D745">
        <v>79.934356688999998</v>
      </c>
      <c r="E745">
        <v>50</v>
      </c>
      <c r="F745">
        <v>48.217731475999997</v>
      </c>
      <c r="G745">
        <v>1389.9320068</v>
      </c>
      <c r="H745">
        <v>1375.7048339999999</v>
      </c>
      <c r="I745">
        <v>1286.7125243999999</v>
      </c>
      <c r="J745">
        <v>1267.5947266000001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379.81140599999998</v>
      </c>
      <c r="B746" s="1">
        <f>DATE(2011,5,15) + TIME(19,28,25)</f>
        <v>40678.811400462961</v>
      </c>
      <c r="C746">
        <v>80</v>
      </c>
      <c r="D746">
        <v>79.934371948000006</v>
      </c>
      <c r="E746">
        <v>50</v>
      </c>
      <c r="F746">
        <v>48.178672790999997</v>
      </c>
      <c r="G746">
        <v>1389.8531493999999</v>
      </c>
      <c r="H746">
        <v>1375.6335449000001</v>
      </c>
      <c r="I746">
        <v>1286.7006836</v>
      </c>
      <c r="J746">
        <v>1267.5794678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380.20725800000002</v>
      </c>
      <c r="B747" s="1">
        <f>DATE(2011,5,16) + TIME(4,58,27)</f>
        <v>40679.207256944443</v>
      </c>
      <c r="C747">
        <v>80</v>
      </c>
      <c r="D747">
        <v>79.934387207</v>
      </c>
      <c r="E747">
        <v>50</v>
      </c>
      <c r="F747">
        <v>48.138683319000002</v>
      </c>
      <c r="G747">
        <v>1389.7738036999999</v>
      </c>
      <c r="H747">
        <v>1375.5618896000001</v>
      </c>
      <c r="I747">
        <v>1286.6883545000001</v>
      </c>
      <c r="J747">
        <v>1267.5637207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380.61573499999997</v>
      </c>
      <c r="B748" s="1">
        <f>DATE(2011,5,16) + TIME(14,46,39)</f>
        <v>40679.615729166668</v>
      </c>
      <c r="C748">
        <v>80</v>
      </c>
      <c r="D748">
        <v>79.934402465999995</v>
      </c>
      <c r="E748">
        <v>50</v>
      </c>
      <c r="F748">
        <v>48.097694396999998</v>
      </c>
      <c r="G748">
        <v>1389.6938477000001</v>
      </c>
      <c r="H748">
        <v>1375.4895019999999</v>
      </c>
      <c r="I748">
        <v>1286.6756591999999</v>
      </c>
      <c r="J748">
        <v>1267.5474853999999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381.03800899999999</v>
      </c>
      <c r="B749" s="1">
        <f>DATE(2011,5,17) + TIME(0,54,43)</f>
        <v>40680.037997685184</v>
      </c>
      <c r="C749">
        <v>80</v>
      </c>
      <c r="D749">
        <v>79.934417725000003</v>
      </c>
      <c r="E749">
        <v>50</v>
      </c>
      <c r="F749">
        <v>48.055614470999998</v>
      </c>
      <c r="G749">
        <v>1389.6130370999999</v>
      </c>
      <c r="H749">
        <v>1375.4163818</v>
      </c>
      <c r="I749">
        <v>1286.6624756000001</v>
      </c>
      <c r="J749">
        <v>1267.5307617000001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381.46690000000001</v>
      </c>
      <c r="B750" s="1">
        <f>DATE(2011,5,17) + TIME(11,12,20)</f>
        <v>40680.466898148145</v>
      </c>
      <c r="C750">
        <v>80</v>
      </c>
      <c r="D750">
        <v>79.934425353999998</v>
      </c>
      <c r="E750">
        <v>50</v>
      </c>
      <c r="F750">
        <v>48.012893677000001</v>
      </c>
      <c r="G750">
        <v>1389.53125</v>
      </c>
      <c r="H750">
        <v>1375.3424072</v>
      </c>
      <c r="I750">
        <v>1286.6488036999999</v>
      </c>
      <c r="J750">
        <v>1267.5133057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381.89848499999999</v>
      </c>
      <c r="B751" s="1">
        <f>DATE(2011,5,17) + TIME(21,33,49)</f>
        <v>40680.8984837963</v>
      </c>
      <c r="C751">
        <v>80</v>
      </c>
      <c r="D751">
        <v>79.934432982999994</v>
      </c>
      <c r="E751">
        <v>50</v>
      </c>
      <c r="F751">
        <v>47.969856262</v>
      </c>
      <c r="G751">
        <v>1389.4500731999999</v>
      </c>
      <c r="H751">
        <v>1375.2689209</v>
      </c>
      <c r="I751">
        <v>1286.6347656</v>
      </c>
      <c r="J751">
        <v>1267.4956055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382.33388500000001</v>
      </c>
      <c r="B752" s="1">
        <f>DATE(2011,5,18) + TIME(8,0,47)</f>
        <v>40681.333877314813</v>
      </c>
      <c r="C752">
        <v>80</v>
      </c>
      <c r="D752">
        <v>79.934440613000007</v>
      </c>
      <c r="E752">
        <v>50</v>
      </c>
      <c r="F752">
        <v>47.926517486999998</v>
      </c>
      <c r="G752">
        <v>1389.3701172000001</v>
      </c>
      <c r="H752">
        <v>1375.1964111</v>
      </c>
      <c r="I752">
        <v>1286.6207274999999</v>
      </c>
      <c r="J752">
        <v>1267.4776611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382.77419800000001</v>
      </c>
      <c r="B753" s="1">
        <f>DATE(2011,5,18) + TIME(18,34,50)</f>
        <v>40681.774189814816</v>
      </c>
      <c r="C753">
        <v>80</v>
      </c>
      <c r="D753">
        <v>79.934448242000002</v>
      </c>
      <c r="E753">
        <v>50</v>
      </c>
      <c r="F753">
        <v>47.882846831999998</v>
      </c>
      <c r="G753">
        <v>1389.2911377</v>
      </c>
      <c r="H753">
        <v>1375.1248779</v>
      </c>
      <c r="I753">
        <v>1286.6064452999999</v>
      </c>
      <c r="J753">
        <v>1267.4594727000001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383.22054700000001</v>
      </c>
      <c r="B754" s="1">
        <f>DATE(2011,5,19) + TIME(5,17,35)</f>
        <v>40682.220543981479</v>
      </c>
      <c r="C754">
        <v>80</v>
      </c>
      <c r="D754">
        <v>79.934455872000001</v>
      </c>
      <c r="E754">
        <v>50</v>
      </c>
      <c r="F754">
        <v>47.838794708000002</v>
      </c>
      <c r="G754">
        <v>1389.2128906</v>
      </c>
      <c r="H754">
        <v>1375.0540771000001</v>
      </c>
      <c r="I754">
        <v>1286.5919189000001</v>
      </c>
      <c r="J754">
        <v>1267.440918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383.67386900000002</v>
      </c>
      <c r="B755" s="1">
        <f>DATE(2011,5,19) + TIME(16,10,22)</f>
        <v>40682.67386574074</v>
      </c>
      <c r="C755">
        <v>80</v>
      </c>
      <c r="D755">
        <v>79.934463500999996</v>
      </c>
      <c r="E755">
        <v>50</v>
      </c>
      <c r="F755">
        <v>47.794303894000002</v>
      </c>
      <c r="G755">
        <v>1389.1352539</v>
      </c>
      <c r="H755">
        <v>1374.9836425999999</v>
      </c>
      <c r="I755">
        <v>1286.5772704999999</v>
      </c>
      <c r="J755">
        <v>1267.4221190999999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384.13155899999998</v>
      </c>
      <c r="B756" s="1">
        <f>DATE(2011,5,20) + TIME(3,9,26)</f>
        <v>40683.131550925929</v>
      </c>
      <c r="C756">
        <v>80</v>
      </c>
      <c r="D756">
        <v>79.934471130000006</v>
      </c>
      <c r="E756">
        <v>50</v>
      </c>
      <c r="F756">
        <v>47.749538422000001</v>
      </c>
      <c r="G756">
        <v>1389.0579834</v>
      </c>
      <c r="H756">
        <v>1374.9135742000001</v>
      </c>
      <c r="I756">
        <v>1286.5621338000001</v>
      </c>
      <c r="J756">
        <v>1267.4029541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384.59452700000003</v>
      </c>
      <c r="B757" s="1">
        <f>DATE(2011,5,20) + TIME(14,16,7)</f>
        <v>40683.594525462962</v>
      </c>
      <c r="C757">
        <v>80</v>
      </c>
      <c r="D757">
        <v>79.934471130000006</v>
      </c>
      <c r="E757">
        <v>50</v>
      </c>
      <c r="F757">
        <v>47.704460144000002</v>
      </c>
      <c r="G757">
        <v>1388.9814452999999</v>
      </c>
      <c r="H757">
        <v>1374.8441161999999</v>
      </c>
      <c r="I757">
        <v>1286.546875</v>
      </c>
      <c r="J757">
        <v>1267.3835449000001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385.06385</v>
      </c>
      <c r="B758" s="1">
        <f>DATE(2011,5,21) + TIME(1,31,56)</f>
        <v>40684.063842592594</v>
      </c>
      <c r="C758">
        <v>80</v>
      </c>
      <c r="D758">
        <v>79.934478760000005</v>
      </c>
      <c r="E758">
        <v>50</v>
      </c>
      <c r="F758">
        <v>47.659015656000001</v>
      </c>
      <c r="G758">
        <v>1388.9056396000001</v>
      </c>
      <c r="H758">
        <v>1374.7753906</v>
      </c>
      <c r="I758">
        <v>1286.5313721</v>
      </c>
      <c r="J758">
        <v>1267.3637695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385.54064899999997</v>
      </c>
      <c r="B759" s="1">
        <f>DATE(2011,5,21) + TIME(12,58,32)</f>
        <v>40684.540648148148</v>
      </c>
      <c r="C759">
        <v>80</v>
      </c>
      <c r="D759">
        <v>79.934486389</v>
      </c>
      <c r="E759">
        <v>50</v>
      </c>
      <c r="F759">
        <v>47.613124847000002</v>
      </c>
      <c r="G759">
        <v>1388.8303223</v>
      </c>
      <c r="H759">
        <v>1374.7069091999999</v>
      </c>
      <c r="I759">
        <v>1286.515625</v>
      </c>
      <c r="J759">
        <v>1267.3436279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386.02610800000002</v>
      </c>
      <c r="B760" s="1">
        <f>DATE(2011,5,22) + TIME(0,37,35)</f>
        <v>40685.026099537034</v>
      </c>
      <c r="C760">
        <v>80</v>
      </c>
      <c r="D760">
        <v>79.934494018999999</v>
      </c>
      <c r="E760">
        <v>50</v>
      </c>
      <c r="F760">
        <v>47.566703795999999</v>
      </c>
      <c r="G760">
        <v>1388.755249</v>
      </c>
      <c r="H760">
        <v>1374.6386719</v>
      </c>
      <c r="I760">
        <v>1286.4996338000001</v>
      </c>
      <c r="J760">
        <v>1267.3229980000001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386.52149100000003</v>
      </c>
      <c r="B761" s="1">
        <f>DATE(2011,5,22) + TIME(12,30,56)</f>
        <v>40685.521481481483</v>
      </c>
      <c r="C761">
        <v>80</v>
      </c>
      <c r="D761">
        <v>79.934501647999994</v>
      </c>
      <c r="E761">
        <v>50</v>
      </c>
      <c r="F761">
        <v>47.519653320000003</v>
      </c>
      <c r="G761">
        <v>1388.6801757999999</v>
      </c>
      <c r="H761">
        <v>1374.5705565999999</v>
      </c>
      <c r="I761">
        <v>1286.4831543</v>
      </c>
      <c r="J761">
        <v>1267.3020019999999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387.02817399999998</v>
      </c>
      <c r="B762" s="1">
        <f>DATE(2011,5,23) + TIME(0,40,34)</f>
        <v>40686.028171296297</v>
      </c>
      <c r="C762">
        <v>80</v>
      </c>
      <c r="D762">
        <v>79.934509277000004</v>
      </c>
      <c r="E762">
        <v>50</v>
      </c>
      <c r="F762">
        <v>47.471870422000002</v>
      </c>
      <c r="G762">
        <v>1388.6052245999999</v>
      </c>
      <c r="H762">
        <v>1374.5023193</v>
      </c>
      <c r="I762">
        <v>1286.4663086</v>
      </c>
      <c r="J762">
        <v>1267.2803954999999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387.54765400000002</v>
      </c>
      <c r="B763" s="1">
        <f>DATE(2011,5,23) + TIME(13,8,37)</f>
        <v>40686.547650462962</v>
      </c>
      <c r="C763">
        <v>80</v>
      </c>
      <c r="D763">
        <v>79.934524535999998</v>
      </c>
      <c r="E763">
        <v>50</v>
      </c>
      <c r="F763">
        <v>47.423233031999999</v>
      </c>
      <c r="G763">
        <v>1388.5299072</v>
      </c>
      <c r="H763">
        <v>1374.4338379000001</v>
      </c>
      <c r="I763">
        <v>1286.4488524999999</v>
      </c>
      <c r="J763">
        <v>1267.2581786999999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388.08160199999998</v>
      </c>
      <c r="B764" s="1">
        <f>DATE(2011,5,24) + TIME(1,57,30)</f>
        <v>40687.081597222219</v>
      </c>
      <c r="C764">
        <v>80</v>
      </c>
      <c r="D764">
        <v>79.934532165999997</v>
      </c>
      <c r="E764">
        <v>50</v>
      </c>
      <c r="F764">
        <v>47.373615264999998</v>
      </c>
      <c r="G764">
        <v>1388.4541016000001</v>
      </c>
      <c r="H764">
        <v>1374.3648682</v>
      </c>
      <c r="I764">
        <v>1286.4310303</v>
      </c>
      <c r="J764">
        <v>1267.2352295000001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388.63040699999999</v>
      </c>
      <c r="B765" s="1">
        <f>DATE(2011,5,24) + TIME(15,7,47)</f>
        <v>40687.63040509259</v>
      </c>
      <c r="C765">
        <v>80</v>
      </c>
      <c r="D765">
        <v>79.934539795000006</v>
      </c>
      <c r="E765">
        <v>50</v>
      </c>
      <c r="F765">
        <v>47.322952270999998</v>
      </c>
      <c r="G765">
        <v>1388.3778076000001</v>
      </c>
      <c r="H765">
        <v>1374.2954102000001</v>
      </c>
      <c r="I765">
        <v>1286.4124756000001</v>
      </c>
      <c r="J765">
        <v>1267.2115478999999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389.18223399999999</v>
      </c>
      <c r="B766" s="1">
        <f>DATE(2011,5,25) + TIME(4,22,24)</f>
        <v>40688.182222222225</v>
      </c>
      <c r="C766">
        <v>80</v>
      </c>
      <c r="D766">
        <v>79.934555054</v>
      </c>
      <c r="E766">
        <v>50</v>
      </c>
      <c r="F766">
        <v>47.271892547999997</v>
      </c>
      <c r="G766">
        <v>1388.3007812000001</v>
      </c>
      <c r="H766">
        <v>1374.2252197</v>
      </c>
      <c r="I766">
        <v>1286.3933105000001</v>
      </c>
      <c r="J766">
        <v>1267.1871338000001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389.73854</v>
      </c>
      <c r="B767" s="1">
        <f>DATE(2011,5,25) + TIME(17,43,29)</f>
        <v>40688.738530092596</v>
      </c>
      <c r="C767">
        <v>80</v>
      </c>
      <c r="D767">
        <v>79.934570312000005</v>
      </c>
      <c r="E767">
        <v>50</v>
      </c>
      <c r="F767">
        <v>47.220497131000002</v>
      </c>
      <c r="G767">
        <v>1388.2247314000001</v>
      </c>
      <c r="H767">
        <v>1374.1558838000001</v>
      </c>
      <c r="I767">
        <v>1286.3739014</v>
      </c>
      <c r="J767">
        <v>1267.1623535000001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390.30073499999997</v>
      </c>
      <c r="B768" s="1">
        <f>DATE(2011,5,26) + TIME(7,13,3)</f>
        <v>40689.300729166665</v>
      </c>
      <c r="C768">
        <v>80</v>
      </c>
      <c r="D768">
        <v>79.934577942000004</v>
      </c>
      <c r="E768">
        <v>50</v>
      </c>
      <c r="F768">
        <v>47.168754577999998</v>
      </c>
      <c r="G768">
        <v>1388.1495361</v>
      </c>
      <c r="H768">
        <v>1374.0874022999999</v>
      </c>
      <c r="I768">
        <v>1286.354126</v>
      </c>
      <c r="J768">
        <v>1267.137207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390.87026100000003</v>
      </c>
      <c r="B769" s="1">
        <f>DATE(2011,5,26) + TIME(20,53,10)</f>
        <v>40689.870254629626</v>
      </c>
      <c r="C769">
        <v>80</v>
      </c>
      <c r="D769">
        <v>79.934593200999998</v>
      </c>
      <c r="E769">
        <v>50</v>
      </c>
      <c r="F769">
        <v>47.116611481</v>
      </c>
      <c r="G769">
        <v>1388.0750731999999</v>
      </c>
      <c r="H769">
        <v>1374.0192870999999</v>
      </c>
      <c r="I769">
        <v>1286.3341064000001</v>
      </c>
      <c r="J769">
        <v>1267.1114502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391.44860899999998</v>
      </c>
      <c r="B770" s="1">
        <f>DATE(2011,5,27) + TIME(10,45,59)</f>
        <v>40690.448599537034</v>
      </c>
      <c r="C770">
        <v>80</v>
      </c>
      <c r="D770">
        <v>79.934608459000003</v>
      </c>
      <c r="E770">
        <v>50</v>
      </c>
      <c r="F770">
        <v>47.063987732000001</v>
      </c>
      <c r="G770">
        <v>1388.0008545000001</v>
      </c>
      <c r="H770">
        <v>1373.9516602000001</v>
      </c>
      <c r="I770">
        <v>1286.3137207</v>
      </c>
      <c r="J770">
        <v>1267.0853271000001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392.037352</v>
      </c>
      <c r="B771" s="1">
        <f>DATE(2011,5,28) + TIME(0,53,47)</f>
        <v>40691.037349537037</v>
      </c>
      <c r="C771">
        <v>80</v>
      </c>
      <c r="D771">
        <v>79.934623717999997</v>
      </c>
      <c r="E771">
        <v>50</v>
      </c>
      <c r="F771">
        <v>47.010772705000001</v>
      </c>
      <c r="G771">
        <v>1387.9270019999999</v>
      </c>
      <c r="H771">
        <v>1373.8840332</v>
      </c>
      <c r="I771">
        <v>1286.2928466999999</v>
      </c>
      <c r="J771">
        <v>1267.0584716999999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392.63804599999997</v>
      </c>
      <c r="B772" s="1">
        <f>DATE(2011,5,28) + TIME(15,18,47)</f>
        <v>40691.638043981482</v>
      </c>
      <c r="C772">
        <v>80</v>
      </c>
      <c r="D772">
        <v>79.934638977000006</v>
      </c>
      <c r="E772">
        <v>50</v>
      </c>
      <c r="F772">
        <v>46.956851958999998</v>
      </c>
      <c r="G772">
        <v>1387.8530272999999</v>
      </c>
      <c r="H772">
        <v>1373.8165283000001</v>
      </c>
      <c r="I772">
        <v>1286.2714844</v>
      </c>
      <c r="J772">
        <v>1267.0310059000001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393.24554799999999</v>
      </c>
      <c r="B773" s="1">
        <f>DATE(2011,5,29) + TIME(5,53,35)</f>
        <v>40692.24554398148</v>
      </c>
      <c r="C773">
        <v>80</v>
      </c>
      <c r="D773">
        <v>79.934661864999995</v>
      </c>
      <c r="E773">
        <v>50</v>
      </c>
      <c r="F773">
        <v>46.902462006</v>
      </c>
      <c r="G773">
        <v>1387.7789307</v>
      </c>
      <c r="H773">
        <v>1373.7487793</v>
      </c>
      <c r="I773">
        <v>1286.2493896000001</v>
      </c>
      <c r="J773">
        <v>1267.0026855000001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393.86136800000003</v>
      </c>
      <c r="B774" s="1">
        <f>DATE(2011,5,29) + TIME(20,40,22)</f>
        <v>40692.86136574074</v>
      </c>
      <c r="C774">
        <v>80</v>
      </c>
      <c r="D774">
        <v>79.934677124000004</v>
      </c>
      <c r="E774">
        <v>50</v>
      </c>
      <c r="F774">
        <v>46.847572327000002</v>
      </c>
      <c r="G774">
        <v>1387.7054443</v>
      </c>
      <c r="H774">
        <v>1373.6813964999999</v>
      </c>
      <c r="I774">
        <v>1286.2269286999999</v>
      </c>
      <c r="J774">
        <v>1266.9738769999999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394.48704199999997</v>
      </c>
      <c r="B775" s="1">
        <f>DATE(2011,5,30) + TIME(11,41,20)</f>
        <v>40693.487037037034</v>
      </c>
      <c r="C775">
        <v>80</v>
      </c>
      <c r="D775">
        <v>79.934700011999993</v>
      </c>
      <c r="E775">
        <v>50</v>
      </c>
      <c r="F775">
        <v>46.792110442999999</v>
      </c>
      <c r="G775">
        <v>1387.6320800999999</v>
      </c>
      <c r="H775">
        <v>1373.6142577999999</v>
      </c>
      <c r="I775">
        <v>1286.2039795000001</v>
      </c>
      <c r="J775">
        <v>1266.9442139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395.12419199999999</v>
      </c>
      <c r="B776" s="1">
        <f>DATE(2011,5,31) + TIME(2,58,50)</f>
        <v>40694.124189814815</v>
      </c>
      <c r="C776">
        <v>80</v>
      </c>
      <c r="D776">
        <v>79.934715271000002</v>
      </c>
      <c r="E776">
        <v>50</v>
      </c>
      <c r="F776">
        <v>46.735984801999997</v>
      </c>
      <c r="G776">
        <v>1387.5589600000001</v>
      </c>
      <c r="H776">
        <v>1373.5472411999999</v>
      </c>
      <c r="I776">
        <v>1286.1804199000001</v>
      </c>
      <c r="J776">
        <v>1266.9139404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395.774564</v>
      </c>
      <c r="B777" s="1">
        <f>DATE(2011,5,31) + TIME(18,35,22)</f>
        <v>40694.774560185186</v>
      </c>
      <c r="C777">
        <v>80</v>
      </c>
      <c r="D777">
        <v>79.934738159000005</v>
      </c>
      <c r="E777">
        <v>50</v>
      </c>
      <c r="F777">
        <v>46.679073334000002</v>
      </c>
      <c r="G777">
        <v>1387.4857178</v>
      </c>
      <c r="H777">
        <v>1373.4801024999999</v>
      </c>
      <c r="I777">
        <v>1286.1563721</v>
      </c>
      <c r="J777">
        <v>1266.8828125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396</v>
      </c>
      <c r="B778" s="1">
        <f>DATE(2011,6,1) + TIME(0,0,0)</f>
        <v>40695</v>
      </c>
      <c r="C778">
        <v>80</v>
      </c>
      <c r="D778">
        <v>79.934738159000005</v>
      </c>
      <c r="E778">
        <v>50</v>
      </c>
      <c r="F778">
        <v>46.651695251</v>
      </c>
      <c r="G778">
        <v>1387.4124756000001</v>
      </c>
      <c r="H778">
        <v>1373.4128418</v>
      </c>
      <c r="I778">
        <v>1286.1282959</v>
      </c>
      <c r="J778">
        <v>1266.8537598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396.66549600000002</v>
      </c>
      <c r="B779" s="1">
        <f>DATE(2011,6,1) + TIME(15,58,18)</f>
        <v>40695.665486111109</v>
      </c>
      <c r="C779">
        <v>80</v>
      </c>
      <c r="D779">
        <v>79.934768676999994</v>
      </c>
      <c r="E779">
        <v>50</v>
      </c>
      <c r="F779">
        <v>46.597122192</v>
      </c>
      <c r="G779">
        <v>1387.3869629000001</v>
      </c>
      <c r="H779">
        <v>1373.3892822</v>
      </c>
      <c r="I779">
        <v>1286.1229248</v>
      </c>
      <c r="J779">
        <v>1266.8386230000001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397.348029</v>
      </c>
      <c r="B780" s="1">
        <f>DATE(2011,6,2) + TIME(8,21,9)</f>
        <v>40696.348020833335</v>
      </c>
      <c r="C780">
        <v>80</v>
      </c>
      <c r="D780">
        <v>79.934799193999993</v>
      </c>
      <c r="E780">
        <v>50</v>
      </c>
      <c r="F780">
        <v>46.540134430000002</v>
      </c>
      <c r="G780">
        <v>1387.3138428</v>
      </c>
      <c r="H780">
        <v>1373.3222656</v>
      </c>
      <c r="I780">
        <v>1286.097168</v>
      </c>
      <c r="J780">
        <v>1266.8055420000001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398.03477400000003</v>
      </c>
      <c r="B781" s="1">
        <f>DATE(2011,6,3) + TIME(0,50,4)</f>
        <v>40697.034768518519</v>
      </c>
      <c r="C781">
        <v>80</v>
      </c>
      <c r="D781">
        <v>79.934822083</v>
      </c>
      <c r="E781">
        <v>50</v>
      </c>
      <c r="F781">
        <v>46.481849670000003</v>
      </c>
      <c r="G781">
        <v>1387.2398682</v>
      </c>
      <c r="H781">
        <v>1373.2542725000001</v>
      </c>
      <c r="I781">
        <v>1286.0703125</v>
      </c>
      <c r="J781">
        <v>1266.7712402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398.727552</v>
      </c>
      <c r="B782" s="1">
        <f>DATE(2011,6,3) + TIME(17,27,40)</f>
        <v>40697.727546296293</v>
      </c>
      <c r="C782">
        <v>80</v>
      </c>
      <c r="D782">
        <v>79.934844971000004</v>
      </c>
      <c r="E782">
        <v>50</v>
      </c>
      <c r="F782">
        <v>46.422691344999997</v>
      </c>
      <c r="G782">
        <v>1387.1667480000001</v>
      </c>
      <c r="H782">
        <v>1373.1868896000001</v>
      </c>
      <c r="I782">
        <v>1286.0430908000001</v>
      </c>
      <c r="J782">
        <v>1266.7360839999999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399.42813699999999</v>
      </c>
      <c r="B783" s="1">
        <f>DATE(2011,6,4) + TIME(10,16,31)</f>
        <v>40698.428136574075</v>
      </c>
      <c r="C783">
        <v>80</v>
      </c>
      <c r="D783">
        <v>79.934875488000003</v>
      </c>
      <c r="E783">
        <v>50</v>
      </c>
      <c r="F783">
        <v>46.362846374999997</v>
      </c>
      <c r="G783">
        <v>1387.0941161999999</v>
      </c>
      <c r="H783">
        <v>1373.1201172000001</v>
      </c>
      <c r="I783">
        <v>1286.0152588000001</v>
      </c>
      <c r="J783">
        <v>1266.7001952999999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400.13685299999997</v>
      </c>
      <c r="B784" s="1">
        <f>DATE(2011,6,5) + TIME(3,17,4)</f>
        <v>40699.13685185185</v>
      </c>
      <c r="C784">
        <v>80</v>
      </c>
      <c r="D784">
        <v>79.934906006000006</v>
      </c>
      <c r="E784">
        <v>50</v>
      </c>
      <c r="F784">
        <v>46.302410125999998</v>
      </c>
      <c r="G784">
        <v>1387.0219727000001</v>
      </c>
      <c r="H784">
        <v>1373.0535889</v>
      </c>
      <c r="I784">
        <v>1285.9869385</v>
      </c>
      <c r="J784">
        <v>1266.6633300999999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400.855144</v>
      </c>
      <c r="B785" s="1">
        <f>DATE(2011,6,5) + TIME(20,31,24)</f>
        <v>40699.855138888888</v>
      </c>
      <c r="C785">
        <v>80</v>
      </c>
      <c r="D785">
        <v>79.934928893999995</v>
      </c>
      <c r="E785">
        <v>50</v>
      </c>
      <c r="F785">
        <v>46.241378783999998</v>
      </c>
      <c r="G785">
        <v>1386.9501952999999</v>
      </c>
      <c r="H785">
        <v>1372.9874268000001</v>
      </c>
      <c r="I785">
        <v>1285.9580077999999</v>
      </c>
      <c r="J785">
        <v>1266.6256103999999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401.58486699999997</v>
      </c>
      <c r="B786" s="1">
        <f>DATE(2011,6,6) + TIME(14,2,12)</f>
        <v>40700.584861111114</v>
      </c>
      <c r="C786">
        <v>80</v>
      </c>
      <c r="D786">
        <v>79.934959411999998</v>
      </c>
      <c r="E786">
        <v>50</v>
      </c>
      <c r="F786">
        <v>46.179676055999998</v>
      </c>
      <c r="G786">
        <v>1386.8786620999999</v>
      </c>
      <c r="H786">
        <v>1372.9213867000001</v>
      </c>
      <c r="I786">
        <v>1285.9283447</v>
      </c>
      <c r="J786">
        <v>1266.5869141000001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402.32798600000001</v>
      </c>
      <c r="B787" s="1">
        <f>DATE(2011,6,7) + TIME(7,52,18)</f>
        <v>40701.327986111108</v>
      </c>
      <c r="C787">
        <v>80</v>
      </c>
      <c r="D787">
        <v>79.934989928999997</v>
      </c>
      <c r="E787">
        <v>50</v>
      </c>
      <c r="F787">
        <v>46.117183685000001</v>
      </c>
      <c r="G787">
        <v>1386.8071289</v>
      </c>
      <c r="H787">
        <v>1372.8553466999999</v>
      </c>
      <c r="I787">
        <v>1285.8978271000001</v>
      </c>
      <c r="J787">
        <v>1266.5469971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403.08660200000003</v>
      </c>
      <c r="B788" s="1">
        <f>DATE(2011,6,8) + TIME(2,4,42)</f>
        <v>40702.086597222224</v>
      </c>
      <c r="C788">
        <v>80</v>
      </c>
      <c r="D788">
        <v>79.935028075999995</v>
      </c>
      <c r="E788">
        <v>50</v>
      </c>
      <c r="F788">
        <v>46.053756714000002</v>
      </c>
      <c r="G788">
        <v>1386.7354736</v>
      </c>
      <c r="H788">
        <v>1372.7891846</v>
      </c>
      <c r="I788">
        <v>1285.8664550999999</v>
      </c>
      <c r="J788">
        <v>1266.5057373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403.86300399999999</v>
      </c>
      <c r="B789" s="1">
        <f>DATE(2011,6,8) + TIME(20,42,43)</f>
        <v>40702.862997685188</v>
      </c>
      <c r="C789">
        <v>80</v>
      </c>
      <c r="D789">
        <v>79.935058593999997</v>
      </c>
      <c r="E789">
        <v>50</v>
      </c>
      <c r="F789">
        <v>45.989231109999999</v>
      </c>
      <c r="G789">
        <v>1386.6634521000001</v>
      </c>
      <c r="H789">
        <v>1372.7226562000001</v>
      </c>
      <c r="I789">
        <v>1285.8339844</v>
      </c>
      <c r="J789">
        <v>1266.4631348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404.65460200000001</v>
      </c>
      <c r="B790" s="1">
        <f>DATE(2011,6,9) + TIME(15,42,37)</f>
        <v>40703.654594907406</v>
      </c>
      <c r="C790">
        <v>80</v>
      </c>
      <c r="D790">
        <v>79.935096740999995</v>
      </c>
      <c r="E790">
        <v>50</v>
      </c>
      <c r="F790">
        <v>45.923637390000003</v>
      </c>
      <c r="G790">
        <v>1386.5910644999999</v>
      </c>
      <c r="H790">
        <v>1372.6555175999999</v>
      </c>
      <c r="I790">
        <v>1285.800293</v>
      </c>
      <c r="J790">
        <v>1266.4189452999999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405.459722</v>
      </c>
      <c r="B791" s="1">
        <f>DATE(2011,6,10) + TIME(11,1,59)</f>
        <v>40704.459710648145</v>
      </c>
      <c r="C791">
        <v>80</v>
      </c>
      <c r="D791">
        <v>79.935134887999993</v>
      </c>
      <c r="E791">
        <v>50</v>
      </c>
      <c r="F791">
        <v>45.857059479</v>
      </c>
      <c r="G791">
        <v>1386.5184326000001</v>
      </c>
      <c r="H791">
        <v>1372.5882568</v>
      </c>
      <c r="I791">
        <v>1285.7655029</v>
      </c>
      <c r="J791">
        <v>1266.3731689000001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406.27222899999998</v>
      </c>
      <c r="B792" s="1">
        <f>DATE(2011,6,11) + TIME(6,32,0)</f>
        <v>40705.272222222222</v>
      </c>
      <c r="C792">
        <v>80</v>
      </c>
      <c r="D792">
        <v>79.935173035000005</v>
      </c>
      <c r="E792">
        <v>50</v>
      </c>
      <c r="F792">
        <v>45.789787292</v>
      </c>
      <c r="G792">
        <v>1386.4456786999999</v>
      </c>
      <c r="H792">
        <v>1372.520874</v>
      </c>
      <c r="I792">
        <v>1285.7296143000001</v>
      </c>
      <c r="J792">
        <v>1266.3258057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407.08675799999997</v>
      </c>
      <c r="B793" s="1">
        <f>DATE(2011,6,12) + TIME(2,4,55)</f>
        <v>40706.086747685185</v>
      </c>
      <c r="C793">
        <v>80</v>
      </c>
      <c r="D793">
        <v>79.935203552000004</v>
      </c>
      <c r="E793">
        <v>50</v>
      </c>
      <c r="F793">
        <v>45.722179412999999</v>
      </c>
      <c r="G793">
        <v>1386.3734131000001</v>
      </c>
      <c r="H793">
        <v>1372.4538574000001</v>
      </c>
      <c r="I793">
        <v>1285.6929932</v>
      </c>
      <c r="J793">
        <v>1266.2773437999999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407.90531800000002</v>
      </c>
      <c r="B794" s="1">
        <f>DATE(2011,6,12) + TIME(21,43,39)</f>
        <v>40706.905312499999</v>
      </c>
      <c r="C794">
        <v>80</v>
      </c>
      <c r="D794">
        <v>79.935249329000001</v>
      </c>
      <c r="E794">
        <v>50</v>
      </c>
      <c r="F794">
        <v>45.654312134000001</v>
      </c>
      <c r="G794">
        <v>1386.3022461</v>
      </c>
      <c r="H794">
        <v>1372.3876952999999</v>
      </c>
      <c r="I794">
        <v>1285.6556396000001</v>
      </c>
      <c r="J794">
        <v>1266.2279053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408.72975500000001</v>
      </c>
      <c r="B795" s="1">
        <f>DATE(2011,6,13) + TIME(17,30,50)</f>
        <v>40707.729745370372</v>
      </c>
      <c r="C795">
        <v>80</v>
      </c>
      <c r="D795">
        <v>79.935287475999999</v>
      </c>
      <c r="E795">
        <v>50</v>
      </c>
      <c r="F795">
        <v>45.586143493999998</v>
      </c>
      <c r="G795">
        <v>1386.2316894999999</v>
      </c>
      <c r="H795">
        <v>1372.3222656</v>
      </c>
      <c r="I795">
        <v>1285.6176757999999</v>
      </c>
      <c r="J795">
        <v>1266.1774902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409.56209899999999</v>
      </c>
      <c r="B796" s="1">
        <f>DATE(2011,6,14) + TIME(13,29,25)</f>
        <v>40708.562094907407</v>
      </c>
      <c r="C796">
        <v>80</v>
      </c>
      <c r="D796">
        <v>79.935325622999997</v>
      </c>
      <c r="E796">
        <v>50</v>
      </c>
      <c r="F796">
        <v>45.517566680999998</v>
      </c>
      <c r="G796">
        <v>1386.1618652</v>
      </c>
      <c r="H796">
        <v>1372.2572021000001</v>
      </c>
      <c r="I796">
        <v>1285.5788574000001</v>
      </c>
      <c r="J796">
        <v>1266.1257324000001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410.40441199999998</v>
      </c>
      <c r="B797" s="1">
        <f>DATE(2011,6,15) + TIME(9,42,21)</f>
        <v>40709.404409722221</v>
      </c>
      <c r="C797">
        <v>80</v>
      </c>
      <c r="D797">
        <v>79.935363769999995</v>
      </c>
      <c r="E797">
        <v>50</v>
      </c>
      <c r="F797">
        <v>45.448440552000001</v>
      </c>
      <c r="G797">
        <v>1386.0922852000001</v>
      </c>
      <c r="H797">
        <v>1372.1925048999999</v>
      </c>
      <c r="I797">
        <v>1285.5391846</v>
      </c>
      <c r="J797">
        <v>1266.0726318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411.25883299999998</v>
      </c>
      <c r="B798" s="1">
        <f>DATE(2011,6,16) + TIME(6,12,43)</f>
        <v>40710.258831018517</v>
      </c>
      <c r="C798">
        <v>80</v>
      </c>
      <c r="D798">
        <v>79.935409546000002</v>
      </c>
      <c r="E798">
        <v>50</v>
      </c>
      <c r="F798">
        <v>45.378593445</v>
      </c>
      <c r="G798">
        <v>1386.0230713000001</v>
      </c>
      <c r="H798">
        <v>1372.1280518000001</v>
      </c>
      <c r="I798">
        <v>1285.4984131000001</v>
      </c>
      <c r="J798">
        <v>1266.0179443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412.12762400000003</v>
      </c>
      <c r="B799" s="1">
        <f>DATE(2011,6,17) + TIME(3,3,46)</f>
        <v>40711.127615740741</v>
      </c>
      <c r="C799">
        <v>80</v>
      </c>
      <c r="D799">
        <v>79.935455321999996</v>
      </c>
      <c r="E799">
        <v>50</v>
      </c>
      <c r="F799">
        <v>45.307846069</v>
      </c>
      <c r="G799">
        <v>1385.9538574000001</v>
      </c>
      <c r="H799">
        <v>1372.0634766000001</v>
      </c>
      <c r="I799">
        <v>1285.4564209</v>
      </c>
      <c r="J799">
        <v>1265.9615478999999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413.01318400000002</v>
      </c>
      <c r="B800" s="1">
        <f>DATE(2011,6,18) + TIME(0,18,59)</f>
        <v>40712.013182870367</v>
      </c>
      <c r="C800">
        <v>80</v>
      </c>
      <c r="D800">
        <v>79.935501099000007</v>
      </c>
      <c r="E800">
        <v>50</v>
      </c>
      <c r="F800">
        <v>45.236000060999999</v>
      </c>
      <c r="G800">
        <v>1385.8845214999999</v>
      </c>
      <c r="H800">
        <v>1371.9987793</v>
      </c>
      <c r="I800">
        <v>1285.4132079999999</v>
      </c>
      <c r="J800">
        <v>1265.9031981999999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413.91810500000003</v>
      </c>
      <c r="B801" s="1">
        <f>DATE(2011,6,18) + TIME(22,2,4)</f>
        <v>40712.91810185185</v>
      </c>
      <c r="C801">
        <v>80</v>
      </c>
      <c r="D801">
        <v>79.935546875</v>
      </c>
      <c r="E801">
        <v>50</v>
      </c>
      <c r="F801">
        <v>45.162845611999998</v>
      </c>
      <c r="G801">
        <v>1385.8149414</v>
      </c>
      <c r="H801">
        <v>1371.9338379000001</v>
      </c>
      <c r="I801">
        <v>1285.3684082</v>
      </c>
      <c r="J801">
        <v>1265.8426514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414.84521999999998</v>
      </c>
      <c r="B802" s="1">
        <f>DATE(2011,6,19) + TIME(20,17,7)</f>
        <v>40713.845219907409</v>
      </c>
      <c r="C802">
        <v>80</v>
      </c>
      <c r="D802">
        <v>79.935592650999993</v>
      </c>
      <c r="E802">
        <v>50</v>
      </c>
      <c r="F802">
        <v>45.088150024000001</v>
      </c>
      <c r="G802">
        <v>1385.7448730000001</v>
      </c>
      <c r="H802">
        <v>1371.8682861</v>
      </c>
      <c r="I802">
        <v>1285.3218993999999</v>
      </c>
      <c r="J802">
        <v>1265.7796631000001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415.320357</v>
      </c>
      <c r="B803" s="1">
        <f>DATE(2011,6,20) + TIME(7,41,18)</f>
        <v>40714.320347222223</v>
      </c>
      <c r="C803">
        <v>80</v>
      </c>
      <c r="D803">
        <v>79.935607910000002</v>
      </c>
      <c r="E803">
        <v>50</v>
      </c>
      <c r="F803">
        <v>45.036712645999998</v>
      </c>
      <c r="G803">
        <v>1385.6739502</v>
      </c>
      <c r="H803">
        <v>1371.8018798999999</v>
      </c>
      <c r="I803">
        <v>1285.2718506000001</v>
      </c>
      <c r="J803">
        <v>1265.71875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415.79549300000002</v>
      </c>
      <c r="B804" s="1">
        <f>DATE(2011,6,20) + TIME(19,5,30)</f>
        <v>40714.795486111114</v>
      </c>
      <c r="C804">
        <v>80</v>
      </c>
      <c r="D804">
        <v>79.935630798000005</v>
      </c>
      <c r="E804">
        <v>50</v>
      </c>
      <c r="F804">
        <v>44.989543914999999</v>
      </c>
      <c r="G804">
        <v>1385.6376952999999</v>
      </c>
      <c r="H804">
        <v>1371.7679443</v>
      </c>
      <c r="I804">
        <v>1285.2464600000001</v>
      </c>
      <c r="J804">
        <v>1265.6818848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416.27062899999999</v>
      </c>
      <c r="B805" s="1">
        <f>DATE(2011,6,21) + TIME(6,29,42)</f>
        <v>40715.270624999997</v>
      </c>
      <c r="C805">
        <v>80</v>
      </c>
      <c r="D805">
        <v>79.935661315999994</v>
      </c>
      <c r="E805">
        <v>50</v>
      </c>
      <c r="F805">
        <v>44.945156097000002</v>
      </c>
      <c r="G805">
        <v>1385.6020507999999</v>
      </c>
      <c r="H805">
        <v>1371.7346190999999</v>
      </c>
      <c r="I805">
        <v>1285.2210693</v>
      </c>
      <c r="J805">
        <v>1265.6457519999999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416.74576500000001</v>
      </c>
      <c r="B806" s="1">
        <f>DATE(2011,6,21) + TIME(17,53,54)</f>
        <v>40715.745763888888</v>
      </c>
      <c r="C806">
        <v>80</v>
      </c>
      <c r="D806">
        <v>79.935684203999998</v>
      </c>
      <c r="E806">
        <v>50</v>
      </c>
      <c r="F806">
        <v>44.902572632000002</v>
      </c>
      <c r="G806">
        <v>1385.5667725000001</v>
      </c>
      <c r="H806">
        <v>1371.7015381000001</v>
      </c>
      <c r="I806">
        <v>1285.1955565999999</v>
      </c>
      <c r="J806">
        <v>1265.6098632999999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417.69603699999999</v>
      </c>
      <c r="B807" s="1">
        <f>DATE(2011,6,22) + TIME(16,42,17)</f>
        <v>40716.696030092593</v>
      </c>
      <c r="C807">
        <v>80</v>
      </c>
      <c r="D807">
        <v>79.935745238999999</v>
      </c>
      <c r="E807">
        <v>50</v>
      </c>
      <c r="F807">
        <v>44.841041564999998</v>
      </c>
      <c r="G807">
        <v>1385.5322266000001</v>
      </c>
      <c r="H807">
        <v>1371.6690673999999</v>
      </c>
      <c r="I807">
        <v>1285.1710204999999</v>
      </c>
      <c r="J807">
        <v>1265.5698242000001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418.64767999999998</v>
      </c>
      <c r="B808" s="1">
        <f>DATE(2011,6,23) + TIME(15,32,39)</f>
        <v>40717.647673611114</v>
      </c>
      <c r="C808">
        <v>80</v>
      </c>
      <c r="D808">
        <v>79.935791015999996</v>
      </c>
      <c r="E808">
        <v>50</v>
      </c>
      <c r="F808">
        <v>44.770820618000002</v>
      </c>
      <c r="G808">
        <v>1385.4631348</v>
      </c>
      <c r="H808">
        <v>1371.6043701000001</v>
      </c>
      <c r="I808">
        <v>1285.1191406</v>
      </c>
      <c r="J808">
        <v>1265.5012207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419.60636199999999</v>
      </c>
      <c r="B809" s="1">
        <f>DATE(2011,6,24) + TIME(14,33,9)</f>
        <v>40718.606354166666</v>
      </c>
      <c r="C809">
        <v>80</v>
      </c>
      <c r="D809">
        <v>79.935844420999999</v>
      </c>
      <c r="E809">
        <v>50</v>
      </c>
      <c r="F809">
        <v>44.696071625000002</v>
      </c>
      <c r="G809">
        <v>1385.3947754000001</v>
      </c>
      <c r="H809">
        <v>1371.5401611</v>
      </c>
      <c r="I809">
        <v>1285.0661620999999</v>
      </c>
      <c r="J809">
        <v>1265.4294434000001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420.57435199999998</v>
      </c>
      <c r="B810" s="1">
        <f>DATE(2011,6,25) + TIME(13,47,3)</f>
        <v>40719.574340277781</v>
      </c>
      <c r="C810">
        <v>80</v>
      </c>
      <c r="D810">
        <v>79.935897827000005</v>
      </c>
      <c r="E810">
        <v>50</v>
      </c>
      <c r="F810">
        <v>44.618663787999999</v>
      </c>
      <c r="G810">
        <v>1385.3267822</v>
      </c>
      <c r="H810">
        <v>1371.4761963000001</v>
      </c>
      <c r="I810">
        <v>1285.0119629000001</v>
      </c>
      <c r="J810">
        <v>1265.3551024999999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421.55399799999998</v>
      </c>
      <c r="B811" s="1">
        <f>DATE(2011,6,26) + TIME(13,17,45)</f>
        <v>40720.553993055553</v>
      </c>
      <c r="C811">
        <v>80</v>
      </c>
      <c r="D811">
        <v>79.935951232999997</v>
      </c>
      <c r="E811">
        <v>50</v>
      </c>
      <c r="F811">
        <v>44.539402008000003</v>
      </c>
      <c r="G811">
        <v>1385.2591553</v>
      </c>
      <c r="H811">
        <v>1371.4125977000001</v>
      </c>
      <c r="I811">
        <v>1284.9561768000001</v>
      </c>
      <c r="J811">
        <v>1265.2781981999999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422.547776</v>
      </c>
      <c r="B812" s="1">
        <f>DATE(2011,6,27) + TIME(13,8,47)</f>
        <v>40721.547766203701</v>
      </c>
      <c r="C812">
        <v>80</v>
      </c>
      <c r="D812">
        <v>79.936012267999999</v>
      </c>
      <c r="E812">
        <v>50</v>
      </c>
      <c r="F812">
        <v>44.458553314</v>
      </c>
      <c r="G812">
        <v>1385.1916504000001</v>
      </c>
      <c r="H812">
        <v>1371.3491211</v>
      </c>
      <c r="I812">
        <v>1284.8989257999999</v>
      </c>
      <c r="J812">
        <v>1265.1988524999999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423.558267</v>
      </c>
      <c r="B813" s="1">
        <f>DATE(2011,6,28) + TIME(13,23,54)</f>
        <v>40722.558263888888</v>
      </c>
      <c r="C813">
        <v>80</v>
      </c>
      <c r="D813">
        <v>79.936065674000005</v>
      </c>
      <c r="E813">
        <v>50</v>
      </c>
      <c r="F813">
        <v>44.376121521000002</v>
      </c>
      <c r="G813">
        <v>1385.1241454999999</v>
      </c>
      <c r="H813">
        <v>1371.2855225000001</v>
      </c>
      <c r="I813">
        <v>1284.8398437999999</v>
      </c>
      <c r="J813">
        <v>1265.1165771000001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424.58824199999998</v>
      </c>
      <c r="B814" s="1">
        <f>DATE(2011,6,29) + TIME(14,7,4)</f>
        <v>40723.588240740741</v>
      </c>
      <c r="C814">
        <v>80</v>
      </c>
      <c r="D814">
        <v>79.936119079999997</v>
      </c>
      <c r="E814">
        <v>50</v>
      </c>
      <c r="F814">
        <v>44.291969299000002</v>
      </c>
      <c r="G814">
        <v>1385.0563964999999</v>
      </c>
      <c r="H814">
        <v>1371.2216797000001</v>
      </c>
      <c r="I814">
        <v>1284.7786865</v>
      </c>
      <c r="J814">
        <v>1265.03125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425.64070700000002</v>
      </c>
      <c r="B815" s="1">
        <f>DATE(2011,6,30) + TIME(15,22,37)</f>
        <v>40724.640706018516</v>
      </c>
      <c r="C815">
        <v>80</v>
      </c>
      <c r="D815">
        <v>79.936180114999999</v>
      </c>
      <c r="E815">
        <v>50</v>
      </c>
      <c r="F815">
        <v>44.205883026000002</v>
      </c>
      <c r="G815">
        <v>1384.9884033000001</v>
      </c>
      <c r="H815">
        <v>1371.1573486</v>
      </c>
      <c r="I815">
        <v>1284.7154541</v>
      </c>
      <c r="J815">
        <v>1264.9425048999999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426</v>
      </c>
      <c r="B816" s="1">
        <f>DATE(2011,7,1) + TIME(0,0,0)</f>
        <v>40725</v>
      </c>
      <c r="C816">
        <v>80</v>
      </c>
      <c r="D816">
        <v>79.936195373999993</v>
      </c>
      <c r="E816">
        <v>50</v>
      </c>
      <c r="F816">
        <v>44.159667968999997</v>
      </c>
      <c r="G816">
        <v>1384.9197998</v>
      </c>
      <c r="H816">
        <v>1371.0926514</v>
      </c>
      <c r="I816">
        <v>1284.6484375</v>
      </c>
      <c r="J816">
        <v>1264.8613281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427.07427200000001</v>
      </c>
      <c r="B817" s="1">
        <f>DATE(2011,7,2) + TIME(1,46,57)</f>
        <v>40726.074270833335</v>
      </c>
      <c r="C817">
        <v>80</v>
      </c>
      <c r="D817">
        <v>79.936264038000004</v>
      </c>
      <c r="E817">
        <v>50</v>
      </c>
      <c r="F817">
        <v>44.080162047999998</v>
      </c>
      <c r="G817">
        <v>1384.8963623</v>
      </c>
      <c r="H817">
        <v>1371.0703125</v>
      </c>
      <c r="I817">
        <v>1284.6260986</v>
      </c>
      <c r="J817">
        <v>1264.8144531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428.17238200000003</v>
      </c>
      <c r="B818" s="1">
        <f>DATE(2011,7,3) + TIME(4,8,13)</f>
        <v>40727.172372685185</v>
      </c>
      <c r="C818">
        <v>80</v>
      </c>
      <c r="D818">
        <v>79.936325073000006</v>
      </c>
      <c r="E818">
        <v>50</v>
      </c>
      <c r="F818">
        <v>43.993690491000002</v>
      </c>
      <c r="G818">
        <v>1384.8278809000001</v>
      </c>
      <c r="H818">
        <v>1371.0056152</v>
      </c>
      <c r="I818">
        <v>1284.5579834</v>
      </c>
      <c r="J818">
        <v>1264.7196045000001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429.27567599999998</v>
      </c>
      <c r="B819" s="1">
        <f>DATE(2011,7,4) + TIME(6,36,58)</f>
        <v>40728.275671296295</v>
      </c>
      <c r="C819">
        <v>80</v>
      </c>
      <c r="D819">
        <v>79.936386107999994</v>
      </c>
      <c r="E819">
        <v>50</v>
      </c>
      <c r="F819">
        <v>43.903347015000001</v>
      </c>
      <c r="G819">
        <v>1384.7586670000001</v>
      </c>
      <c r="H819">
        <v>1370.9400635</v>
      </c>
      <c r="I819">
        <v>1284.4866943</v>
      </c>
      <c r="J819">
        <v>1264.6195068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430.382025</v>
      </c>
      <c r="B820" s="1">
        <f>DATE(2011,7,5) + TIME(9,10,6)</f>
        <v>40729.382013888891</v>
      </c>
      <c r="C820">
        <v>80</v>
      </c>
      <c r="D820">
        <v>79.936454772999994</v>
      </c>
      <c r="E820">
        <v>50</v>
      </c>
      <c r="F820">
        <v>43.810836792000003</v>
      </c>
      <c r="G820">
        <v>1384.6899414</v>
      </c>
      <c r="H820">
        <v>1370.875</v>
      </c>
      <c r="I820">
        <v>1284.4138184000001</v>
      </c>
      <c r="J820">
        <v>1264.5162353999999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431.49485900000002</v>
      </c>
      <c r="B821" s="1">
        <f>DATE(2011,7,6) + TIME(11,52,35)</f>
        <v>40730.494849537034</v>
      </c>
      <c r="C821">
        <v>80</v>
      </c>
      <c r="D821">
        <v>79.936515807999996</v>
      </c>
      <c r="E821">
        <v>50</v>
      </c>
      <c r="F821">
        <v>43.716789245999998</v>
      </c>
      <c r="G821">
        <v>1384.6220702999999</v>
      </c>
      <c r="H821">
        <v>1370.8106689000001</v>
      </c>
      <c r="I821">
        <v>1284.3393555</v>
      </c>
      <c r="J821">
        <v>1264.4101562000001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432.61731200000003</v>
      </c>
      <c r="B822" s="1">
        <f>DATE(2011,7,7) + TIME(14,48,55)</f>
        <v>40731.617303240739</v>
      </c>
      <c r="C822">
        <v>80</v>
      </c>
      <c r="D822">
        <v>79.936584472999996</v>
      </c>
      <c r="E822">
        <v>50</v>
      </c>
      <c r="F822">
        <v>43.621318817000002</v>
      </c>
      <c r="G822">
        <v>1384.5546875</v>
      </c>
      <c r="H822">
        <v>1370.746582</v>
      </c>
      <c r="I822">
        <v>1284.2631836</v>
      </c>
      <c r="J822">
        <v>1264.3011475000001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433.75219900000002</v>
      </c>
      <c r="B823" s="1">
        <f>DATE(2011,7,8) + TIME(18,3,10)</f>
        <v>40732.752199074072</v>
      </c>
      <c r="C823">
        <v>80</v>
      </c>
      <c r="D823">
        <v>79.936653136999993</v>
      </c>
      <c r="E823">
        <v>50</v>
      </c>
      <c r="F823">
        <v>43.524311066000003</v>
      </c>
      <c r="G823">
        <v>1384.4876709</v>
      </c>
      <c r="H823">
        <v>1370.6828613</v>
      </c>
      <c r="I823">
        <v>1284.1851807</v>
      </c>
      <c r="J823">
        <v>1264.1889647999999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434.90244300000001</v>
      </c>
      <c r="B824" s="1">
        <f>DATE(2011,7,9) + TIME(21,39,31)</f>
        <v>40733.902442129627</v>
      </c>
      <c r="C824">
        <v>80</v>
      </c>
      <c r="D824">
        <v>79.936714171999995</v>
      </c>
      <c r="E824">
        <v>50</v>
      </c>
      <c r="F824">
        <v>43.425548552999999</v>
      </c>
      <c r="G824">
        <v>1384.4207764</v>
      </c>
      <c r="H824">
        <v>1370.6192627</v>
      </c>
      <c r="I824">
        <v>1284.1048584</v>
      </c>
      <c r="J824">
        <v>1264.0733643000001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436.06678299999999</v>
      </c>
      <c r="B825" s="1">
        <f>DATE(2011,7,11) + TIME(1,36,10)</f>
        <v>40735.066782407404</v>
      </c>
      <c r="C825">
        <v>80</v>
      </c>
      <c r="D825">
        <v>79.936782836999996</v>
      </c>
      <c r="E825">
        <v>50</v>
      </c>
      <c r="F825">
        <v>43.324920654000003</v>
      </c>
      <c r="G825">
        <v>1384.3537598</v>
      </c>
      <c r="H825">
        <v>1370.5555420000001</v>
      </c>
      <c r="I825">
        <v>1284.0222168</v>
      </c>
      <c r="J825">
        <v>1263.9538574000001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437.24791699999997</v>
      </c>
      <c r="B826" s="1">
        <f>DATE(2011,7,12) + TIME(5,57,0)</f>
        <v>40736.247916666667</v>
      </c>
      <c r="C826">
        <v>80</v>
      </c>
      <c r="D826">
        <v>79.936859131000006</v>
      </c>
      <c r="E826">
        <v>50</v>
      </c>
      <c r="F826">
        <v>43.222255707000002</v>
      </c>
      <c r="G826">
        <v>1384.2869873</v>
      </c>
      <c r="H826">
        <v>1370.4918213000001</v>
      </c>
      <c r="I826">
        <v>1283.9372559000001</v>
      </c>
      <c r="J826">
        <v>1263.8303223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438.44895100000002</v>
      </c>
      <c r="B827" s="1">
        <f>DATE(2011,7,13) + TIME(10,46,29)</f>
        <v>40737.448946759258</v>
      </c>
      <c r="C827">
        <v>80</v>
      </c>
      <c r="D827">
        <v>79.936927795000003</v>
      </c>
      <c r="E827">
        <v>50</v>
      </c>
      <c r="F827">
        <v>43.117298126000001</v>
      </c>
      <c r="G827">
        <v>1384.2199707</v>
      </c>
      <c r="H827">
        <v>1370.4278564000001</v>
      </c>
      <c r="I827">
        <v>1283.8496094</v>
      </c>
      <c r="J827">
        <v>1263.7027588000001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439.66621199999997</v>
      </c>
      <c r="B828" s="1">
        <f>DATE(2011,7,14) + TIME(15,59,20)</f>
        <v>40738.666203703702</v>
      </c>
      <c r="C828">
        <v>80</v>
      </c>
      <c r="D828">
        <v>79.936996460000003</v>
      </c>
      <c r="E828">
        <v>50</v>
      </c>
      <c r="F828">
        <v>43.009983063</v>
      </c>
      <c r="G828">
        <v>1384.152832</v>
      </c>
      <c r="H828">
        <v>1370.3636475000001</v>
      </c>
      <c r="I828">
        <v>1283.7591553</v>
      </c>
      <c r="J828">
        <v>1263.5704346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440.89626099999998</v>
      </c>
      <c r="B829" s="1">
        <f>DATE(2011,7,15) + TIME(21,30,36)</f>
        <v>40739.896249999998</v>
      </c>
      <c r="C829">
        <v>80</v>
      </c>
      <c r="D829">
        <v>79.937072753999999</v>
      </c>
      <c r="E829">
        <v>50</v>
      </c>
      <c r="F829">
        <v>42.900432586999997</v>
      </c>
      <c r="G829">
        <v>1384.0855713000001</v>
      </c>
      <c r="H829">
        <v>1370.2994385</v>
      </c>
      <c r="I829">
        <v>1283.6658935999999</v>
      </c>
      <c r="J829">
        <v>1263.4337158000001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442.14237500000002</v>
      </c>
      <c r="B830" s="1">
        <f>DATE(2011,7,17) + TIME(3,25,1)</f>
        <v>40741.142372685186</v>
      </c>
      <c r="C830">
        <v>80</v>
      </c>
      <c r="D830">
        <v>79.937149047999995</v>
      </c>
      <c r="E830">
        <v>50</v>
      </c>
      <c r="F830">
        <v>42.788581848</v>
      </c>
      <c r="G830">
        <v>1384.0184326000001</v>
      </c>
      <c r="H830">
        <v>1370.2352295000001</v>
      </c>
      <c r="I830">
        <v>1283.5701904</v>
      </c>
      <c r="J830">
        <v>1263.2928466999999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443.40662900000001</v>
      </c>
      <c r="B831" s="1">
        <f>DATE(2011,7,18) + TIME(9,45,32)</f>
        <v>40742.40662037037</v>
      </c>
      <c r="C831">
        <v>80</v>
      </c>
      <c r="D831">
        <v>79.937225342000005</v>
      </c>
      <c r="E831">
        <v>50</v>
      </c>
      <c r="F831">
        <v>42.674243926999999</v>
      </c>
      <c r="G831">
        <v>1383.9512939000001</v>
      </c>
      <c r="H831">
        <v>1370.1708983999999</v>
      </c>
      <c r="I831">
        <v>1283.4718018000001</v>
      </c>
      <c r="J831">
        <v>1263.1474608999999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444.67748699999999</v>
      </c>
      <c r="B832" s="1">
        <f>DATE(2011,7,19) + TIME(16,15,34)</f>
        <v>40743.677476851852</v>
      </c>
      <c r="C832">
        <v>80</v>
      </c>
      <c r="D832">
        <v>79.937301636000001</v>
      </c>
      <c r="E832">
        <v>50</v>
      </c>
      <c r="F832">
        <v>42.557697296000001</v>
      </c>
      <c r="G832">
        <v>1383.8841553</v>
      </c>
      <c r="H832">
        <v>1370.1065673999999</v>
      </c>
      <c r="I832">
        <v>1283.3704834</v>
      </c>
      <c r="J832">
        <v>1262.9971923999999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445.95842699999997</v>
      </c>
      <c r="B833" s="1">
        <f>DATE(2011,7,20) + TIME(23,0,8)</f>
        <v>40744.958425925928</v>
      </c>
      <c r="C833">
        <v>80</v>
      </c>
      <c r="D833">
        <v>79.937377929999997</v>
      </c>
      <c r="E833">
        <v>50</v>
      </c>
      <c r="F833">
        <v>42.439083099000001</v>
      </c>
      <c r="G833">
        <v>1383.8173827999999</v>
      </c>
      <c r="H833">
        <v>1370.0424805</v>
      </c>
      <c r="I833">
        <v>1283.2669678</v>
      </c>
      <c r="J833">
        <v>1262.8431396000001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447.25159400000001</v>
      </c>
      <c r="B834" s="1">
        <f>DATE(2011,7,22) + TIME(6,2,17)</f>
        <v>40746.251585648148</v>
      </c>
      <c r="C834">
        <v>80</v>
      </c>
      <c r="D834">
        <v>79.937454224000007</v>
      </c>
      <c r="E834">
        <v>50</v>
      </c>
      <c r="F834">
        <v>42.318294524999999</v>
      </c>
      <c r="G834">
        <v>1383.7509766000001</v>
      </c>
      <c r="H834">
        <v>1369.9786377</v>
      </c>
      <c r="I834">
        <v>1283.1611327999999</v>
      </c>
      <c r="J834">
        <v>1262.6850586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448.55559699999998</v>
      </c>
      <c r="B835" s="1">
        <f>DATE(2011,7,23) + TIME(13,20,3)</f>
        <v>40747.555590277778</v>
      </c>
      <c r="C835">
        <v>80</v>
      </c>
      <c r="D835">
        <v>79.937530518000003</v>
      </c>
      <c r="E835">
        <v>50</v>
      </c>
      <c r="F835">
        <v>42.195270538000003</v>
      </c>
      <c r="G835">
        <v>1383.6846923999999</v>
      </c>
      <c r="H835">
        <v>1369.9149170000001</v>
      </c>
      <c r="I835">
        <v>1283.0527344</v>
      </c>
      <c r="J835">
        <v>1262.5225829999999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449.87483099999997</v>
      </c>
      <c r="B836" s="1">
        <f>DATE(2011,7,24) + TIME(20,59,45)</f>
        <v>40748.874826388892</v>
      </c>
      <c r="C836">
        <v>80</v>
      </c>
      <c r="D836">
        <v>79.937614440999994</v>
      </c>
      <c r="E836">
        <v>50</v>
      </c>
      <c r="F836">
        <v>42.069812775000003</v>
      </c>
      <c r="G836">
        <v>1383.6186522999999</v>
      </c>
      <c r="H836">
        <v>1369.8514404</v>
      </c>
      <c r="I836">
        <v>1282.9418945</v>
      </c>
      <c r="J836">
        <v>1262.3557129000001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451.21164199999998</v>
      </c>
      <c r="B837" s="1">
        <f>DATE(2011,7,26) + TIME(5,4,45)</f>
        <v>40750.211631944447</v>
      </c>
      <c r="C837">
        <v>80</v>
      </c>
      <c r="D837">
        <v>79.937690735000004</v>
      </c>
      <c r="E837">
        <v>50</v>
      </c>
      <c r="F837">
        <v>41.941635132000002</v>
      </c>
      <c r="G837">
        <v>1383.5527344</v>
      </c>
      <c r="H837">
        <v>1369.7878418</v>
      </c>
      <c r="I837">
        <v>1282.8283690999999</v>
      </c>
      <c r="J837">
        <v>1262.184082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452.5575</v>
      </c>
      <c r="B838" s="1">
        <f>DATE(2011,7,27) + TIME(13,22,47)</f>
        <v>40751.557488425926</v>
      </c>
      <c r="C838">
        <v>80</v>
      </c>
      <c r="D838">
        <v>79.937774657999995</v>
      </c>
      <c r="E838">
        <v>50</v>
      </c>
      <c r="F838">
        <v>41.810871124000002</v>
      </c>
      <c r="G838">
        <v>1383.4866943</v>
      </c>
      <c r="H838">
        <v>1369.7241211</v>
      </c>
      <c r="I838">
        <v>1282.7116699000001</v>
      </c>
      <c r="J838">
        <v>1262.0073242000001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453.91721100000001</v>
      </c>
      <c r="B839" s="1">
        <f>DATE(2011,7,28) + TIME(22,0,47)</f>
        <v>40752.917210648149</v>
      </c>
      <c r="C839">
        <v>80</v>
      </c>
      <c r="D839">
        <v>79.937858582000004</v>
      </c>
      <c r="E839">
        <v>50</v>
      </c>
      <c r="F839">
        <v>41.677524566999999</v>
      </c>
      <c r="G839">
        <v>1383.4208983999999</v>
      </c>
      <c r="H839">
        <v>1369.6607666</v>
      </c>
      <c r="I839">
        <v>1282.5927733999999</v>
      </c>
      <c r="J839">
        <v>1261.8261719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455.29532899999998</v>
      </c>
      <c r="B840" s="1">
        <f>DATE(2011,7,30) + TIME(7,5,16)</f>
        <v>40754.295324074075</v>
      </c>
      <c r="C840">
        <v>80</v>
      </c>
      <c r="D840">
        <v>79.937942504999995</v>
      </c>
      <c r="E840">
        <v>50</v>
      </c>
      <c r="F840">
        <v>41.541305542000003</v>
      </c>
      <c r="G840">
        <v>1383.3552245999999</v>
      </c>
      <c r="H840">
        <v>1369.5972899999999</v>
      </c>
      <c r="I840">
        <v>1282.4710693</v>
      </c>
      <c r="J840">
        <v>1261.6402588000001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456.69557600000002</v>
      </c>
      <c r="B841" s="1">
        <f>DATE(2011,7,31) + TIME(16,41,37)</f>
        <v>40755.695567129631</v>
      </c>
      <c r="C841">
        <v>80</v>
      </c>
      <c r="D841">
        <v>79.938026428000001</v>
      </c>
      <c r="E841">
        <v>50</v>
      </c>
      <c r="F841">
        <v>41.401817321999999</v>
      </c>
      <c r="G841">
        <v>1383.2895507999999</v>
      </c>
      <c r="H841">
        <v>1369.5336914</v>
      </c>
      <c r="I841">
        <v>1282.3461914</v>
      </c>
      <c r="J841">
        <v>1261.4487305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457</v>
      </c>
      <c r="B842" s="1">
        <f>DATE(2011,8,1) + TIME(0,0,0)</f>
        <v>40756</v>
      </c>
      <c r="C842">
        <v>80</v>
      </c>
      <c r="D842">
        <v>79.938034058</v>
      </c>
      <c r="E842">
        <v>50</v>
      </c>
      <c r="F842">
        <v>41.342712401999997</v>
      </c>
      <c r="G842">
        <v>1383.2238769999999</v>
      </c>
      <c r="H842">
        <v>1369.4703368999999</v>
      </c>
      <c r="I842">
        <v>1282.2213135</v>
      </c>
      <c r="J842">
        <v>1261.2885742000001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458.42360400000001</v>
      </c>
      <c r="B843" s="1">
        <f>DATE(2011,8,2) + TIME(10,9,59)</f>
        <v>40757.42359953704</v>
      </c>
      <c r="C843">
        <v>80</v>
      </c>
      <c r="D843">
        <v>79.938133239999999</v>
      </c>
      <c r="E843">
        <v>50</v>
      </c>
      <c r="F843">
        <v>41.216491699000002</v>
      </c>
      <c r="G843">
        <v>1383.2088623</v>
      </c>
      <c r="H843">
        <v>1369.4555664</v>
      </c>
      <c r="I843">
        <v>1282.1870117000001</v>
      </c>
      <c r="J843">
        <v>1261.1992187999999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459.87099699999999</v>
      </c>
      <c r="B844" s="1">
        <f>DATE(2011,8,3) + TIME(20,54,14)</f>
        <v>40758.870995370373</v>
      </c>
      <c r="C844">
        <v>80</v>
      </c>
      <c r="D844">
        <v>79.938217163000004</v>
      </c>
      <c r="E844">
        <v>50</v>
      </c>
      <c r="F844">
        <v>41.075962066999999</v>
      </c>
      <c r="G844">
        <v>1383.1429443</v>
      </c>
      <c r="H844">
        <v>1369.3917236</v>
      </c>
      <c r="I844">
        <v>1282.0567627</v>
      </c>
      <c r="J844">
        <v>1261.0001221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461.32777800000002</v>
      </c>
      <c r="B845" s="1">
        <f>DATE(2011,8,5) + TIME(7,52,0)</f>
        <v>40760.327777777777</v>
      </c>
      <c r="C845">
        <v>80</v>
      </c>
      <c r="D845">
        <v>79.938308715999995</v>
      </c>
      <c r="E845">
        <v>50</v>
      </c>
      <c r="F845">
        <v>40.927963257000002</v>
      </c>
      <c r="G845">
        <v>1383.0764160000001</v>
      </c>
      <c r="H845">
        <v>1369.3271483999999</v>
      </c>
      <c r="I845">
        <v>1281.9216309000001</v>
      </c>
      <c r="J845">
        <v>1260.7915039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462.792055</v>
      </c>
      <c r="B846" s="1">
        <f>DATE(2011,8,6) + TIME(19,0,33)</f>
        <v>40761.792048611111</v>
      </c>
      <c r="C846">
        <v>80</v>
      </c>
      <c r="D846">
        <v>79.938392639</v>
      </c>
      <c r="E846">
        <v>50</v>
      </c>
      <c r="F846">
        <v>40.775634766000003</v>
      </c>
      <c r="G846">
        <v>1383.0101318</v>
      </c>
      <c r="H846">
        <v>1369.2628173999999</v>
      </c>
      <c r="I846">
        <v>1281.7838135</v>
      </c>
      <c r="J846">
        <v>1260.5769043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464.26101799999998</v>
      </c>
      <c r="B847" s="1">
        <f>DATE(2011,8,8) + TIME(6,15,51)</f>
        <v>40763.261006944442</v>
      </c>
      <c r="C847">
        <v>80</v>
      </c>
      <c r="D847">
        <v>79.938484192000004</v>
      </c>
      <c r="E847">
        <v>50</v>
      </c>
      <c r="F847">
        <v>40.620346069</v>
      </c>
      <c r="G847">
        <v>1382.9442139</v>
      </c>
      <c r="H847">
        <v>1369.1987305</v>
      </c>
      <c r="I847">
        <v>1281.6436768000001</v>
      </c>
      <c r="J847">
        <v>1260.3577881000001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465.73846099999997</v>
      </c>
      <c r="B848" s="1">
        <f>DATE(2011,8,9) + TIME(17,43,23)</f>
        <v>40764.73846064815</v>
      </c>
      <c r="C848">
        <v>80</v>
      </c>
      <c r="D848">
        <v>79.938575744999994</v>
      </c>
      <c r="E848">
        <v>50</v>
      </c>
      <c r="F848">
        <v>40.462570190000001</v>
      </c>
      <c r="G848">
        <v>1382.8787841999999</v>
      </c>
      <c r="H848">
        <v>1369.1351318</v>
      </c>
      <c r="I848">
        <v>1281.5018310999999</v>
      </c>
      <c r="J848">
        <v>1260.1347656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467.22819199999998</v>
      </c>
      <c r="B849" s="1">
        <f>DATE(2011,8,11) + TIME(5,28,35)</f>
        <v>40766.228182870371</v>
      </c>
      <c r="C849">
        <v>80</v>
      </c>
      <c r="D849">
        <v>79.938667296999995</v>
      </c>
      <c r="E849">
        <v>50</v>
      </c>
      <c r="F849">
        <v>40.302253723</v>
      </c>
      <c r="G849">
        <v>1382.8137207</v>
      </c>
      <c r="H849">
        <v>1369.0717772999999</v>
      </c>
      <c r="I849">
        <v>1281.3579102000001</v>
      </c>
      <c r="J849">
        <v>1259.9074707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468.73406299999999</v>
      </c>
      <c r="B850" s="1">
        <f>DATE(2011,8,12) + TIME(17,37,3)</f>
        <v>40767.7340625</v>
      </c>
      <c r="C850">
        <v>80</v>
      </c>
      <c r="D850">
        <v>79.938758849999999</v>
      </c>
      <c r="E850">
        <v>50</v>
      </c>
      <c r="F850">
        <v>40.139183043999999</v>
      </c>
      <c r="G850">
        <v>1382.7487793</v>
      </c>
      <c r="H850">
        <v>1369.0084228999999</v>
      </c>
      <c r="I850">
        <v>1281.2117920000001</v>
      </c>
      <c r="J850">
        <v>1259.6756591999999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470.262497</v>
      </c>
      <c r="B851" s="1">
        <f>DATE(2011,8,14) + TIME(6,17,59)</f>
        <v>40769.262488425928</v>
      </c>
      <c r="C851">
        <v>80</v>
      </c>
      <c r="D851">
        <v>79.938850403000004</v>
      </c>
      <c r="E851">
        <v>50</v>
      </c>
      <c r="F851">
        <v>39.972915649000001</v>
      </c>
      <c r="G851">
        <v>1382.6838379000001</v>
      </c>
      <c r="H851">
        <v>1368.9450684000001</v>
      </c>
      <c r="I851">
        <v>1281.0629882999999</v>
      </c>
      <c r="J851">
        <v>1259.4385986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471.81161400000002</v>
      </c>
      <c r="B852" s="1">
        <f>DATE(2011,8,15) + TIME(19,28,43)</f>
        <v>40770.811608796299</v>
      </c>
      <c r="C852">
        <v>80</v>
      </c>
      <c r="D852">
        <v>79.938941955999994</v>
      </c>
      <c r="E852">
        <v>50</v>
      </c>
      <c r="F852">
        <v>39.803211212000001</v>
      </c>
      <c r="G852">
        <v>1382.6185303</v>
      </c>
      <c r="H852">
        <v>1368.8813477000001</v>
      </c>
      <c r="I852">
        <v>1280.9111327999999</v>
      </c>
      <c r="J852">
        <v>1259.1956786999999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473.38061199999999</v>
      </c>
      <c r="B853" s="1">
        <f>DATE(2011,8,17) + TIME(9,8,4)</f>
        <v>40772.380601851852</v>
      </c>
      <c r="C853">
        <v>80</v>
      </c>
      <c r="D853">
        <v>79.939041137999993</v>
      </c>
      <c r="E853">
        <v>50</v>
      </c>
      <c r="F853">
        <v>39.630020141999999</v>
      </c>
      <c r="G853">
        <v>1382.5529785000001</v>
      </c>
      <c r="H853">
        <v>1368.8172606999999</v>
      </c>
      <c r="I853">
        <v>1280.7562256000001</v>
      </c>
      <c r="J853">
        <v>1258.9470214999999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474.94961000000001</v>
      </c>
      <c r="B854" s="1">
        <f>DATE(2011,8,18) + TIME(22,47,26)</f>
        <v>40773.949606481481</v>
      </c>
      <c r="C854">
        <v>80</v>
      </c>
      <c r="D854">
        <v>79.939132689999994</v>
      </c>
      <c r="E854">
        <v>50</v>
      </c>
      <c r="F854">
        <v>39.454189301</v>
      </c>
      <c r="G854">
        <v>1382.4873047000001</v>
      </c>
      <c r="H854">
        <v>1368.7529297000001</v>
      </c>
      <c r="I854">
        <v>1280.5987548999999</v>
      </c>
      <c r="J854">
        <v>1258.6932373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476.55324100000001</v>
      </c>
      <c r="B855" s="1">
        <f>DATE(2011,8,20) + TIME(13,16,39)</f>
        <v>40775.553229166668</v>
      </c>
      <c r="C855">
        <v>80</v>
      </c>
      <c r="D855">
        <v>79.939231872999997</v>
      </c>
      <c r="E855">
        <v>50</v>
      </c>
      <c r="F855">
        <v>39.275302887000002</v>
      </c>
      <c r="G855">
        <v>1382.4222411999999</v>
      </c>
      <c r="H855">
        <v>1368.6892089999999</v>
      </c>
      <c r="I855">
        <v>1280.4403076000001</v>
      </c>
      <c r="J855">
        <v>1258.4361572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478.16071399999998</v>
      </c>
      <c r="B856" s="1">
        <f>DATE(2011,8,22) + TIME(3,51,25)</f>
        <v>40777.16070601852</v>
      </c>
      <c r="C856">
        <v>80</v>
      </c>
      <c r="D856">
        <v>79.939331054999997</v>
      </c>
      <c r="E856">
        <v>50</v>
      </c>
      <c r="F856">
        <v>39.093395233000003</v>
      </c>
      <c r="G856">
        <v>1382.3563231999999</v>
      </c>
      <c r="H856">
        <v>1368.6246338000001</v>
      </c>
      <c r="I856">
        <v>1280.2781981999999</v>
      </c>
      <c r="J856">
        <v>1258.1726074000001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479.775913</v>
      </c>
      <c r="B857" s="1">
        <f>DATE(2011,8,23) + TIME(18,37,18)</f>
        <v>40778.775902777779</v>
      </c>
      <c r="C857">
        <v>80</v>
      </c>
      <c r="D857">
        <v>79.939422606999997</v>
      </c>
      <c r="E857">
        <v>50</v>
      </c>
      <c r="F857">
        <v>38.909389496000003</v>
      </c>
      <c r="G857">
        <v>1382.2907714999999</v>
      </c>
      <c r="H857">
        <v>1368.5604248</v>
      </c>
      <c r="I857">
        <v>1280.1151123</v>
      </c>
      <c r="J857">
        <v>1257.9060059000001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481.402962</v>
      </c>
      <c r="B858" s="1">
        <f>DATE(2011,8,25) + TIME(9,40,15)</f>
        <v>40780.402951388889</v>
      </c>
      <c r="C858">
        <v>80</v>
      </c>
      <c r="D858">
        <v>79.939521790000001</v>
      </c>
      <c r="E858">
        <v>50</v>
      </c>
      <c r="F858">
        <v>38.723423003999997</v>
      </c>
      <c r="G858">
        <v>1382.2255858999999</v>
      </c>
      <c r="H858">
        <v>1368.4963379000001</v>
      </c>
      <c r="I858">
        <v>1279.9510498</v>
      </c>
      <c r="J858">
        <v>1257.6363524999999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483.04491899999999</v>
      </c>
      <c r="B859" s="1">
        <f>DATE(2011,8,27) + TIME(1,4,40)</f>
        <v>40782.044907407406</v>
      </c>
      <c r="C859">
        <v>80</v>
      </c>
      <c r="D859">
        <v>79.939620972</v>
      </c>
      <c r="E859">
        <v>50</v>
      </c>
      <c r="F859">
        <v>38.535408019999998</v>
      </c>
      <c r="G859">
        <v>1382.1605225000001</v>
      </c>
      <c r="H859">
        <v>1368.4323730000001</v>
      </c>
      <c r="I859">
        <v>1279.7857666</v>
      </c>
      <c r="J859">
        <v>1257.3632812000001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484.699341</v>
      </c>
      <c r="B860" s="1">
        <f>DATE(2011,8,28) + TIME(16,47,3)</f>
        <v>40783.699340277781</v>
      </c>
      <c r="C860">
        <v>80</v>
      </c>
      <c r="D860">
        <v>79.939720154</v>
      </c>
      <c r="E860">
        <v>50</v>
      </c>
      <c r="F860">
        <v>38.345409392999997</v>
      </c>
      <c r="G860">
        <v>1382.0953368999999</v>
      </c>
      <c r="H860">
        <v>1368.3682861</v>
      </c>
      <c r="I860">
        <v>1279.6190185999999</v>
      </c>
      <c r="J860">
        <v>1257.0866699000001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486.37058000000002</v>
      </c>
      <c r="B861" s="1">
        <f>DATE(2011,8,30) + TIME(8,53,38)</f>
        <v>40785.370578703703</v>
      </c>
      <c r="C861">
        <v>80</v>
      </c>
      <c r="D861">
        <v>79.939819335999999</v>
      </c>
      <c r="E861">
        <v>50</v>
      </c>
      <c r="F861">
        <v>38.153484343999999</v>
      </c>
      <c r="G861">
        <v>1382.0302733999999</v>
      </c>
      <c r="H861">
        <v>1368.3041992000001</v>
      </c>
      <c r="I861">
        <v>1279.4514160000001</v>
      </c>
      <c r="J861">
        <v>1256.8070068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488</v>
      </c>
      <c r="B862" s="1">
        <f>DATE(2011,9,1) + TIME(0,0,0)</f>
        <v>40787</v>
      </c>
      <c r="C862">
        <v>80</v>
      </c>
      <c r="D862">
        <v>79.939918517999999</v>
      </c>
      <c r="E862">
        <v>50</v>
      </c>
      <c r="F862">
        <v>37.962017058999997</v>
      </c>
      <c r="G862">
        <v>1381.9649658000001</v>
      </c>
      <c r="H862">
        <v>1368.2398682</v>
      </c>
      <c r="I862">
        <v>1279.2827147999999</v>
      </c>
      <c r="J862">
        <v>1256.5252685999999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489.69246600000002</v>
      </c>
      <c r="B863" s="1">
        <f>DATE(2011,9,2) + TIME(16,37,9)</f>
        <v>40788.692465277774</v>
      </c>
      <c r="C863">
        <v>80</v>
      </c>
      <c r="D863">
        <v>79.940017699999999</v>
      </c>
      <c r="E863">
        <v>50</v>
      </c>
      <c r="F863">
        <v>37.769824982000003</v>
      </c>
      <c r="G863">
        <v>1381.9018555</v>
      </c>
      <c r="H863">
        <v>1368.1776123</v>
      </c>
      <c r="I863">
        <v>1279.1182861</v>
      </c>
      <c r="J863">
        <v>1256.2468262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491.41292800000002</v>
      </c>
      <c r="B864" s="1">
        <f>DATE(2011,9,4) + TIME(9,54,36)</f>
        <v>40790.412916666668</v>
      </c>
      <c r="C864">
        <v>80</v>
      </c>
      <c r="D864">
        <v>79.940124511999997</v>
      </c>
      <c r="E864">
        <v>50</v>
      </c>
      <c r="F864">
        <v>37.574424743999998</v>
      </c>
      <c r="G864">
        <v>1381.8367920000001</v>
      </c>
      <c r="H864">
        <v>1368.1134033000001</v>
      </c>
      <c r="I864">
        <v>1278.9492187999999</v>
      </c>
      <c r="J864">
        <v>1255.9604492000001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493.139565</v>
      </c>
      <c r="B865" s="1">
        <f>DATE(2011,9,6) + TIME(3,20,58)</f>
        <v>40792.139560185184</v>
      </c>
      <c r="C865">
        <v>80</v>
      </c>
      <c r="D865">
        <v>79.940223693999997</v>
      </c>
      <c r="E865">
        <v>50</v>
      </c>
      <c r="F865">
        <v>37.377250670999999</v>
      </c>
      <c r="G865">
        <v>1381.7711182</v>
      </c>
      <c r="H865">
        <v>1368.0484618999999</v>
      </c>
      <c r="I865">
        <v>1278.7785644999999</v>
      </c>
      <c r="J865">
        <v>1255.6701660000001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494.877161</v>
      </c>
      <c r="B866" s="1">
        <f>DATE(2011,9,7) + TIME(21,3,6)</f>
        <v>40793.877152777779</v>
      </c>
      <c r="C866">
        <v>80</v>
      </c>
      <c r="D866">
        <v>79.940322875999996</v>
      </c>
      <c r="E866">
        <v>50</v>
      </c>
      <c r="F866">
        <v>37.179679870999998</v>
      </c>
      <c r="G866">
        <v>1381.7056885</v>
      </c>
      <c r="H866">
        <v>1367.9837646000001</v>
      </c>
      <c r="I866">
        <v>1278.6085204999999</v>
      </c>
      <c r="J866">
        <v>1255.3790283000001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496.62709699999999</v>
      </c>
      <c r="B867" s="1">
        <f>DATE(2011,9,9) + TIME(15,3,1)</f>
        <v>40795.62709490741</v>
      </c>
      <c r="C867">
        <v>80</v>
      </c>
      <c r="D867">
        <v>79.940429687999995</v>
      </c>
      <c r="E867">
        <v>50</v>
      </c>
      <c r="F867">
        <v>36.982227324999997</v>
      </c>
      <c r="G867">
        <v>1381.6402588000001</v>
      </c>
      <c r="H867">
        <v>1367.9189452999999</v>
      </c>
      <c r="I867">
        <v>1278.4390868999999</v>
      </c>
      <c r="J867">
        <v>1255.0872803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498.388462</v>
      </c>
      <c r="B868" s="1">
        <f>DATE(2011,9,11) + TIME(9,19,23)</f>
        <v>40797.388460648152</v>
      </c>
      <c r="C868">
        <v>80</v>
      </c>
      <c r="D868">
        <v>79.940536499000004</v>
      </c>
      <c r="E868">
        <v>50</v>
      </c>
      <c r="F868">
        <v>36.785362243999998</v>
      </c>
      <c r="G868">
        <v>1381.5748291</v>
      </c>
      <c r="H868">
        <v>1367.854126</v>
      </c>
      <c r="I868">
        <v>1278.2705077999999</v>
      </c>
      <c r="J868">
        <v>1254.7952881000001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500.16586799999999</v>
      </c>
      <c r="B869" s="1">
        <f>DATE(2011,9,13) + TIME(3,58,50)</f>
        <v>40799.165856481479</v>
      </c>
      <c r="C869">
        <v>80</v>
      </c>
      <c r="D869">
        <v>79.940635681000003</v>
      </c>
      <c r="E869">
        <v>50</v>
      </c>
      <c r="F869">
        <v>36.589458466000004</v>
      </c>
      <c r="G869">
        <v>1381.5093993999999</v>
      </c>
      <c r="H869">
        <v>1367.7891846</v>
      </c>
      <c r="I869">
        <v>1278.1032714999999</v>
      </c>
      <c r="J869">
        <v>1254.5036620999999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501.96407199999999</v>
      </c>
      <c r="B870" s="1">
        <f>DATE(2011,9,14) + TIME(23,8,15)</f>
        <v>40800.964062500003</v>
      </c>
      <c r="C870">
        <v>80</v>
      </c>
      <c r="D870">
        <v>79.940742493000002</v>
      </c>
      <c r="E870">
        <v>50</v>
      </c>
      <c r="F870">
        <v>36.394691467000001</v>
      </c>
      <c r="G870">
        <v>1381.4437256000001</v>
      </c>
      <c r="H870">
        <v>1367.723999</v>
      </c>
      <c r="I870">
        <v>1277.9370117000001</v>
      </c>
      <c r="J870">
        <v>1254.2122803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502.87601899999999</v>
      </c>
      <c r="B871" s="1">
        <f>DATE(2011,9,15) + TIME(21,1,28)</f>
        <v>40801.876018518517</v>
      </c>
      <c r="C871">
        <v>80</v>
      </c>
      <c r="D871">
        <v>79.940795898000005</v>
      </c>
      <c r="E871">
        <v>50</v>
      </c>
      <c r="F871">
        <v>36.248554230000003</v>
      </c>
      <c r="G871">
        <v>1381.3774414</v>
      </c>
      <c r="H871">
        <v>1367.6582031</v>
      </c>
      <c r="I871">
        <v>1277.7755127</v>
      </c>
      <c r="J871">
        <v>1253.9495850000001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503.78796599999998</v>
      </c>
      <c r="B872" s="1">
        <f>DATE(2011,9,16) + TIME(18,54,40)</f>
        <v>40802.787962962961</v>
      </c>
      <c r="C872">
        <v>80</v>
      </c>
      <c r="D872">
        <v>79.940849303999997</v>
      </c>
      <c r="E872">
        <v>50</v>
      </c>
      <c r="F872">
        <v>36.128566741999997</v>
      </c>
      <c r="G872">
        <v>1381.3436279</v>
      </c>
      <c r="H872">
        <v>1367.6245117000001</v>
      </c>
      <c r="I872">
        <v>1277.6878661999999</v>
      </c>
      <c r="J872">
        <v>1253.7838135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504.69991299999998</v>
      </c>
      <c r="B873" s="1">
        <f>DATE(2011,9,17) + TIME(16,47,52)</f>
        <v>40803.699907407405</v>
      </c>
      <c r="C873">
        <v>80</v>
      </c>
      <c r="D873">
        <v>79.940902710000003</v>
      </c>
      <c r="E873">
        <v>50</v>
      </c>
      <c r="F873">
        <v>36.022018433</v>
      </c>
      <c r="G873">
        <v>1381.3104248</v>
      </c>
      <c r="H873">
        <v>1367.5913086</v>
      </c>
      <c r="I873">
        <v>1277.6043701000001</v>
      </c>
      <c r="J873">
        <v>1253.6300048999999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505.61185999999998</v>
      </c>
      <c r="B874" s="1">
        <f>DATE(2011,9,18) + TIME(14,41,4)</f>
        <v>40804.611851851849</v>
      </c>
      <c r="C874">
        <v>80</v>
      </c>
      <c r="D874">
        <v>79.940956115999995</v>
      </c>
      <c r="E874">
        <v>50</v>
      </c>
      <c r="F874">
        <v>35.922756194999998</v>
      </c>
      <c r="G874">
        <v>1381.2772216999999</v>
      </c>
      <c r="H874">
        <v>1367.5582274999999</v>
      </c>
      <c r="I874">
        <v>1277.5230713000001</v>
      </c>
      <c r="J874">
        <v>1253.4824219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506.52380699999998</v>
      </c>
      <c r="B875" s="1">
        <f>DATE(2011,9,19) + TIME(12,34,16)</f>
        <v>40805.523796296293</v>
      </c>
      <c r="C875">
        <v>80</v>
      </c>
      <c r="D875">
        <v>79.941009520999998</v>
      </c>
      <c r="E875">
        <v>50</v>
      </c>
      <c r="F875">
        <v>35.827816009999999</v>
      </c>
      <c r="G875">
        <v>1381.2441406</v>
      </c>
      <c r="H875">
        <v>1367.5251464999999</v>
      </c>
      <c r="I875">
        <v>1277.4434814000001</v>
      </c>
      <c r="J875">
        <v>1253.3387451000001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507.43575399999997</v>
      </c>
      <c r="B876" s="1">
        <f>DATE(2011,9,20) + TIME(10,27,29)</f>
        <v>40806.435752314814</v>
      </c>
      <c r="C876">
        <v>80</v>
      </c>
      <c r="D876">
        <v>79.941062927000004</v>
      </c>
      <c r="E876">
        <v>50</v>
      </c>
      <c r="F876">
        <v>35.735797882</v>
      </c>
      <c r="G876">
        <v>1381.2110596</v>
      </c>
      <c r="H876">
        <v>1367.4923096</v>
      </c>
      <c r="I876">
        <v>1277.3652344</v>
      </c>
      <c r="J876">
        <v>1253.1976318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508.34770099999997</v>
      </c>
      <c r="B877" s="1">
        <f>DATE(2011,9,21) + TIME(8,20,41)</f>
        <v>40807.347696759258</v>
      </c>
      <c r="C877">
        <v>80</v>
      </c>
      <c r="D877">
        <v>79.941116332999997</v>
      </c>
      <c r="E877">
        <v>50</v>
      </c>
      <c r="F877">
        <v>35.646072388</v>
      </c>
      <c r="G877">
        <v>1381.1781006000001</v>
      </c>
      <c r="H877">
        <v>1367.4593506000001</v>
      </c>
      <c r="I877">
        <v>1277.2883300999999</v>
      </c>
      <c r="J877">
        <v>1253.0587158000001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509.25964800000003</v>
      </c>
      <c r="B878" s="1">
        <f>DATE(2011,9,22) + TIME(6,13,53)</f>
        <v>40808.259641203702</v>
      </c>
      <c r="C878">
        <v>80</v>
      </c>
      <c r="D878">
        <v>79.941169739000003</v>
      </c>
      <c r="E878">
        <v>50</v>
      </c>
      <c r="F878">
        <v>35.558368682999998</v>
      </c>
      <c r="G878">
        <v>1381.1452637</v>
      </c>
      <c r="H878">
        <v>1367.4265137</v>
      </c>
      <c r="I878">
        <v>1277.2125243999999</v>
      </c>
      <c r="J878">
        <v>1252.9216309000001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510.17159500000002</v>
      </c>
      <c r="B879" s="1">
        <f>DATE(2011,9,23) + TIME(4,7,5)</f>
        <v>40809.171585648146</v>
      </c>
      <c r="C879">
        <v>80</v>
      </c>
      <c r="D879">
        <v>79.941223144999995</v>
      </c>
      <c r="E879">
        <v>50</v>
      </c>
      <c r="F879">
        <v>35.472610474</v>
      </c>
      <c r="G879">
        <v>1381.1124268000001</v>
      </c>
      <c r="H879">
        <v>1367.3937988</v>
      </c>
      <c r="I879">
        <v>1277.1379394999999</v>
      </c>
      <c r="J879">
        <v>1252.786499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511.08354200000002</v>
      </c>
      <c r="B880" s="1">
        <f>DATE(2011,9,24) + TIME(2,0,17)</f>
        <v>40810.08353009259</v>
      </c>
      <c r="C880">
        <v>80</v>
      </c>
      <c r="D880">
        <v>79.941276549999998</v>
      </c>
      <c r="E880">
        <v>50</v>
      </c>
      <c r="F880">
        <v>35.388801575000002</v>
      </c>
      <c r="G880">
        <v>1381.0797118999999</v>
      </c>
      <c r="H880">
        <v>1367.3610839999999</v>
      </c>
      <c r="I880">
        <v>1277.0645752</v>
      </c>
      <c r="J880">
        <v>1252.6530762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512.90743599999996</v>
      </c>
      <c r="B881" s="1">
        <f>DATE(2011,9,25) + TIME(21,46,42)</f>
        <v>40811.907430555555</v>
      </c>
      <c r="C881">
        <v>80</v>
      </c>
      <c r="D881">
        <v>79.941383361999996</v>
      </c>
      <c r="E881">
        <v>50</v>
      </c>
      <c r="F881">
        <v>35.280593871999997</v>
      </c>
      <c r="G881">
        <v>1381.0473632999999</v>
      </c>
      <c r="H881">
        <v>1367.3287353999999</v>
      </c>
      <c r="I881">
        <v>1276.989624</v>
      </c>
      <c r="J881">
        <v>1252.5039062000001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514.73659399999997</v>
      </c>
      <c r="B882" s="1">
        <f>DATE(2011,9,27) + TIME(17,40,41)</f>
        <v>40813.736585648148</v>
      </c>
      <c r="C882">
        <v>80</v>
      </c>
      <c r="D882">
        <v>79.941490173000005</v>
      </c>
      <c r="E882">
        <v>50</v>
      </c>
      <c r="F882">
        <v>35.140445708999998</v>
      </c>
      <c r="G882">
        <v>1380.9826660000001</v>
      </c>
      <c r="H882">
        <v>1367.2641602000001</v>
      </c>
      <c r="I882">
        <v>1276.8538818</v>
      </c>
      <c r="J882">
        <v>1252.2637939000001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516.60049200000003</v>
      </c>
      <c r="B883" s="1">
        <f>DATE(2011,9,29) + TIME(14,24,42)</f>
        <v>40815.600486111114</v>
      </c>
      <c r="C883">
        <v>80</v>
      </c>
      <c r="D883">
        <v>79.941596985000004</v>
      </c>
      <c r="E883">
        <v>50</v>
      </c>
      <c r="F883">
        <v>34.995128631999997</v>
      </c>
      <c r="G883">
        <v>1380.9177245999999</v>
      </c>
      <c r="H883">
        <v>1367.1992187999999</v>
      </c>
      <c r="I883">
        <v>1276.7185059000001</v>
      </c>
      <c r="J883">
        <v>1252.0175781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518</v>
      </c>
      <c r="B884" s="1">
        <f>DATE(2011,10,1) + TIME(0,0,0)</f>
        <v>40817</v>
      </c>
      <c r="C884">
        <v>80</v>
      </c>
      <c r="D884">
        <v>79.941673279</v>
      </c>
      <c r="E884">
        <v>50</v>
      </c>
      <c r="F884">
        <v>34.867420197000001</v>
      </c>
      <c r="G884">
        <v>1380.8518065999999</v>
      </c>
      <c r="H884">
        <v>1367.1331786999999</v>
      </c>
      <c r="I884">
        <v>1276.5869141000001</v>
      </c>
      <c r="J884">
        <v>1251.7825928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519.90831700000001</v>
      </c>
      <c r="B885" s="1">
        <f>DATE(2011,10,2) + TIME(21,47,58)</f>
        <v>40818.908310185187</v>
      </c>
      <c r="C885">
        <v>80</v>
      </c>
      <c r="D885">
        <v>79.941787719999994</v>
      </c>
      <c r="E885">
        <v>50</v>
      </c>
      <c r="F885">
        <v>34.746818542</v>
      </c>
      <c r="G885">
        <v>1380.8024902</v>
      </c>
      <c r="H885">
        <v>1367.0837402</v>
      </c>
      <c r="I885">
        <v>1276.4859618999999</v>
      </c>
      <c r="J885">
        <v>1251.5863036999999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520.88849600000003</v>
      </c>
      <c r="B886" s="1">
        <f>DATE(2011,10,3) + TIME(21,19,26)</f>
        <v>40819.888495370367</v>
      </c>
      <c r="C886">
        <v>80</v>
      </c>
      <c r="D886">
        <v>79.941841124999996</v>
      </c>
      <c r="E886">
        <v>50</v>
      </c>
      <c r="F886">
        <v>34.652843474999997</v>
      </c>
      <c r="G886">
        <v>1380.7355957</v>
      </c>
      <c r="H886">
        <v>1367.0167236</v>
      </c>
      <c r="I886">
        <v>1276.3665771000001</v>
      </c>
      <c r="J886">
        <v>1251.3803711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521.86867500000005</v>
      </c>
      <c r="B887" s="1">
        <f>DATE(2011,10,4) + TIME(20,50,53)</f>
        <v>40820.868668981479</v>
      </c>
      <c r="C887">
        <v>80</v>
      </c>
      <c r="D887">
        <v>79.941894531000003</v>
      </c>
      <c r="E887">
        <v>50</v>
      </c>
      <c r="F887">
        <v>34.578968048</v>
      </c>
      <c r="G887">
        <v>1380.7009277</v>
      </c>
      <c r="H887">
        <v>1366.9818115</v>
      </c>
      <c r="I887">
        <v>1276.3000488</v>
      </c>
      <c r="J887">
        <v>1251.2503661999999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522.84885299999996</v>
      </c>
      <c r="B888" s="1">
        <f>DATE(2011,10,5) + TIME(20,22,20)</f>
        <v>40821.84884259259</v>
      </c>
      <c r="C888">
        <v>80</v>
      </c>
      <c r="D888">
        <v>79.941955566000004</v>
      </c>
      <c r="E888">
        <v>50</v>
      </c>
      <c r="F888">
        <v>34.516395568999997</v>
      </c>
      <c r="G888">
        <v>1380.666626</v>
      </c>
      <c r="H888">
        <v>1366.9473877</v>
      </c>
      <c r="I888">
        <v>1276.2381591999999</v>
      </c>
      <c r="J888">
        <v>1251.1319579999999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523.82903199999998</v>
      </c>
      <c r="B889" s="1">
        <f>DATE(2011,10,6) + TIME(19,53,48)</f>
        <v>40822.829027777778</v>
      </c>
      <c r="C889">
        <v>80</v>
      </c>
      <c r="D889">
        <v>79.942008971999996</v>
      </c>
      <c r="E889">
        <v>50</v>
      </c>
      <c r="F889">
        <v>34.461078643999997</v>
      </c>
      <c r="G889">
        <v>1380.6325684000001</v>
      </c>
      <c r="H889">
        <v>1366.9129639</v>
      </c>
      <c r="I889">
        <v>1276.1791992000001</v>
      </c>
      <c r="J889">
        <v>1251.0206298999999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524.809211</v>
      </c>
      <c r="B890" s="1">
        <f>DATE(2011,10,7) + TIME(19,25,15)</f>
        <v>40823.809201388889</v>
      </c>
      <c r="C890">
        <v>80</v>
      </c>
      <c r="D890">
        <v>79.942070006999998</v>
      </c>
      <c r="E890">
        <v>50</v>
      </c>
      <c r="F890">
        <v>34.411170959000003</v>
      </c>
      <c r="G890">
        <v>1380.5985106999999</v>
      </c>
      <c r="H890">
        <v>1366.8787841999999</v>
      </c>
      <c r="I890">
        <v>1276.1226807</v>
      </c>
      <c r="J890">
        <v>1250.9144286999999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525.78939000000003</v>
      </c>
      <c r="B891" s="1">
        <f>DATE(2011,10,8) + TIME(18,56,43)</f>
        <v>40824.789386574077</v>
      </c>
      <c r="C891">
        <v>80</v>
      </c>
      <c r="D891">
        <v>79.942123413000004</v>
      </c>
      <c r="E891">
        <v>50</v>
      </c>
      <c r="F891">
        <v>34.365859985</v>
      </c>
      <c r="G891">
        <v>1380.5644531</v>
      </c>
      <c r="H891">
        <v>1366.8444824000001</v>
      </c>
      <c r="I891">
        <v>1276.0682373</v>
      </c>
      <c r="J891">
        <v>1250.8125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526.76956900000005</v>
      </c>
      <c r="B892" s="1">
        <f>DATE(2011,10,9) + TIME(18,28,10)</f>
        <v>40825.769560185188</v>
      </c>
      <c r="C892">
        <v>80</v>
      </c>
      <c r="D892">
        <v>79.942176818999997</v>
      </c>
      <c r="E892">
        <v>50</v>
      </c>
      <c r="F892">
        <v>34.324806213000002</v>
      </c>
      <c r="G892">
        <v>1380.5306396000001</v>
      </c>
      <c r="H892">
        <v>1366.8104248</v>
      </c>
      <c r="I892">
        <v>1276.0158690999999</v>
      </c>
      <c r="J892">
        <v>1250.7145995999999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527.74974799999995</v>
      </c>
      <c r="B893" s="1">
        <f>DATE(2011,10,10) + TIME(17,59,38)</f>
        <v>40826.749745370369</v>
      </c>
      <c r="C893">
        <v>80</v>
      </c>
      <c r="D893">
        <v>79.942237853999998</v>
      </c>
      <c r="E893">
        <v>50</v>
      </c>
      <c r="F893">
        <v>34.287891387999998</v>
      </c>
      <c r="G893">
        <v>1380.4968262</v>
      </c>
      <c r="H893">
        <v>1366.7763672000001</v>
      </c>
      <c r="I893">
        <v>1275.965332</v>
      </c>
      <c r="J893">
        <v>1250.6202393000001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528.72992599999998</v>
      </c>
      <c r="B894" s="1">
        <f>DATE(2011,10,11) + TIME(17,31,5)</f>
        <v>40827.72991898148</v>
      </c>
      <c r="C894">
        <v>80</v>
      </c>
      <c r="D894">
        <v>79.942291260000005</v>
      </c>
      <c r="E894">
        <v>50</v>
      </c>
      <c r="F894">
        <v>34.255092621000003</v>
      </c>
      <c r="G894">
        <v>1380.4630127</v>
      </c>
      <c r="H894">
        <v>1366.7424315999999</v>
      </c>
      <c r="I894">
        <v>1275.9167480000001</v>
      </c>
      <c r="J894">
        <v>1250.5297852000001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529.710105</v>
      </c>
      <c r="B895" s="1">
        <f>DATE(2011,10,12) + TIME(17,2,33)</f>
        <v>40828.710104166668</v>
      </c>
      <c r="C895">
        <v>80</v>
      </c>
      <c r="D895">
        <v>79.942344665999997</v>
      </c>
      <c r="E895">
        <v>50</v>
      </c>
      <c r="F895">
        <v>34.226428986000002</v>
      </c>
      <c r="G895">
        <v>1380.4294434000001</v>
      </c>
      <c r="H895">
        <v>1366.7084961</v>
      </c>
      <c r="I895">
        <v>1275.8701172000001</v>
      </c>
      <c r="J895">
        <v>1250.4428711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530.69028400000002</v>
      </c>
      <c r="B896" s="1">
        <f>DATE(2011,10,13) + TIME(16,34,0)</f>
        <v>40829.69027777778</v>
      </c>
      <c r="C896">
        <v>80</v>
      </c>
      <c r="D896">
        <v>79.942398071</v>
      </c>
      <c r="E896">
        <v>50</v>
      </c>
      <c r="F896">
        <v>34.201927185000002</v>
      </c>
      <c r="G896">
        <v>1380.395874</v>
      </c>
      <c r="H896">
        <v>1366.6746826000001</v>
      </c>
      <c r="I896">
        <v>1275.8253173999999</v>
      </c>
      <c r="J896">
        <v>1250.3597411999999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531.67046300000004</v>
      </c>
      <c r="B897" s="1">
        <f>DATE(2011,10,14) + TIME(16,5,27)</f>
        <v>40830.670451388891</v>
      </c>
      <c r="C897">
        <v>80</v>
      </c>
      <c r="D897">
        <v>79.942459106000001</v>
      </c>
      <c r="E897">
        <v>50</v>
      </c>
      <c r="F897">
        <v>34.181625365999999</v>
      </c>
      <c r="G897">
        <v>1380.3623047000001</v>
      </c>
      <c r="H897">
        <v>1366.6408690999999</v>
      </c>
      <c r="I897">
        <v>1275.7823486</v>
      </c>
      <c r="J897">
        <v>1250.2802733999999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533.63081999999997</v>
      </c>
      <c r="B898" s="1">
        <f>DATE(2011,10,16) + TIME(15,8,22)</f>
        <v>40832.630810185183</v>
      </c>
      <c r="C898">
        <v>80</v>
      </c>
      <c r="D898">
        <v>79.942565918</v>
      </c>
      <c r="E898">
        <v>50</v>
      </c>
      <c r="F898">
        <v>34.160644531000003</v>
      </c>
      <c r="G898">
        <v>1380.3292236</v>
      </c>
      <c r="H898">
        <v>1366.6074219</v>
      </c>
      <c r="I898">
        <v>1275.7363281</v>
      </c>
      <c r="J898">
        <v>1250.1936035000001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535.59520899999995</v>
      </c>
      <c r="B899" s="1">
        <f>DATE(2011,10,18) + TIME(14,17,6)</f>
        <v>40834.595208333332</v>
      </c>
      <c r="C899">
        <v>80</v>
      </c>
      <c r="D899">
        <v>79.942680358999993</v>
      </c>
      <c r="E899">
        <v>50</v>
      </c>
      <c r="F899">
        <v>34.143257140999999</v>
      </c>
      <c r="G899">
        <v>1380.2629394999999</v>
      </c>
      <c r="H899">
        <v>1366.5407714999999</v>
      </c>
      <c r="I899">
        <v>1275.6633300999999</v>
      </c>
      <c r="J899">
        <v>1250.0616454999999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537.55959800000005</v>
      </c>
      <c r="B900" s="1">
        <f>DATE(2011,10,20) + TIME(13,25,49)</f>
        <v>40836.559594907405</v>
      </c>
      <c r="C900">
        <v>80</v>
      </c>
      <c r="D900">
        <v>79.942787170000003</v>
      </c>
      <c r="E900">
        <v>50</v>
      </c>
      <c r="F900">
        <v>34.139015198000003</v>
      </c>
      <c r="G900">
        <v>1380.1967772999999</v>
      </c>
      <c r="H900">
        <v>1366.473999</v>
      </c>
      <c r="I900">
        <v>1275.5935059000001</v>
      </c>
      <c r="J900">
        <v>1249.9360352000001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539.62535300000002</v>
      </c>
      <c r="B901" s="1">
        <f>DATE(2011,10,22) + TIME(15,0,30)</f>
        <v>40838.625347222223</v>
      </c>
      <c r="C901">
        <v>80</v>
      </c>
      <c r="D901">
        <v>79.942901610999996</v>
      </c>
      <c r="E901">
        <v>50</v>
      </c>
      <c r="F901">
        <v>34.150863647000001</v>
      </c>
      <c r="G901">
        <v>1380.1309814000001</v>
      </c>
      <c r="H901">
        <v>1366.4075928</v>
      </c>
      <c r="I901">
        <v>1275.5292969</v>
      </c>
      <c r="J901">
        <v>1249.8221435999999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541.74082699999997</v>
      </c>
      <c r="B902" s="1">
        <f>DATE(2011,10,24) + TIME(17,46,47)</f>
        <v>40840.74082175926</v>
      </c>
      <c r="C902">
        <v>80</v>
      </c>
      <c r="D902">
        <v>79.943016052000004</v>
      </c>
      <c r="E902">
        <v>50</v>
      </c>
      <c r="F902">
        <v>34.180885314999998</v>
      </c>
      <c r="G902">
        <v>1380.0622559000001</v>
      </c>
      <c r="H902">
        <v>1366.3382568</v>
      </c>
      <c r="I902">
        <v>1275.4696045000001</v>
      </c>
      <c r="J902">
        <v>1249.7188721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543.85630200000003</v>
      </c>
      <c r="B903" s="1">
        <f>DATE(2011,10,26) + TIME(20,33,4)</f>
        <v>40842.856296296297</v>
      </c>
      <c r="C903">
        <v>80</v>
      </c>
      <c r="D903">
        <v>79.943130492999998</v>
      </c>
      <c r="E903">
        <v>50</v>
      </c>
      <c r="F903">
        <v>34.229835510000001</v>
      </c>
      <c r="G903">
        <v>1379.9924315999999</v>
      </c>
      <c r="H903">
        <v>1366.2678223</v>
      </c>
      <c r="I903">
        <v>1275.4165039</v>
      </c>
      <c r="J903">
        <v>1249.6297606999999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545.97177599999998</v>
      </c>
      <c r="B904" s="1">
        <f>DATE(2011,10,28) + TIME(23,19,21)</f>
        <v>40844.971770833334</v>
      </c>
      <c r="C904">
        <v>80</v>
      </c>
      <c r="D904">
        <v>79.943244934000006</v>
      </c>
      <c r="E904">
        <v>50</v>
      </c>
      <c r="F904">
        <v>34.297065734999997</v>
      </c>
      <c r="G904">
        <v>1379.9232178</v>
      </c>
      <c r="H904">
        <v>1366.197876</v>
      </c>
      <c r="I904">
        <v>1275.3708495999999</v>
      </c>
      <c r="J904">
        <v>1249.5567627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548.08725000000004</v>
      </c>
      <c r="B905" s="1">
        <f>DATE(2011,10,31) + TIME(2,5,38)</f>
        <v>40847.087245370371</v>
      </c>
      <c r="C905">
        <v>80</v>
      </c>
      <c r="D905">
        <v>79.943359375</v>
      </c>
      <c r="E905">
        <v>50</v>
      </c>
      <c r="F905">
        <v>34.381656647</v>
      </c>
      <c r="G905">
        <v>1379.8544922000001</v>
      </c>
      <c r="H905">
        <v>1366.1285399999999</v>
      </c>
      <c r="I905">
        <v>1275.3326416</v>
      </c>
      <c r="J905">
        <v>1249.4997559000001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549</v>
      </c>
      <c r="B906" s="1">
        <f>DATE(2011,11,1) + TIME(0,0,0)</f>
        <v>40848</v>
      </c>
      <c r="C906">
        <v>80</v>
      </c>
      <c r="D906">
        <v>79.943405150999993</v>
      </c>
      <c r="E906">
        <v>50</v>
      </c>
      <c r="F906">
        <v>34.455135345000002</v>
      </c>
      <c r="G906">
        <v>1379.7867432</v>
      </c>
      <c r="H906">
        <v>1366.0604248</v>
      </c>
      <c r="I906">
        <v>1275.3138428</v>
      </c>
      <c r="J906">
        <v>1249.4647216999999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549.000001</v>
      </c>
      <c r="B907" s="1">
        <f>DATE(2011,11,1) + TIME(0,0,0)</f>
        <v>40848</v>
      </c>
      <c r="C907">
        <v>80</v>
      </c>
      <c r="D907">
        <v>79.943283081000004</v>
      </c>
      <c r="E907">
        <v>50</v>
      </c>
      <c r="F907">
        <v>34.455257416000002</v>
      </c>
      <c r="G907">
        <v>1365.1885986</v>
      </c>
      <c r="H907">
        <v>1353.6000977000001</v>
      </c>
      <c r="I907">
        <v>1302.0704346</v>
      </c>
      <c r="J907">
        <v>1276.2098389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549.00000399999999</v>
      </c>
      <c r="B908" s="1">
        <f>DATE(2011,11,1) + TIME(0,0,0)</f>
        <v>40848</v>
      </c>
      <c r="C908">
        <v>80</v>
      </c>
      <c r="D908">
        <v>79.942970275999997</v>
      </c>
      <c r="E908">
        <v>50</v>
      </c>
      <c r="F908">
        <v>34.455600738999998</v>
      </c>
      <c r="G908">
        <v>1362.9863281</v>
      </c>
      <c r="H908">
        <v>1351.3969727000001</v>
      </c>
      <c r="I908">
        <v>1304.4862060999999</v>
      </c>
      <c r="J908">
        <v>1278.6663818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549.00001299999997</v>
      </c>
      <c r="B909" s="1">
        <f>DATE(2011,11,1) + TIME(0,0,1)</f>
        <v>40848.000011574077</v>
      </c>
      <c r="C909">
        <v>80</v>
      </c>
      <c r="D909">
        <v>79.942337035999998</v>
      </c>
      <c r="E909">
        <v>50</v>
      </c>
      <c r="F909">
        <v>34.456451416</v>
      </c>
      <c r="G909">
        <v>1358.5401611</v>
      </c>
      <c r="H909">
        <v>1346.9501952999999</v>
      </c>
      <c r="I909">
        <v>1310.2564697</v>
      </c>
      <c r="J909">
        <v>1284.5137939000001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549.00004000000001</v>
      </c>
      <c r="B910" s="1">
        <f>DATE(2011,11,1) + TIME(0,0,3)</f>
        <v>40848.000034722223</v>
      </c>
      <c r="C910">
        <v>80</v>
      </c>
      <c r="D910">
        <v>79.941413878999995</v>
      </c>
      <c r="E910">
        <v>50</v>
      </c>
      <c r="F910">
        <v>34.458202362000002</v>
      </c>
      <c r="G910">
        <v>1352.0458983999999</v>
      </c>
      <c r="H910">
        <v>1340.456543</v>
      </c>
      <c r="I910">
        <v>1320.8686522999999</v>
      </c>
      <c r="J910">
        <v>1295.2047118999999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549.00012100000004</v>
      </c>
      <c r="B911" s="1">
        <f>DATE(2011,11,1) + TIME(0,0,10)</f>
        <v>40848.000115740739</v>
      </c>
      <c r="C911">
        <v>80</v>
      </c>
      <c r="D911">
        <v>79.940368652000004</v>
      </c>
      <c r="E911">
        <v>50</v>
      </c>
      <c r="F911">
        <v>34.461326599000003</v>
      </c>
      <c r="G911">
        <v>1344.8121338000001</v>
      </c>
      <c r="H911">
        <v>1333.2312012</v>
      </c>
      <c r="I911">
        <v>1334.875</v>
      </c>
      <c r="J911">
        <v>1309.2277832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549.00036399999999</v>
      </c>
      <c r="B912" s="1">
        <f>DATE(2011,11,1) + TIME(0,0,31)</f>
        <v>40848.000358796293</v>
      </c>
      <c r="C912">
        <v>80</v>
      </c>
      <c r="D912">
        <v>79.939270019999995</v>
      </c>
      <c r="E912">
        <v>50</v>
      </c>
      <c r="F912">
        <v>34.467556000000002</v>
      </c>
      <c r="G912">
        <v>1337.5385742000001</v>
      </c>
      <c r="H912">
        <v>1325.9675293</v>
      </c>
      <c r="I912">
        <v>1349.8754882999999</v>
      </c>
      <c r="J912">
        <v>1324.2363281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549.00109299999997</v>
      </c>
      <c r="B913" s="1">
        <f>DATE(2011,11,1) + TIME(0,1,34)</f>
        <v>40848.001087962963</v>
      </c>
      <c r="C913">
        <v>80</v>
      </c>
      <c r="D913">
        <v>79.938041686999995</v>
      </c>
      <c r="E913">
        <v>50</v>
      </c>
      <c r="F913">
        <v>34.482761383000003</v>
      </c>
      <c r="G913">
        <v>1330.1966553</v>
      </c>
      <c r="H913">
        <v>1318.6181641000001</v>
      </c>
      <c r="I913">
        <v>1365.1629639</v>
      </c>
      <c r="J913">
        <v>1339.5236815999999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549.00328000000002</v>
      </c>
      <c r="B914" s="1">
        <f>DATE(2011,11,1) + TIME(0,4,43)</f>
        <v>40848.003275462965</v>
      </c>
      <c r="C914">
        <v>80</v>
      </c>
      <c r="D914">
        <v>79.936363220000004</v>
      </c>
      <c r="E914">
        <v>50</v>
      </c>
      <c r="F914">
        <v>34.524803161999998</v>
      </c>
      <c r="G914">
        <v>1322.4107666</v>
      </c>
      <c r="H914">
        <v>1310.7585449000001</v>
      </c>
      <c r="I914">
        <v>1380.7279053</v>
      </c>
      <c r="J914">
        <v>1355.0681152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549.00984100000005</v>
      </c>
      <c r="B915" s="1">
        <f>DATE(2011,11,1) + TIME(0,14,10)</f>
        <v>40848.009837962964</v>
      </c>
      <c r="C915">
        <v>80</v>
      </c>
      <c r="D915">
        <v>79.933471679999997</v>
      </c>
      <c r="E915">
        <v>50</v>
      </c>
      <c r="F915">
        <v>34.646511078000003</v>
      </c>
      <c r="G915">
        <v>1314.1452637</v>
      </c>
      <c r="H915">
        <v>1302.3536377</v>
      </c>
      <c r="I915">
        <v>1395.3146973</v>
      </c>
      <c r="J915">
        <v>1369.6617432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549.02952400000004</v>
      </c>
      <c r="B916" s="1">
        <f>DATE(2011,11,1) + TIME(0,42,30)</f>
        <v>40848.029513888891</v>
      </c>
      <c r="C916">
        <v>80</v>
      </c>
      <c r="D916">
        <v>79.927330017000003</v>
      </c>
      <c r="E916">
        <v>50</v>
      </c>
      <c r="F916">
        <v>35.000007629000002</v>
      </c>
      <c r="G916">
        <v>1306.9978027</v>
      </c>
      <c r="H916">
        <v>1295.0742187999999</v>
      </c>
      <c r="I916">
        <v>1405.7257079999999</v>
      </c>
      <c r="J916">
        <v>1380.2164307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549.07265500000005</v>
      </c>
      <c r="B917" s="1">
        <f>DATE(2011,11,1) + TIME(1,44,37)</f>
        <v>40848.072650462964</v>
      </c>
      <c r="C917">
        <v>80</v>
      </c>
      <c r="D917">
        <v>79.915893554999997</v>
      </c>
      <c r="E917">
        <v>50</v>
      </c>
      <c r="F917">
        <v>35.735378265000001</v>
      </c>
      <c r="G917">
        <v>1303.4213867000001</v>
      </c>
      <c r="H917">
        <v>1291.4296875</v>
      </c>
      <c r="I917">
        <v>1409.4937743999999</v>
      </c>
      <c r="J917">
        <v>1384.3317870999999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549.11761200000001</v>
      </c>
      <c r="B918" s="1">
        <f>DATE(2011,11,1) + TIME(2,49,21)</f>
        <v>40848.117604166669</v>
      </c>
      <c r="C918">
        <v>80</v>
      </c>
      <c r="D918">
        <v>79.904510497999993</v>
      </c>
      <c r="E918">
        <v>50</v>
      </c>
      <c r="F918">
        <v>36.463542938000003</v>
      </c>
      <c r="G918">
        <v>1302.4240723</v>
      </c>
      <c r="H918">
        <v>1290.4122314000001</v>
      </c>
      <c r="I918">
        <v>1409.8852539</v>
      </c>
      <c r="J918">
        <v>1385.0543213000001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549.16444000000001</v>
      </c>
      <c r="B919" s="1">
        <f>DATE(2011,11,1) + TIME(3,56,47)</f>
        <v>40848.16443287037</v>
      </c>
      <c r="C919">
        <v>80</v>
      </c>
      <c r="D919">
        <v>79.892936707000004</v>
      </c>
      <c r="E919">
        <v>50</v>
      </c>
      <c r="F919">
        <v>37.182727814000003</v>
      </c>
      <c r="G919">
        <v>1302.1188964999999</v>
      </c>
      <c r="H919">
        <v>1290.1005858999999</v>
      </c>
      <c r="I919">
        <v>1409.5571289</v>
      </c>
      <c r="J919">
        <v>1385.0456543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549.21329400000002</v>
      </c>
      <c r="B920" s="1">
        <f>DATE(2011,11,1) + TIME(5,7,8)</f>
        <v>40848.213287037041</v>
      </c>
      <c r="C920">
        <v>80</v>
      </c>
      <c r="D920">
        <v>79.881080627000003</v>
      </c>
      <c r="E920">
        <v>50</v>
      </c>
      <c r="F920">
        <v>37.892536163000003</v>
      </c>
      <c r="G920">
        <v>1302.0172118999999</v>
      </c>
      <c r="H920">
        <v>1289.9967041</v>
      </c>
      <c r="I920">
        <v>1409.0926514</v>
      </c>
      <c r="J920">
        <v>1384.8884277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549.26436200000001</v>
      </c>
      <c r="B921" s="1">
        <f>DATE(2011,11,1) + TIME(6,20,40)</f>
        <v>40848.264351851853</v>
      </c>
      <c r="C921">
        <v>80</v>
      </c>
      <c r="D921">
        <v>79.868896484000004</v>
      </c>
      <c r="E921">
        <v>50</v>
      </c>
      <c r="F921">
        <v>38.592643738</v>
      </c>
      <c r="G921">
        <v>1301.9799805</v>
      </c>
      <c r="H921">
        <v>1289.9586182</v>
      </c>
      <c r="I921">
        <v>1408.6199951000001</v>
      </c>
      <c r="J921">
        <v>1384.7111815999999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549.31788500000005</v>
      </c>
      <c r="B922" s="1">
        <f>DATE(2011,11,1) + TIME(7,37,45)</f>
        <v>40848.317881944444</v>
      </c>
      <c r="C922">
        <v>80</v>
      </c>
      <c r="D922">
        <v>79.856338500999996</v>
      </c>
      <c r="E922">
        <v>50</v>
      </c>
      <c r="F922">
        <v>39.282974242999998</v>
      </c>
      <c r="G922">
        <v>1301.9648437999999</v>
      </c>
      <c r="H922">
        <v>1289.942749</v>
      </c>
      <c r="I922">
        <v>1408.1630858999999</v>
      </c>
      <c r="J922">
        <v>1384.5386963000001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549.37413300000003</v>
      </c>
      <c r="B923" s="1">
        <f>DATE(2011,11,1) + TIME(8,58,45)</f>
        <v>40848.374131944445</v>
      </c>
      <c r="C923">
        <v>80</v>
      </c>
      <c r="D923">
        <v>79.843368530000006</v>
      </c>
      <c r="E923">
        <v>50</v>
      </c>
      <c r="F923">
        <v>39.963340758999998</v>
      </c>
      <c r="G923">
        <v>1301.9575195</v>
      </c>
      <c r="H923">
        <v>1289.9350586</v>
      </c>
      <c r="I923">
        <v>1407.7237548999999</v>
      </c>
      <c r="J923">
        <v>1384.3730469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549.43342299999995</v>
      </c>
      <c r="B924" s="1">
        <f>DATE(2011,11,1) + TIME(10,24,7)</f>
        <v>40848.43341435185</v>
      </c>
      <c r="C924">
        <v>80</v>
      </c>
      <c r="D924">
        <v>79.829933166999993</v>
      </c>
      <c r="E924">
        <v>50</v>
      </c>
      <c r="F924">
        <v>40.633628844999997</v>
      </c>
      <c r="G924">
        <v>1301.953125</v>
      </c>
      <c r="H924">
        <v>1289.9301757999999</v>
      </c>
      <c r="I924">
        <v>1407.300293</v>
      </c>
      <c r="J924">
        <v>1384.2130127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549.49612400000001</v>
      </c>
      <c r="B925" s="1">
        <f>DATE(2011,11,1) + TIME(11,54,25)</f>
        <v>40848.496122685188</v>
      </c>
      <c r="C925">
        <v>80</v>
      </c>
      <c r="D925">
        <v>79.815963745000005</v>
      </c>
      <c r="E925">
        <v>50</v>
      </c>
      <c r="F925">
        <v>41.293395996000001</v>
      </c>
      <c r="G925">
        <v>1301.9499512</v>
      </c>
      <c r="H925">
        <v>1289.9263916</v>
      </c>
      <c r="I925">
        <v>1406.8909911999999</v>
      </c>
      <c r="J925">
        <v>1384.0573730000001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549.56267700000001</v>
      </c>
      <c r="B926" s="1">
        <f>DATE(2011,11,1) + TIME(13,30,15)</f>
        <v>40848.562673611108</v>
      </c>
      <c r="C926">
        <v>80</v>
      </c>
      <c r="D926">
        <v>79.80140686</v>
      </c>
      <c r="E926">
        <v>50</v>
      </c>
      <c r="F926">
        <v>41.942256927000003</v>
      </c>
      <c r="G926">
        <v>1301.9468993999999</v>
      </c>
      <c r="H926">
        <v>1289.9228516000001</v>
      </c>
      <c r="I926">
        <v>1406.4945068</v>
      </c>
      <c r="J926">
        <v>1383.9050293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549.63360899999998</v>
      </c>
      <c r="B927" s="1">
        <f>DATE(2011,11,1) + TIME(15,12,23)</f>
        <v>40848.633599537039</v>
      </c>
      <c r="C927">
        <v>80</v>
      </c>
      <c r="D927">
        <v>79.786170959000003</v>
      </c>
      <c r="E927">
        <v>50</v>
      </c>
      <c r="F927">
        <v>42.579769134999999</v>
      </c>
      <c r="G927">
        <v>1301.9439697</v>
      </c>
      <c r="H927">
        <v>1289.9191894999999</v>
      </c>
      <c r="I927">
        <v>1406.1099853999999</v>
      </c>
      <c r="J927">
        <v>1383.7554932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549.70955900000001</v>
      </c>
      <c r="B928" s="1">
        <f>DATE(2011,11,1) + TIME(17,1,45)</f>
        <v>40848.709548611114</v>
      </c>
      <c r="C928">
        <v>80</v>
      </c>
      <c r="D928">
        <v>79.770164489999999</v>
      </c>
      <c r="E928">
        <v>50</v>
      </c>
      <c r="F928">
        <v>43.205402374000002</v>
      </c>
      <c r="G928">
        <v>1301.9407959</v>
      </c>
      <c r="H928">
        <v>1289.9152832</v>
      </c>
      <c r="I928">
        <v>1405.7365723</v>
      </c>
      <c r="J928">
        <v>1383.6079102000001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549.79131099999995</v>
      </c>
      <c r="B929" s="1">
        <f>DATE(2011,11,1) + TIME(18,59,29)</f>
        <v>40848.791307870371</v>
      </c>
      <c r="C929">
        <v>80</v>
      </c>
      <c r="D929">
        <v>79.753265381000006</v>
      </c>
      <c r="E929">
        <v>50</v>
      </c>
      <c r="F929">
        <v>43.818523407000001</v>
      </c>
      <c r="G929">
        <v>1301.9375</v>
      </c>
      <c r="H929">
        <v>1289.9112548999999</v>
      </c>
      <c r="I929">
        <v>1405.3734131000001</v>
      </c>
      <c r="J929">
        <v>1383.4617920000001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549.87983999999994</v>
      </c>
      <c r="B930" s="1">
        <f>DATE(2011,11,1) + TIME(21,6,58)</f>
        <v>40848.879837962966</v>
      </c>
      <c r="C930">
        <v>80</v>
      </c>
      <c r="D930">
        <v>79.735328674000002</v>
      </c>
      <c r="E930">
        <v>50</v>
      </c>
      <c r="F930">
        <v>44.418376922999997</v>
      </c>
      <c r="G930">
        <v>1301.9338379000001</v>
      </c>
      <c r="H930">
        <v>1289.9067382999999</v>
      </c>
      <c r="I930">
        <v>1405.0198975000001</v>
      </c>
      <c r="J930">
        <v>1383.3167725000001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549.97637399999996</v>
      </c>
      <c r="B931" s="1">
        <f>DATE(2011,11,1) + TIME(23,25,58)</f>
        <v>40848.976365740738</v>
      </c>
      <c r="C931">
        <v>80</v>
      </c>
      <c r="D931">
        <v>79.716178893999995</v>
      </c>
      <c r="E931">
        <v>50</v>
      </c>
      <c r="F931">
        <v>45.004020691000001</v>
      </c>
      <c r="G931">
        <v>1301.9299315999999</v>
      </c>
      <c r="H931">
        <v>1289.9019774999999</v>
      </c>
      <c r="I931">
        <v>1404.6751709</v>
      </c>
      <c r="J931">
        <v>1383.1719971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550.08248400000002</v>
      </c>
      <c r="B932" s="1">
        <f>DATE(2011,11,2) + TIME(1,58,46)</f>
        <v>40849.082476851851</v>
      </c>
      <c r="C932">
        <v>80</v>
      </c>
      <c r="D932">
        <v>79.695587157999995</v>
      </c>
      <c r="E932">
        <v>50</v>
      </c>
      <c r="F932">
        <v>45.574279785000002</v>
      </c>
      <c r="G932">
        <v>1301.9256591999999</v>
      </c>
      <c r="H932">
        <v>1289.8967285000001</v>
      </c>
      <c r="I932">
        <v>1404.3386230000001</v>
      </c>
      <c r="J932">
        <v>1383.0267334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550.20027300000004</v>
      </c>
      <c r="B933" s="1">
        <f>DATE(2011,11,2) + TIME(4,48,23)</f>
        <v>40849.200266203705</v>
      </c>
      <c r="C933">
        <v>80</v>
      </c>
      <c r="D933">
        <v>79.673263550000001</v>
      </c>
      <c r="E933">
        <v>50</v>
      </c>
      <c r="F933">
        <v>46.127880095999998</v>
      </c>
      <c r="G933">
        <v>1301.9208983999999</v>
      </c>
      <c r="H933">
        <v>1289.8908690999999</v>
      </c>
      <c r="I933">
        <v>1404.0093993999999</v>
      </c>
      <c r="J933">
        <v>1382.8803711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550.33255899999995</v>
      </c>
      <c r="B934" s="1">
        <f>DATE(2011,11,2) + TIME(7,58,53)</f>
        <v>40849.332557870373</v>
      </c>
      <c r="C934">
        <v>80</v>
      </c>
      <c r="D934">
        <v>79.648811339999995</v>
      </c>
      <c r="E934">
        <v>50</v>
      </c>
      <c r="F934">
        <v>46.663131714000002</v>
      </c>
      <c r="G934">
        <v>1301.9156493999999</v>
      </c>
      <c r="H934">
        <v>1289.8845214999999</v>
      </c>
      <c r="I934">
        <v>1403.6866454999999</v>
      </c>
      <c r="J934">
        <v>1382.7316894999999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550.48325599999998</v>
      </c>
      <c r="B935" s="1">
        <f>DATE(2011,11,2) + TIME(11,35,53)</f>
        <v>40849.483252314814</v>
      </c>
      <c r="C935">
        <v>80</v>
      </c>
      <c r="D935">
        <v>79.621696471999996</v>
      </c>
      <c r="E935">
        <v>50</v>
      </c>
      <c r="F935">
        <v>47.177890777999998</v>
      </c>
      <c r="G935">
        <v>1301.909668</v>
      </c>
      <c r="H935">
        <v>1289.8773193</v>
      </c>
      <c r="I935">
        <v>1403.3692627</v>
      </c>
      <c r="J935">
        <v>1382.5795897999999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550.65800899999999</v>
      </c>
      <c r="B936" s="1">
        <f>DATE(2011,11,2) + TIME(15,47,31)</f>
        <v>40849.657997685186</v>
      </c>
      <c r="C936">
        <v>80</v>
      </c>
      <c r="D936">
        <v>79.591201781999999</v>
      </c>
      <c r="E936">
        <v>50</v>
      </c>
      <c r="F936">
        <v>47.669399261000002</v>
      </c>
      <c r="G936">
        <v>1301.902832</v>
      </c>
      <c r="H936">
        <v>1289.8691406</v>
      </c>
      <c r="I936">
        <v>1403.0562743999999</v>
      </c>
      <c r="J936">
        <v>1382.4224853999999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550.83841199999995</v>
      </c>
      <c r="B937" s="1">
        <f>DATE(2011,11,2) + TIME(20,7,18)</f>
        <v>40849.838402777779</v>
      </c>
      <c r="C937">
        <v>80</v>
      </c>
      <c r="D937">
        <v>79.559997558999996</v>
      </c>
      <c r="E937">
        <v>50</v>
      </c>
      <c r="F937">
        <v>48.084701537999997</v>
      </c>
      <c r="G937">
        <v>1301.8948975000001</v>
      </c>
      <c r="H937">
        <v>1289.8598632999999</v>
      </c>
      <c r="I937">
        <v>1402.7741699000001</v>
      </c>
      <c r="J937">
        <v>1382.2696533000001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551.02128800000003</v>
      </c>
      <c r="B938" s="1">
        <f>DATE(2011,11,3) + TIME(0,30,39)</f>
        <v>40850.021284722221</v>
      </c>
      <c r="C938">
        <v>80</v>
      </c>
      <c r="D938">
        <v>79.528541564999998</v>
      </c>
      <c r="E938">
        <v>50</v>
      </c>
      <c r="F938">
        <v>48.428325653000002</v>
      </c>
      <c r="G938">
        <v>1301.8864745999999</v>
      </c>
      <c r="H938">
        <v>1289.8503418</v>
      </c>
      <c r="I938">
        <v>1402.5249022999999</v>
      </c>
      <c r="J938">
        <v>1382.1267089999999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551.20856700000002</v>
      </c>
      <c r="B939" s="1">
        <f>DATE(2011,11,3) + TIME(5,0,20)</f>
        <v>40850.208564814813</v>
      </c>
      <c r="C939">
        <v>80</v>
      </c>
      <c r="D939">
        <v>79.496574401999993</v>
      </c>
      <c r="E939">
        <v>50</v>
      </c>
      <c r="F939">
        <v>48.71421814</v>
      </c>
      <c r="G939">
        <v>1301.8780518000001</v>
      </c>
      <c r="H939">
        <v>1289.8405762</v>
      </c>
      <c r="I939">
        <v>1402.3027344</v>
      </c>
      <c r="J939">
        <v>1381.9927978999999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551.40175899999997</v>
      </c>
      <c r="B940" s="1">
        <f>DATE(2011,11,3) + TIME(9,38,31)</f>
        <v>40850.401747685188</v>
      </c>
      <c r="C940">
        <v>80</v>
      </c>
      <c r="D940">
        <v>79.463890075999998</v>
      </c>
      <c r="E940">
        <v>50</v>
      </c>
      <c r="F940">
        <v>48.952377319</v>
      </c>
      <c r="G940">
        <v>1301.8693848</v>
      </c>
      <c r="H940">
        <v>1289.8305664</v>
      </c>
      <c r="I940">
        <v>1402.1019286999999</v>
      </c>
      <c r="J940">
        <v>1381.8659668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551.60246400000005</v>
      </c>
      <c r="B941" s="1">
        <f>DATE(2011,11,3) + TIME(14,27,32)</f>
        <v>40850.602453703701</v>
      </c>
      <c r="C941">
        <v>80</v>
      </c>
      <c r="D941">
        <v>79.430259704999997</v>
      </c>
      <c r="E941">
        <v>50</v>
      </c>
      <c r="F941">
        <v>49.150688170999999</v>
      </c>
      <c r="G941">
        <v>1301.8604736</v>
      </c>
      <c r="H941">
        <v>1289.8203125</v>
      </c>
      <c r="I941">
        <v>1401.9185791</v>
      </c>
      <c r="J941">
        <v>1381.7445068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551.81242799999995</v>
      </c>
      <c r="B942" s="1">
        <f>DATE(2011,11,3) + TIME(19,29,53)</f>
        <v>40850.812418981484</v>
      </c>
      <c r="C942">
        <v>80</v>
      </c>
      <c r="D942">
        <v>79.395469665999997</v>
      </c>
      <c r="E942">
        <v>50</v>
      </c>
      <c r="F942">
        <v>49.315460205000001</v>
      </c>
      <c r="G942">
        <v>1301.8511963000001</v>
      </c>
      <c r="H942">
        <v>1289.8096923999999</v>
      </c>
      <c r="I942">
        <v>1401.7493896000001</v>
      </c>
      <c r="J942">
        <v>1381.6273193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552.03362700000002</v>
      </c>
      <c r="B943" s="1">
        <f>DATE(2011,11,4) + TIME(0,48,25)</f>
        <v>40851.033622685187</v>
      </c>
      <c r="C943">
        <v>80</v>
      </c>
      <c r="D943">
        <v>79.359237671000002</v>
      </c>
      <c r="E943">
        <v>50</v>
      </c>
      <c r="F943">
        <v>49.451854705999999</v>
      </c>
      <c r="G943">
        <v>1301.8414307</v>
      </c>
      <c r="H943">
        <v>1289.7985839999999</v>
      </c>
      <c r="I943">
        <v>1401.5914307</v>
      </c>
      <c r="J943">
        <v>1381.5131836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552.26838199999997</v>
      </c>
      <c r="B944" s="1">
        <f>DATE(2011,11,4) + TIME(6,26,28)</f>
        <v>40851.268379629626</v>
      </c>
      <c r="C944">
        <v>80</v>
      </c>
      <c r="D944">
        <v>79.321281432999996</v>
      </c>
      <c r="E944">
        <v>50</v>
      </c>
      <c r="F944">
        <v>49.564144134999999</v>
      </c>
      <c r="G944">
        <v>1301.8311768000001</v>
      </c>
      <c r="H944">
        <v>1289.7869873</v>
      </c>
      <c r="I944">
        <v>1401.4425048999999</v>
      </c>
      <c r="J944">
        <v>1381.4011230000001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552.51948900000002</v>
      </c>
      <c r="B945" s="1">
        <f>DATE(2011,11,4) + TIME(12,28,3)</f>
        <v>40851.519479166665</v>
      </c>
      <c r="C945">
        <v>80</v>
      </c>
      <c r="D945">
        <v>79.281234741000006</v>
      </c>
      <c r="E945">
        <v>50</v>
      </c>
      <c r="F945">
        <v>49.655921935999999</v>
      </c>
      <c r="G945">
        <v>1301.8203125</v>
      </c>
      <c r="H945">
        <v>1289.7745361</v>
      </c>
      <c r="I945">
        <v>1401.3005370999999</v>
      </c>
      <c r="J945">
        <v>1381.2901611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552.79035799999997</v>
      </c>
      <c r="B946" s="1">
        <f>DATE(2011,11,4) + TIME(18,58,6)</f>
        <v>40851.790347222224</v>
      </c>
      <c r="C946">
        <v>80</v>
      </c>
      <c r="D946">
        <v>79.238670349000003</v>
      </c>
      <c r="E946">
        <v>50</v>
      </c>
      <c r="F946">
        <v>49.730239867999998</v>
      </c>
      <c r="G946">
        <v>1301.8088379000001</v>
      </c>
      <c r="H946">
        <v>1289.7613524999999</v>
      </c>
      <c r="I946">
        <v>1401.1635742000001</v>
      </c>
      <c r="J946">
        <v>1381.1793213000001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553.08323900000005</v>
      </c>
      <c r="B947" s="1">
        <f>DATE(2011,11,5) + TIME(1,59,51)</f>
        <v>40852.083229166667</v>
      </c>
      <c r="C947">
        <v>80</v>
      </c>
      <c r="D947">
        <v>79.193305968999994</v>
      </c>
      <c r="E947">
        <v>50</v>
      </c>
      <c r="F947">
        <v>49.789413451999998</v>
      </c>
      <c r="G947">
        <v>1301.7963867000001</v>
      </c>
      <c r="H947">
        <v>1289.7471923999999</v>
      </c>
      <c r="I947">
        <v>1401.0301514</v>
      </c>
      <c r="J947">
        <v>1381.067749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553.39865999999995</v>
      </c>
      <c r="B948" s="1">
        <f>DATE(2011,11,5) + TIME(9,34,4)</f>
        <v>40852.398657407408</v>
      </c>
      <c r="C948">
        <v>80</v>
      </c>
      <c r="D948">
        <v>79.145050049000005</v>
      </c>
      <c r="E948">
        <v>50</v>
      </c>
      <c r="F948">
        <v>49.835464477999999</v>
      </c>
      <c r="G948">
        <v>1301.7828368999999</v>
      </c>
      <c r="H948">
        <v>1289.7318115</v>
      </c>
      <c r="I948">
        <v>1400.8992920000001</v>
      </c>
      <c r="J948">
        <v>1380.9553223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553.74167999999997</v>
      </c>
      <c r="B949" s="1">
        <f>DATE(2011,11,5) + TIME(17,48,1)</f>
        <v>40852.741678240738</v>
      </c>
      <c r="C949">
        <v>80</v>
      </c>
      <c r="D949">
        <v>79.093330382999994</v>
      </c>
      <c r="E949">
        <v>50</v>
      </c>
      <c r="F949">
        <v>49.870861052999999</v>
      </c>
      <c r="G949">
        <v>1301.7684326000001</v>
      </c>
      <c r="H949">
        <v>1289.715332</v>
      </c>
      <c r="I949">
        <v>1400.7706298999999</v>
      </c>
      <c r="J949">
        <v>1380.8421631000001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554.11343999999997</v>
      </c>
      <c r="B950" s="1">
        <f>DATE(2011,11,6) + TIME(2,43,21)</f>
        <v>40853.113437499997</v>
      </c>
      <c r="C950">
        <v>80</v>
      </c>
      <c r="D950">
        <v>79.037956238000007</v>
      </c>
      <c r="E950">
        <v>50</v>
      </c>
      <c r="F950">
        <v>49.897384643999999</v>
      </c>
      <c r="G950">
        <v>1301.7526855000001</v>
      </c>
      <c r="H950">
        <v>1289.6975098</v>
      </c>
      <c r="I950">
        <v>1400.6425781</v>
      </c>
      <c r="J950">
        <v>1380.7274170000001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554.48858199999995</v>
      </c>
      <c r="B951" s="1">
        <f>DATE(2011,11,6) + TIME(11,43,33)</f>
        <v>40853.488576388889</v>
      </c>
      <c r="C951">
        <v>80</v>
      </c>
      <c r="D951">
        <v>78.981483459000003</v>
      </c>
      <c r="E951">
        <v>50</v>
      </c>
      <c r="F951">
        <v>49.915893554999997</v>
      </c>
      <c r="G951">
        <v>1301.7355957</v>
      </c>
      <c r="H951">
        <v>1289.6782227000001</v>
      </c>
      <c r="I951">
        <v>1400.5155029</v>
      </c>
      <c r="J951">
        <v>1380.6114502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554.87124300000005</v>
      </c>
      <c r="B952" s="1">
        <f>DATE(2011,11,6) + TIME(20,54,35)</f>
        <v>40853.871238425927</v>
      </c>
      <c r="C952">
        <v>80</v>
      </c>
      <c r="D952">
        <v>78.923805236999996</v>
      </c>
      <c r="E952">
        <v>50</v>
      </c>
      <c r="F952">
        <v>49.928916931000003</v>
      </c>
      <c r="G952">
        <v>1301.7182617000001</v>
      </c>
      <c r="H952">
        <v>1289.6586914</v>
      </c>
      <c r="I952">
        <v>1400.3966064000001</v>
      </c>
      <c r="J952">
        <v>1380.5019531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555.26537099999996</v>
      </c>
      <c r="B953" s="1">
        <f>DATE(2011,11,7) + TIME(6,22,8)</f>
        <v>40854.265370370369</v>
      </c>
      <c r="C953">
        <v>80</v>
      </c>
      <c r="D953">
        <v>78.864669800000001</v>
      </c>
      <c r="E953">
        <v>50</v>
      </c>
      <c r="F953">
        <v>49.93812561</v>
      </c>
      <c r="G953">
        <v>1301.7008057</v>
      </c>
      <c r="H953">
        <v>1289.6387939000001</v>
      </c>
      <c r="I953">
        <v>1400.2836914</v>
      </c>
      <c r="J953">
        <v>1380.3973389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555.67496600000004</v>
      </c>
      <c r="B954" s="1">
        <f>DATE(2011,11,7) + TIME(16,11,57)</f>
        <v>40854.67496527778</v>
      </c>
      <c r="C954">
        <v>80</v>
      </c>
      <c r="D954">
        <v>78.803733825999998</v>
      </c>
      <c r="E954">
        <v>50</v>
      </c>
      <c r="F954">
        <v>49.944656371999997</v>
      </c>
      <c r="G954">
        <v>1301.6827393000001</v>
      </c>
      <c r="H954">
        <v>1289.6182861</v>
      </c>
      <c r="I954">
        <v>1400.1748047000001</v>
      </c>
      <c r="J954">
        <v>1380.2958983999999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556.10438799999997</v>
      </c>
      <c r="B955" s="1">
        <f>DATE(2011,11,8) + TIME(2,30,19)</f>
        <v>40855.104386574072</v>
      </c>
      <c r="C955">
        <v>80</v>
      </c>
      <c r="D955">
        <v>78.740577697999996</v>
      </c>
      <c r="E955">
        <v>50</v>
      </c>
      <c r="F955">
        <v>49.949291229000004</v>
      </c>
      <c r="G955">
        <v>1301.6640625</v>
      </c>
      <c r="H955">
        <v>1289.5970459</v>
      </c>
      <c r="I955">
        <v>1400.0686035000001</v>
      </c>
      <c r="J955">
        <v>1380.1967772999999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556.55446600000005</v>
      </c>
      <c r="B956" s="1">
        <f>DATE(2011,11,8) + TIME(13,18,25)</f>
        <v>40855.554456018515</v>
      </c>
      <c r="C956">
        <v>80</v>
      </c>
      <c r="D956">
        <v>78.675079346000004</v>
      </c>
      <c r="E956">
        <v>50</v>
      </c>
      <c r="F956">
        <v>49.952564240000001</v>
      </c>
      <c r="G956">
        <v>1301.6445312000001</v>
      </c>
      <c r="H956">
        <v>1289.574707</v>
      </c>
      <c r="I956">
        <v>1399.9638672000001</v>
      </c>
      <c r="J956">
        <v>1380.0987548999999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557.02453700000001</v>
      </c>
      <c r="B957" s="1">
        <f>DATE(2011,11,9) + TIME(0,35,19)</f>
        <v>40856.024525462963</v>
      </c>
      <c r="C957">
        <v>80</v>
      </c>
      <c r="D957">
        <v>78.607269286999994</v>
      </c>
      <c r="E957">
        <v>50</v>
      </c>
      <c r="F957">
        <v>49.954860687</v>
      </c>
      <c r="G957">
        <v>1301.6240233999999</v>
      </c>
      <c r="H957">
        <v>1289.5513916</v>
      </c>
      <c r="I957">
        <v>1399.8604736</v>
      </c>
      <c r="J957">
        <v>1380.0018310999999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557.51945999999998</v>
      </c>
      <c r="B958" s="1">
        <f>DATE(2011,11,9) + TIME(12,28,1)</f>
        <v>40856.519456018519</v>
      </c>
      <c r="C958">
        <v>80</v>
      </c>
      <c r="D958">
        <v>78.536705017000003</v>
      </c>
      <c r="E958">
        <v>50</v>
      </c>
      <c r="F958">
        <v>49.956481934000003</v>
      </c>
      <c r="G958">
        <v>1301.6027832</v>
      </c>
      <c r="H958">
        <v>1289.5269774999999</v>
      </c>
      <c r="I958">
        <v>1399.7586670000001</v>
      </c>
      <c r="J958">
        <v>1379.90625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558.04477899999995</v>
      </c>
      <c r="B959" s="1">
        <f>DATE(2011,11,10) + TIME(1,4,28)</f>
        <v>40857.044768518521</v>
      </c>
      <c r="C959">
        <v>80</v>
      </c>
      <c r="D959">
        <v>78.462837218999994</v>
      </c>
      <c r="E959">
        <v>50</v>
      </c>
      <c r="F959">
        <v>49.957633971999996</v>
      </c>
      <c r="G959">
        <v>1301.5803223</v>
      </c>
      <c r="H959">
        <v>1289.5013428</v>
      </c>
      <c r="I959">
        <v>1399.6574707</v>
      </c>
      <c r="J959">
        <v>1379.8114014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558.60719500000005</v>
      </c>
      <c r="B960" s="1">
        <f>DATE(2011,11,10) + TIME(14,34,21)</f>
        <v>40857.607187499998</v>
      </c>
      <c r="C960">
        <v>80</v>
      </c>
      <c r="D960">
        <v>78.384979247999993</v>
      </c>
      <c r="E960">
        <v>50</v>
      </c>
      <c r="F960">
        <v>49.958461761000002</v>
      </c>
      <c r="G960">
        <v>1301.5563964999999</v>
      </c>
      <c r="H960">
        <v>1289.473999</v>
      </c>
      <c r="I960">
        <v>1399.5560303</v>
      </c>
      <c r="J960">
        <v>1379.7161865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559.19963099999995</v>
      </c>
      <c r="B961" s="1">
        <f>DATE(2011,11,11) + TIME(4,47,28)</f>
        <v>40858.199629629627</v>
      </c>
      <c r="C961">
        <v>80</v>
      </c>
      <c r="D961">
        <v>78.303535460999996</v>
      </c>
      <c r="E961">
        <v>50</v>
      </c>
      <c r="F961">
        <v>49.959049225000001</v>
      </c>
      <c r="G961">
        <v>1301.5308838000001</v>
      </c>
      <c r="H961">
        <v>1289.4448242000001</v>
      </c>
      <c r="I961">
        <v>1399.4533690999999</v>
      </c>
      <c r="J961">
        <v>1379.6199951000001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559.79922199999999</v>
      </c>
      <c r="B962" s="1">
        <f>DATE(2011,11,11) + TIME(19,10,52)</f>
        <v>40858.799212962964</v>
      </c>
      <c r="C962">
        <v>80</v>
      </c>
      <c r="D962">
        <v>78.220405579000001</v>
      </c>
      <c r="E962">
        <v>50</v>
      </c>
      <c r="F962">
        <v>49.959461212000001</v>
      </c>
      <c r="G962">
        <v>1301.5037841999999</v>
      </c>
      <c r="H962">
        <v>1289.4140625</v>
      </c>
      <c r="I962">
        <v>1399.3513184000001</v>
      </c>
      <c r="J962">
        <v>1379.5244141000001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560.41210699999999</v>
      </c>
      <c r="B963" s="1">
        <f>DATE(2011,11,12) + TIME(9,53,26)</f>
        <v>40859.412106481483</v>
      </c>
      <c r="C963">
        <v>80</v>
      </c>
      <c r="D963">
        <v>78.135673522999994</v>
      </c>
      <c r="E963">
        <v>50</v>
      </c>
      <c r="F963">
        <v>49.959758759000003</v>
      </c>
      <c r="G963">
        <v>1301.4764404</v>
      </c>
      <c r="H963">
        <v>1289.3828125</v>
      </c>
      <c r="I963">
        <v>1399.2536620999999</v>
      </c>
      <c r="J963">
        <v>1379.4329834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561.04431599999998</v>
      </c>
      <c r="B964" s="1">
        <f>DATE(2011,11,13) + TIME(1,3,48)</f>
        <v>40860.044305555559</v>
      </c>
      <c r="C964">
        <v>80</v>
      </c>
      <c r="D964">
        <v>78.049079895000006</v>
      </c>
      <c r="E964">
        <v>50</v>
      </c>
      <c r="F964">
        <v>49.959976196</v>
      </c>
      <c r="G964">
        <v>1301.4484863</v>
      </c>
      <c r="H964">
        <v>1289.3508300999999</v>
      </c>
      <c r="I964">
        <v>1399.1591797000001</v>
      </c>
      <c r="J964">
        <v>1379.3444824000001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561.70223299999998</v>
      </c>
      <c r="B965" s="1">
        <f>DATE(2011,11,13) + TIME(16,51,12)</f>
        <v>40860.702222222222</v>
      </c>
      <c r="C965">
        <v>80</v>
      </c>
      <c r="D965">
        <v>77.960136414000004</v>
      </c>
      <c r="E965">
        <v>50</v>
      </c>
      <c r="F965">
        <v>49.960144043</v>
      </c>
      <c r="G965">
        <v>1301.4195557</v>
      </c>
      <c r="H965">
        <v>1289.3176269999999</v>
      </c>
      <c r="I965">
        <v>1399.0666504000001</v>
      </c>
      <c r="J965">
        <v>1379.2580565999999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562.39302899999996</v>
      </c>
      <c r="B966" s="1">
        <f>DATE(2011,11,14) + TIME(9,25,57)</f>
        <v>40861.393020833333</v>
      </c>
      <c r="C966">
        <v>80</v>
      </c>
      <c r="D966">
        <v>77.868202209000003</v>
      </c>
      <c r="E966">
        <v>50</v>
      </c>
      <c r="F966">
        <v>49.960277556999998</v>
      </c>
      <c r="G966">
        <v>1301.3895264</v>
      </c>
      <c r="H966">
        <v>1289.2830810999999</v>
      </c>
      <c r="I966">
        <v>1398.9753418</v>
      </c>
      <c r="J966">
        <v>1379.1726074000001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563.11201900000003</v>
      </c>
      <c r="B967" s="1">
        <f>DATE(2011,11,15) + TIME(2,41,18)</f>
        <v>40862.112013888887</v>
      </c>
      <c r="C967">
        <v>80</v>
      </c>
      <c r="D967">
        <v>77.773391724000007</v>
      </c>
      <c r="E967">
        <v>50</v>
      </c>
      <c r="F967">
        <v>49.960380553999997</v>
      </c>
      <c r="G967">
        <v>1301.3577881000001</v>
      </c>
      <c r="H967">
        <v>1289.2467041</v>
      </c>
      <c r="I967">
        <v>1398.8840332</v>
      </c>
      <c r="J967">
        <v>1379.0874022999999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563.85766000000001</v>
      </c>
      <c r="B968" s="1">
        <f>DATE(2011,11,15) + TIME(20,35,1)</f>
        <v>40862.85765046296</v>
      </c>
      <c r="C968">
        <v>80</v>
      </c>
      <c r="D968">
        <v>77.675849915000001</v>
      </c>
      <c r="E968">
        <v>50</v>
      </c>
      <c r="F968">
        <v>49.960468292000002</v>
      </c>
      <c r="G968">
        <v>1301.324707</v>
      </c>
      <c r="H968">
        <v>1289.2086182</v>
      </c>
      <c r="I968">
        <v>1398.7937012</v>
      </c>
      <c r="J968">
        <v>1379.0030518000001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564.63736700000004</v>
      </c>
      <c r="B969" s="1">
        <f>DATE(2011,11,16) + TIME(15,17,48)</f>
        <v>40863.637361111112</v>
      </c>
      <c r="C969">
        <v>80</v>
      </c>
      <c r="D969">
        <v>77.575149535999998</v>
      </c>
      <c r="E969">
        <v>50</v>
      </c>
      <c r="F969">
        <v>49.960536957000002</v>
      </c>
      <c r="G969">
        <v>1301.2901611</v>
      </c>
      <c r="H969">
        <v>1289.1690673999999</v>
      </c>
      <c r="I969">
        <v>1398.7045897999999</v>
      </c>
      <c r="J969">
        <v>1378.9199219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565.44727699999999</v>
      </c>
      <c r="B970" s="1">
        <f>DATE(2011,11,17) + TIME(10,44,4)</f>
        <v>40864.447268518517</v>
      </c>
      <c r="C970">
        <v>80</v>
      </c>
      <c r="D970">
        <v>77.471435546999999</v>
      </c>
      <c r="E970">
        <v>50</v>
      </c>
      <c r="F970">
        <v>49.960597991999997</v>
      </c>
      <c r="G970">
        <v>1301.2540283000001</v>
      </c>
      <c r="H970">
        <v>1289.1274414</v>
      </c>
      <c r="I970">
        <v>1398.6159668</v>
      </c>
      <c r="J970">
        <v>1378.8371582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566.27220299999999</v>
      </c>
      <c r="B971" s="1">
        <f>DATE(2011,11,18) + TIME(6,31,58)</f>
        <v>40865.272199074076</v>
      </c>
      <c r="C971">
        <v>80</v>
      </c>
      <c r="D971">
        <v>77.365791321000003</v>
      </c>
      <c r="E971">
        <v>50</v>
      </c>
      <c r="F971">
        <v>49.960651398000003</v>
      </c>
      <c r="G971">
        <v>1301.2161865</v>
      </c>
      <c r="H971">
        <v>1289.0839844</v>
      </c>
      <c r="I971">
        <v>1398.5281981999999</v>
      </c>
      <c r="J971">
        <v>1378.755249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567.12080900000001</v>
      </c>
      <c r="B972" s="1">
        <f>DATE(2011,11,19) + TIME(2,53,57)</f>
        <v>40866.120798611111</v>
      </c>
      <c r="C972">
        <v>80</v>
      </c>
      <c r="D972">
        <v>77.258178710999999</v>
      </c>
      <c r="E972">
        <v>50</v>
      </c>
      <c r="F972">
        <v>49.960697174000003</v>
      </c>
      <c r="G972">
        <v>1301.1774902</v>
      </c>
      <c r="H972">
        <v>1289.0394286999999</v>
      </c>
      <c r="I972">
        <v>1398.4429932</v>
      </c>
      <c r="J972">
        <v>1378.6757812000001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568.00207599999999</v>
      </c>
      <c r="B973" s="1">
        <f>DATE(2011,11,20) + TIME(0,2,59)</f>
        <v>40867.002071759256</v>
      </c>
      <c r="C973">
        <v>80</v>
      </c>
      <c r="D973">
        <v>77.148078917999996</v>
      </c>
      <c r="E973">
        <v>50</v>
      </c>
      <c r="F973">
        <v>49.960742949999997</v>
      </c>
      <c r="G973">
        <v>1301.1374512</v>
      </c>
      <c r="H973">
        <v>1288.9932861</v>
      </c>
      <c r="I973">
        <v>1398.359375</v>
      </c>
      <c r="J973">
        <v>1378.5977783000001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568.92611199999999</v>
      </c>
      <c r="B974" s="1">
        <f>DATE(2011,11,20) + TIME(22,13,36)</f>
        <v>40867.926111111112</v>
      </c>
      <c r="C974">
        <v>80</v>
      </c>
      <c r="D974">
        <v>77.034690857000001</v>
      </c>
      <c r="E974">
        <v>50</v>
      </c>
      <c r="F974">
        <v>49.960788727000001</v>
      </c>
      <c r="G974">
        <v>1301.0957031</v>
      </c>
      <c r="H974">
        <v>1288.9449463000001</v>
      </c>
      <c r="I974">
        <v>1398.2764893000001</v>
      </c>
      <c r="J974">
        <v>1378.5205077999999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569.90477499999997</v>
      </c>
      <c r="B975" s="1">
        <f>DATE(2011,11,21) + TIME(21,42,52)</f>
        <v>40868.904768518521</v>
      </c>
      <c r="C975">
        <v>80</v>
      </c>
      <c r="D975">
        <v>76.916946410999998</v>
      </c>
      <c r="E975">
        <v>50</v>
      </c>
      <c r="F975">
        <v>49.960830688000001</v>
      </c>
      <c r="G975">
        <v>1301.0516356999999</v>
      </c>
      <c r="H975">
        <v>1288.8939209</v>
      </c>
      <c r="I975">
        <v>1398.1934814000001</v>
      </c>
      <c r="J975">
        <v>1378.4429932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570.90665000000001</v>
      </c>
      <c r="B976" s="1">
        <f>DATE(2011,11,22) + TIME(21,45,34)</f>
        <v>40869.906643518516</v>
      </c>
      <c r="C976">
        <v>80</v>
      </c>
      <c r="D976">
        <v>76.796112061000002</v>
      </c>
      <c r="E976">
        <v>50</v>
      </c>
      <c r="F976">
        <v>49.960872649999999</v>
      </c>
      <c r="G976">
        <v>1301.0045166</v>
      </c>
      <c r="H976">
        <v>1288.8395995999999</v>
      </c>
      <c r="I976">
        <v>1398.109375</v>
      </c>
      <c r="J976">
        <v>1378.3645019999999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571.93971799999997</v>
      </c>
      <c r="B977" s="1">
        <f>DATE(2011,11,23) + TIME(22,33,11)</f>
        <v>40870.939710648148</v>
      </c>
      <c r="C977">
        <v>80</v>
      </c>
      <c r="D977">
        <v>76.672607421999999</v>
      </c>
      <c r="E977">
        <v>50</v>
      </c>
      <c r="F977">
        <v>49.960918427000003</v>
      </c>
      <c r="G977">
        <v>1300.9559326000001</v>
      </c>
      <c r="H977">
        <v>1288.7832031</v>
      </c>
      <c r="I977">
        <v>1398.0270995999999</v>
      </c>
      <c r="J977">
        <v>1378.2877197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573.01028499999995</v>
      </c>
      <c r="B978" s="1">
        <f>DATE(2011,11,25) + TIME(0,14,48)</f>
        <v>40872.010277777779</v>
      </c>
      <c r="C978">
        <v>80</v>
      </c>
      <c r="D978">
        <v>76.546279906999999</v>
      </c>
      <c r="E978">
        <v>50</v>
      </c>
      <c r="F978">
        <v>49.960960387999997</v>
      </c>
      <c r="G978">
        <v>1300.9052733999999</v>
      </c>
      <c r="H978">
        <v>1288.7244873</v>
      </c>
      <c r="I978">
        <v>1397.9460449000001</v>
      </c>
      <c r="J978">
        <v>1378.2120361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574.10497399999997</v>
      </c>
      <c r="B979" s="1">
        <f>DATE(2011,11,26) + TIME(2,31,9)</f>
        <v>40873.10496527778</v>
      </c>
      <c r="C979">
        <v>80</v>
      </c>
      <c r="D979">
        <v>76.417762756000002</v>
      </c>
      <c r="E979">
        <v>50</v>
      </c>
      <c r="F979">
        <v>49.961006165000001</v>
      </c>
      <c r="G979">
        <v>1300.8522949000001</v>
      </c>
      <c r="H979">
        <v>1288.6630858999999</v>
      </c>
      <c r="I979">
        <v>1397.8657227000001</v>
      </c>
      <c r="J979">
        <v>1378.1369629000001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575.227352</v>
      </c>
      <c r="B980" s="1">
        <f>DATE(2011,11,27) + TIME(5,27,23)</f>
        <v>40874.227349537039</v>
      </c>
      <c r="C980">
        <v>80</v>
      </c>
      <c r="D980">
        <v>76.287345885999997</v>
      </c>
      <c r="E980">
        <v>50</v>
      </c>
      <c r="F980">
        <v>49.961051941000001</v>
      </c>
      <c r="G980">
        <v>1300.7976074000001</v>
      </c>
      <c r="H980">
        <v>1288.5993652</v>
      </c>
      <c r="I980">
        <v>1397.7869873</v>
      </c>
      <c r="J980">
        <v>1378.0633545000001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576.38524600000005</v>
      </c>
      <c r="B981" s="1">
        <f>DATE(2011,11,28) + TIME(9,14,45)</f>
        <v>40875.385243055556</v>
      </c>
      <c r="C981">
        <v>80</v>
      </c>
      <c r="D981">
        <v>76.154769896999994</v>
      </c>
      <c r="E981">
        <v>50</v>
      </c>
      <c r="F981">
        <v>49.961097717000001</v>
      </c>
      <c r="G981">
        <v>1300.7408447</v>
      </c>
      <c r="H981">
        <v>1288.5330810999999</v>
      </c>
      <c r="I981">
        <v>1397.7097168</v>
      </c>
      <c r="J981">
        <v>1377.9909668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577.59096299999999</v>
      </c>
      <c r="B982" s="1">
        <f>DATE(2011,11,29) + TIME(14,10,59)</f>
        <v>40876.590960648151</v>
      </c>
      <c r="C982">
        <v>80</v>
      </c>
      <c r="D982">
        <v>76.019279479999994</v>
      </c>
      <c r="E982">
        <v>50</v>
      </c>
      <c r="F982">
        <v>49.961147308000001</v>
      </c>
      <c r="G982">
        <v>1300.6816406</v>
      </c>
      <c r="H982">
        <v>1288.4638672000001</v>
      </c>
      <c r="I982">
        <v>1397.6333007999999</v>
      </c>
      <c r="J982">
        <v>1377.9194336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578.85857399999998</v>
      </c>
      <c r="B983" s="1">
        <f>DATE(2011,11,30) + TIME(20,36,20)</f>
        <v>40877.858564814815</v>
      </c>
      <c r="C983">
        <v>80</v>
      </c>
      <c r="D983">
        <v>75.879760742000002</v>
      </c>
      <c r="E983">
        <v>50</v>
      </c>
      <c r="F983">
        <v>49.961200714</v>
      </c>
      <c r="G983">
        <v>1300.6191406</v>
      </c>
      <c r="H983">
        <v>1288.390625</v>
      </c>
      <c r="I983">
        <v>1397.5568848</v>
      </c>
      <c r="J983">
        <v>1377.8477783000001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579</v>
      </c>
      <c r="B984" s="1">
        <f>DATE(2011,12,1) + TIME(0,0,0)</f>
        <v>40878</v>
      </c>
      <c r="C984">
        <v>80</v>
      </c>
      <c r="D984">
        <v>75.846694946</v>
      </c>
      <c r="E984">
        <v>50</v>
      </c>
      <c r="F984">
        <v>49.961196899000001</v>
      </c>
      <c r="G984">
        <v>1300.5509033000001</v>
      </c>
      <c r="H984">
        <v>1288.3216553</v>
      </c>
      <c r="I984">
        <v>1397.4801024999999</v>
      </c>
      <c r="J984">
        <v>1377.776001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580.31595300000004</v>
      </c>
      <c r="B985" s="1">
        <f>DATE(2011,12,2) + TIME(7,34,58)</f>
        <v>40879.315949074073</v>
      </c>
      <c r="C985">
        <v>80</v>
      </c>
      <c r="D985">
        <v>75.713424683</v>
      </c>
      <c r="E985">
        <v>50</v>
      </c>
      <c r="F985">
        <v>49.961261749000002</v>
      </c>
      <c r="G985">
        <v>1300.5444336</v>
      </c>
      <c r="H985">
        <v>1288.3022461</v>
      </c>
      <c r="I985">
        <v>1397.4714355000001</v>
      </c>
      <c r="J985">
        <v>1377.7674560999999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581.64257099999998</v>
      </c>
      <c r="B986" s="1">
        <f>DATE(2011,12,3) + TIME(15,25,18)</f>
        <v>40880.642569444448</v>
      </c>
      <c r="C986">
        <v>80</v>
      </c>
      <c r="D986">
        <v>75.571998596</v>
      </c>
      <c r="E986">
        <v>50</v>
      </c>
      <c r="F986">
        <v>49.961315155000001</v>
      </c>
      <c r="G986">
        <v>1300.4744873</v>
      </c>
      <c r="H986">
        <v>1288.2205810999999</v>
      </c>
      <c r="I986">
        <v>1397.3951416</v>
      </c>
      <c r="J986">
        <v>1377.6958007999999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582.96919000000003</v>
      </c>
      <c r="B987" s="1">
        <f>DATE(2011,12,4) + TIME(23,15,37)</f>
        <v>40881.969178240739</v>
      </c>
      <c r="C987">
        <v>80</v>
      </c>
      <c r="D987">
        <v>75.428153992000006</v>
      </c>
      <c r="E987">
        <v>50</v>
      </c>
      <c r="F987">
        <v>49.961372375000003</v>
      </c>
      <c r="G987">
        <v>1300.4024658000001</v>
      </c>
      <c r="H987">
        <v>1288.1358643000001</v>
      </c>
      <c r="I987">
        <v>1397.3211670000001</v>
      </c>
      <c r="J987">
        <v>1377.6260986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584.35612200000003</v>
      </c>
      <c r="B988" s="1">
        <f>DATE(2011,12,6) + TIME(8,32,48)</f>
        <v>40883.356111111112</v>
      </c>
      <c r="C988">
        <v>80</v>
      </c>
      <c r="D988">
        <v>75.281860351999995</v>
      </c>
      <c r="E988">
        <v>50</v>
      </c>
      <c r="F988">
        <v>49.961429596000002</v>
      </c>
      <c r="G988">
        <v>1300.3291016000001</v>
      </c>
      <c r="H988">
        <v>1288.0490723</v>
      </c>
      <c r="I988">
        <v>1397.2501221</v>
      </c>
      <c r="J988">
        <v>1377.559082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585.79411100000004</v>
      </c>
      <c r="B989" s="1">
        <f>DATE(2011,12,7) + TIME(19,3,31)</f>
        <v>40884.794108796297</v>
      </c>
      <c r="C989">
        <v>80</v>
      </c>
      <c r="D989">
        <v>75.132232665999993</v>
      </c>
      <c r="E989">
        <v>50</v>
      </c>
      <c r="F989">
        <v>49.961490630999997</v>
      </c>
      <c r="G989">
        <v>1300.2512207</v>
      </c>
      <c r="H989">
        <v>1287.9566649999999</v>
      </c>
      <c r="I989">
        <v>1397.1785889</v>
      </c>
      <c r="J989">
        <v>1377.4915771000001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587.30054099999995</v>
      </c>
      <c r="B990" s="1">
        <f>DATE(2011,12,9) + TIME(7,12,46)</f>
        <v>40886.300532407404</v>
      </c>
      <c r="C990">
        <v>80</v>
      </c>
      <c r="D990">
        <v>74.978569031000006</v>
      </c>
      <c r="E990">
        <v>50</v>
      </c>
      <c r="F990">
        <v>49.961555480999998</v>
      </c>
      <c r="G990">
        <v>1300.1690673999999</v>
      </c>
      <c r="H990">
        <v>1287.8588867000001</v>
      </c>
      <c r="I990">
        <v>1397.1071777</v>
      </c>
      <c r="J990">
        <v>1377.4239502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588.88855699999999</v>
      </c>
      <c r="B991" s="1">
        <f>DATE(2011,12,10) + TIME(21,19,31)</f>
        <v>40887.888553240744</v>
      </c>
      <c r="C991">
        <v>80</v>
      </c>
      <c r="D991">
        <v>74.819618224999999</v>
      </c>
      <c r="E991">
        <v>50</v>
      </c>
      <c r="F991">
        <v>49.961620330999999</v>
      </c>
      <c r="G991">
        <v>1300.0812988</v>
      </c>
      <c r="H991">
        <v>1287.7541504000001</v>
      </c>
      <c r="I991">
        <v>1397.0351562000001</v>
      </c>
      <c r="J991">
        <v>1377.3557129000001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590.48713299999997</v>
      </c>
      <c r="B992" s="1">
        <f>DATE(2011,12,12) + TIME(11,41,28)</f>
        <v>40889.487129629626</v>
      </c>
      <c r="C992">
        <v>80</v>
      </c>
      <c r="D992">
        <v>74.657318114999995</v>
      </c>
      <c r="E992">
        <v>50</v>
      </c>
      <c r="F992">
        <v>49.961688995000003</v>
      </c>
      <c r="G992">
        <v>1299.9869385</v>
      </c>
      <c r="H992">
        <v>1287.6414795000001</v>
      </c>
      <c r="I992">
        <v>1396.9621582</v>
      </c>
      <c r="J992">
        <v>1377.2863769999999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592.08570799999995</v>
      </c>
      <c r="B993" s="1">
        <f>DATE(2011,12,14) + TIME(2,3,25)</f>
        <v>40891.085706018515</v>
      </c>
      <c r="C993">
        <v>80</v>
      </c>
      <c r="D993">
        <v>74.494812011999997</v>
      </c>
      <c r="E993">
        <v>50</v>
      </c>
      <c r="F993">
        <v>49.961757660000004</v>
      </c>
      <c r="G993">
        <v>1299.8896483999999</v>
      </c>
      <c r="H993">
        <v>1287.5246582</v>
      </c>
      <c r="I993">
        <v>1396.8913574000001</v>
      </c>
      <c r="J993">
        <v>1377.2189940999999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593.74617499999999</v>
      </c>
      <c r="B994" s="1">
        <f>DATE(2011,12,15) + TIME(17,54,29)</f>
        <v>40892.746168981481</v>
      </c>
      <c r="C994">
        <v>80</v>
      </c>
      <c r="D994">
        <v>74.331298828000001</v>
      </c>
      <c r="E994">
        <v>50</v>
      </c>
      <c r="F994">
        <v>49.961830139</v>
      </c>
      <c r="G994">
        <v>1299.7902832</v>
      </c>
      <c r="H994">
        <v>1287.4045410000001</v>
      </c>
      <c r="I994">
        <v>1396.8232422000001</v>
      </c>
      <c r="J994">
        <v>1377.1539307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595.46368500000005</v>
      </c>
      <c r="B995" s="1">
        <f>DATE(2011,12,17) + TIME(11,7,42)</f>
        <v>40894.463680555556</v>
      </c>
      <c r="C995">
        <v>80</v>
      </c>
      <c r="D995">
        <v>74.164932250999996</v>
      </c>
      <c r="E995">
        <v>50</v>
      </c>
      <c r="F995">
        <v>49.961902618000003</v>
      </c>
      <c r="G995">
        <v>1299.6848144999999</v>
      </c>
      <c r="H995">
        <v>1287.2768555</v>
      </c>
      <c r="I995">
        <v>1396.7550048999999</v>
      </c>
      <c r="J995">
        <v>1377.088501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597.23921600000006</v>
      </c>
      <c r="B996" s="1">
        <f>DATE(2011,12,19) + TIME(5,44,28)</f>
        <v>40896.239212962966</v>
      </c>
      <c r="C996">
        <v>80</v>
      </c>
      <c r="D996">
        <v>73.995178222999996</v>
      </c>
      <c r="E996">
        <v>50</v>
      </c>
      <c r="F996">
        <v>49.961978911999999</v>
      </c>
      <c r="G996">
        <v>1299.5732422000001</v>
      </c>
      <c r="H996">
        <v>1287.1412353999999</v>
      </c>
      <c r="I996">
        <v>1396.6867675999999</v>
      </c>
      <c r="J996">
        <v>1377.0231934000001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599.08539599999995</v>
      </c>
      <c r="B997" s="1">
        <f>DATE(2011,12,21) + TIME(2,2,58)</f>
        <v>40898.085393518515</v>
      </c>
      <c r="C997">
        <v>80</v>
      </c>
      <c r="D997">
        <v>73.821464539000004</v>
      </c>
      <c r="E997">
        <v>50</v>
      </c>
      <c r="F997">
        <v>49.962059021000002</v>
      </c>
      <c r="G997">
        <v>1299.4550781</v>
      </c>
      <c r="H997">
        <v>1286.9970702999999</v>
      </c>
      <c r="I997">
        <v>1396.6188964999999</v>
      </c>
      <c r="J997">
        <v>1376.9577637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600.94635300000004</v>
      </c>
      <c r="B998" s="1">
        <f>DATE(2011,12,22) + TIME(22,42,44)</f>
        <v>40899.946342592593</v>
      </c>
      <c r="C998">
        <v>80</v>
      </c>
      <c r="D998">
        <v>73.644920349000003</v>
      </c>
      <c r="E998">
        <v>50</v>
      </c>
      <c r="F998">
        <v>49.962139129999997</v>
      </c>
      <c r="G998">
        <v>1299.3292236</v>
      </c>
      <c r="H998">
        <v>1286.8431396000001</v>
      </c>
      <c r="I998">
        <v>1396.5506591999999</v>
      </c>
      <c r="J998">
        <v>1376.8918457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602.80731000000003</v>
      </c>
      <c r="B999" s="1">
        <f>DATE(2011,12,24) + TIME(19,22,31)</f>
        <v>40901.807303240741</v>
      </c>
      <c r="C999">
        <v>80</v>
      </c>
      <c r="D999">
        <v>73.468208313000005</v>
      </c>
      <c r="E999">
        <v>50</v>
      </c>
      <c r="F999">
        <v>49.962219238000003</v>
      </c>
      <c r="G999">
        <v>1299.1989745999999</v>
      </c>
      <c r="H999">
        <v>1286.6829834</v>
      </c>
      <c r="I999">
        <v>1396.4842529</v>
      </c>
      <c r="J999">
        <v>1376.8276367000001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604.753424</v>
      </c>
      <c r="B1000" s="1">
        <f>DATE(2011,12,26) + TIME(18,4,55)</f>
        <v>40903.75341435185</v>
      </c>
      <c r="C1000">
        <v>80</v>
      </c>
      <c r="D1000">
        <v>73.290023804</v>
      </c>
      <c r="E1000">
        <v>50</v>
      </c>
      <c r="F1000">
        <v>49.962303161999998</v>
      </c>
      <c r="G1000">
        <v>1299.0651855000001</v>
      </c>
      <c r="H1000">
        <v>1286.5172118999999</v>
      </c>
      <c r="I1000">
        <v>1396.4201660000001</v>
      </c>
      <c r="J1000">
        <v>1376.7652588000001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606.69953699999996</v>
      </c>
      <c r="B1001" s="1">
        <f>DATE(2011,12,28) + TIME(16,47,20)</f>
        <v>40905.699537037035</v>
      </c>
      <c r="C1001">
        <v>80</v>
      </c>
      <c r="D1001">
        <v>73.109558105000005</v>
      </c>
      <c r="E1001">
        <v>50</v>
      </c>
      <c r="F1001">
        <v>49.962383269999997</v>
      </c>
      <c r="G1001">
        <v>1298.9219971</v>
      </c>
      <c r="H1001">
        <v>1286.3398437999999</v>
      </c>
      <c r="I1001">
        <v>1396.3553466999999</v>
      </c>
      <c r="J1001">
        <v>1376.7020264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608.77525000000003</v>
      </c>
      <c r="B1002" s="1">
        <f>DATE(2011,12,30) + TIME(18,36,21)</f>
        <v>40907.775243055556</v>
      </c>
      <c r="C1002">
        <v>80</v>
      </c>
      <c r="D1002">
        <v>72.925727843999994</v>
      </c>
      <c r="E1002">
        <v>50</v>
      </c>
      <c r="F1002">
        <v>49.962474823000001</v>
      </c>
      <c r="G1002">
        <v>1298.7746582</v>
      </c>
      <c r="H1002">
        <v>1286.1556396000001</v>
      </c>
      <c r="I1002">
        <v>1396.2926024999999</v>
      </c>
      <c r="J1002">
        <v>1376.6407471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610</v>
      </c>
      <c r="B1003" s="1">
        <f>DATE(2012,1,1) + TIME(0,0,0)</f>
        <v>40909</v>
      </c>
      <c r="C1003">
        <v>80</v>
      </c>
      <c r="D1003">
        <v>72.769805907999995</v>
      </c>
      <c r="E1003">
        <v>50</v>
      </c>
      <c r="F1003">
        <v>49.962524414000001</v>
      </c>
      <c r="G1003">
        <v>1298.6151123</v>
      </c>
      <c r="H1003">
        <v>1285.9609375</v>
      </c>
      <c r="I1003">
        <v>1396.2272949000001</v>
      </c>
      <c r="J1003">
        <v>1376.5767822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612.10334999999998</v>
      </c>
      <c r="B1004" s="1">
        <f>DATE(2012,1,3) + TIME(2,28,49)</f>
        <v>40911.103344907409</v>
      </c>
      <c r="C1004">
        <v>80</v>
      </c>
      <c r="D1004">
        <v>72.611175536999994</v>
      </c>
      <c r="E1004">
        <v>50</v>
      </c>
      <c r="F1004">
        <v>49.962619781000001</v>
      </c>
      <c r="G1004">
        <v>1298.5119629000001</v>
      </c>
      <c r="H1004">
        <v>1285.8237305</v>
      </c>
      <c r="I1004">
        <v>1396.1907959</v>
      </c>
      <c r="J1004">
        <v>1376.5402832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614.262519</v>
      </c>
      <c r="B1005" s="1">
        <f>DATE(2012,1,5) + TIME(6,18,1)</f>
        <v>40913.262511574074</v>
      </c>
      <c r="C1005">
        <v>80</v>
      </c>
      <c r="D1005">
        <v>72.428031920999999</v>
      </c>
      <c r="E1005">
        <v>50</v>
      </c>
      <c r="F1005">
        <v>49.962711333999998</v>
      </c>
      <c r="G1005">
        <v>1298.3449707</v>
      </c>
      <c r="H1005">
        <v>1285.6148682</v>
      </c>
      <c r="I1005">
        <v>1396.1285399999999</v>
      </c>
      <c r="J1005">
        <v>1376.4790039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616.47412999999995</v>
      </c>
      <c r="B1006" s="1">
        <f>DATE(2012,1,7) + TIME(11,22,44)</f>
        <v>40915.474120370367</v>
      </c>
      <c r="C1006">
        <v>80</v>
      </c>
      <c r="D1006">
        <v>72.234603882000002</v>
      </c>
      <c r="E1006">
        <v>50</v>
      </c>
      <c r="F1006">
        <v>49.962806702000002</v>
      </c>
      <c r="G1006">
        <v>1298.1663818</v>
      </c>
      <c r="H1006">
        <v>1285.3890381000001</v>
      </c>
      <c r="I1006">
        <v>1396.0665283000001</v>
      </c>
      <c r="J1006">
        <v>1376.4176024999999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618.73371399999996</v>
      </c>
      <c r="B1007" s="1">
        <f>DATE(2012,1,9) + TIME(17,36,32)</f>
        <v>40917.733703703707</v>
      </c>
      <c r="C1007">
        <v>80</v>
      </c>
      <c r="D1007">
        <v>72.035278320000003</v>
      </c>
      <c r="E1007">
        <v>50</v>
      </c>
      <c r="F1007">
        <v>49.962902069000002</v>
      </c>
      <c r="G1007">
        <v>1297.9777832</v>
      </c>
      <c r="H1007">
        <v>1285.1491699000001</v>
      </c>
      <c r="I1007">
        <v>1396.0051269999999</v>
      </c>
      <c r="J1007">
        <v>1376.3564452999999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620.99329799999998</v>
      </c>
      <c r="B1008" s="1">
        <f>DATE(2012,1,11) + TIME(23,50,20)</f>
        <v>40919.993287037039</v>
      </c>
      <c r="C1008">
        <v>80</v>
      </c>
      <c r="D1008">
        <v>71.832519531000003</v>
      </c>
      <c r="E1008">
        <v>50</v>
      </c>
      <c r="F1008">
        <v>49.963001251000001</v>
      </c>
      <c r="G1008">
        <v>1297.7797852000001</v>
      </c>
      <c r="H1008">
        <v>1284.8959961</v>
      </c>
      <c r="I1008">
        <v>1395.9442139</v>
      </c>
      <c r="J1008">
        <v>1376.2955322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623.252882</v>
      </c>
      <c r="B1009" s="1">
        <f>DATE(2012,1,14) + TIME(6,4,8)</f>
        <v>40922.252870370372</v>
      </c>
      <c r="C1009">
        <v>80</v>
      </c>
      <c r="D1009">
        <v>71.628684997999997</v>
      </c>
      <c r="E1009">
        <v>50</v>
      </c>
      <c r="F1009">
        <v>49.963096618999998</v>
      </c>
      <c r="G1009">
        <v>1297.5759277</v>
      </c>
      <c r="H1009">
        <v>1284.6341553</v>
      </c>
      <c r="I1009">
        <v>1395.8851318</v>
      </c>
      <c r="J1009">
        <v>1376.2362060999999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625.65509299999997</v>
      </c>
      <c r="B1010" s="1">
        <f>DATE(2012,1,16) + TIME(15,43,20)</f>
        <v>40924.655092592591</v>
      </c>
      <c r="C1010">
        <v>80</v>
      </c>
      <c r="D1010">
        <v>71.420692443999997</v>
      </c>
      <c r="E1010">
        <v>50</v>
      </c>
      <c r="F1010">
        <v>49.963199615000001</v>
      </c>
      <c r="G1010">
        <v>1297.3664550999999</v>
      </c>
      <c r="H1010">
        <v>1284.3629149999999</v>
      </c>
      <c r="I1010">
        <v>1395.8277588000001</v>
      </c>
      <c r="J1010">
        <v>1376.1783447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628.085509</v>
      </c>
      <c r="B1011" s="1">
        <f>DATE(2012,1,19) + TIME(2,3,7)</f>
        <v>40927.085497685184</v>
      </c>
      <c r="C1011">
        <v>80</v>
      </c>
      <c r="D1011">
        <v>71.204330443999993</v>
      </c>
      <c r="E1011">
        <v>50</v>
      </c>
      <c r="F1011">
        <v>49.963302612</v>
      </c>
      <c r="G1011">
        <v>1297.1394043</v>
      </c>
      <c r="H1011">
        <v>1284.0689697</v>
      </c>
      <c r="I1011">
        <v>1395.7685547000001</v>
      </c>
      <c r="J1011">
        <v>1376.1184082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630.56636700000001</v>
      </c>
      <c r="B1012" s="1">
        <f>DATE(2012,1,21) + TIME(13,35,34)</f>
        <v>40929.566365740742</v>
      </c>
      <c r="C1012">
        <v>80</v>
      </c>
      <c r="D1012">
        <v>70.982269286999994</v>
      </c>
      <c r="E1012">
        <v>50</v>
      </c>
      <c r="F1012">
        <v>49.963405608999999</v>
      </c>
      <c r="G1012">
        <v>1296.902832</v>
      </c>
      <c r="H1012">
        <v>1283.7608643000001</v>
      </c>
      <c r="I1012">
        <v>1395.7104492000001</v>
      </c>
      <c r="J1012">
        <v>1376.0593262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633.11097600000005</v>
      </c>
      <c r="B1013" s="1">
        <f>DATE(2012,1,24) + TIME(2,39,48)</f>
        <v>40932.110972222225</v>
      </c>
      <c r="C1013">
        <v>80</v>
      </c>
      <c r="D1013">
        <v>70.753593445000007</v>
      </c>
      <c r="E1013">
        <v>50</v>
      </c>
      <c r="F1013">
        <v>49.963512420999997</v>
      </c>
      <c r="G1013">
        <v>1296.6551514</v>
      </c>
      <c r="H1013">
        <v>1283.4366454999999</v>
      </c>
      <c r="I1013">
        <v>1395.6527100000001</v>
      </c>
      <c r="J1013">
        <v>1376.0003661999999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635.67564700000003</v>
      </c>
      <c r="B1014" s="1">
        <f>DATE(2012,1,26) + TIME(16,12,55)</f>
        <v>40934.675636574073</v>
      </c>
      <c r="C1014">
        <v>80</v>
      </c>
      <c r="D1014">
        <v>70.517997742000006</v>
      </c>
      <c r="E1014">
        <v>50</v>
      </c>
      <c r="F1014">
        <v>49.963623046999999</v>
      </c>
      <c r="G1014">
        <v>1296.3950195</v>
      </c>
      <c r="H1014">
        <v>1283.0948486</v>
      </c>
      <c r="I1014">
        <v>1395.5950928</v>
      </c>
      <c r="J1014">
        <v>1375.9414062000001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638.240319</v>
      </c>
      <c r="B1015" s="1">
        <f>DATE(2012,1,29) + TIME(5,46,3)</f>
        <v>40937.240312499998</v>
      </c>
      <c r="C1015">
        <v>80</v>
      </c>
      <c r="D1015">
        <v>70.277420043999996</v>
      </c>
      <c r="E1015">
        <v>50</v>
      </c>
      <c r="F1015">
        <v>49.963729858000001</v>
      </c>
      <c r="G1015">
        <v>1296.1258545000001</v>
      </c>
      <c r="H1015">
        <v>1282.7395019999999</v>
      </c>
      <c r="I1015">
        <v>1395.5385742000001</v>
      </c>
      <c r="J1015">
        <v>1375.8831786999999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640.85963800000002</v>
      </c>
      <c r="B1016" s="1">
        <f>DATE(2012,1,31) + TIME(20,37,52)</f>
        <v>40939.859629629631</v>
      </c>
      <c r="C1016">
        <v>80</v>
      </c>
      <c r="D1016">
        <v>70.031661987000007</v>
      </c>
      <c r="E1016">
        <v>50</v>
      </c>
      <c r="F1016">
        <v>49.963836669999999</v>
      </c>
      <c r="G1016">
        <v>1295.8497314000001</v>
      </c>
      <c r="H1016">
        <v>1282.3730469</v>
      </c>
      <c r="I1016">
        <v>1395.4836425999999</v>
      </c>
      <c r="J1016">
        <v>1375.8264160000001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641</v>
      </c>
      <c r="B1017" s="1">
        <f>DATE(2012,2,1) + TIME(0,0,0)</f>
        <v>40940</v>
      </c>
      <c r="C1017">
        <v>80</v>
      </c>
      <c r="D1017">
        <v>69.984832764000004</v>
      </c>
      <c r="E1017">
        <v>50</v>
      </c>
      <c r="F1017">
        <v>49.963836669999999</v>
      </c>
      <c r="G1017">
        <v>1295.5913086</v>
      </c>
      <c r="H1017">
        <v>1282.0678711</v>
      </c>
      <c r="I1017">
        <v>1395.4290771000001</v>
      </c>
      <c r="J1017">
        <v>1375.7717285000001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643.64941999999996</v>
      </c>
      <c r="B1018" s="1">
        <f>DATE(2012,2,3) + TIME(15,35,9)</f>
        <v>40942.649409722224</v>
      </c>
      <c r="C1018">
        <v>80</v>
      </c>
      <c r="D1018">
        <v>69.755805968999994</v>
      </c>
      <c r="E1018">
        <v>50</v>
      </c>
      <c r="F1018">
        <v>49.963954926</v>
      </c>
      <c r="G1018">
        <v>1295.5393065999999</v>
      </c>
      <c r="H1018">
        <v>1281.9573975000001</v>
      </c>
      <c r="I1018">
        <v>1395.4259033000001</v>
      </c>
      <c r="J1018">
        <v>1375.7662353999999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646.29884000000004</v>
      </c>
      <c r="B1019" s="1">
        <f>DATE(2012,2,6) + TIME(7,10,19)</f>
        <v>40945.298831018517</v>
      </c>
      <c r="C1019">
        <v>80</v>
      </c>
      <c r="D1019">
        <v>69.500747681000007</v>
      </c>
      <c r="E1019">
        <v>50</v>
      </c>
      <c r="F1019">
        <v>49.964061737000002</v>
      </c>
      <c r="G1019">
        <v>1295.2464600000001</v>
      </c>
      <c r="H1019">
        <v>1281.5671387</v>
      </c>
      <c r="I1019">
        <v>1395.3720702999999</v>
      </c>
      <c r="J1019">
        <v>1375.7103271000001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648.94826</v>
      </c>
      <c r="B1020" s="1">
        <f>DATE(2012,2,8) + TIME(22,45,29)</f>
        <v>40947.948252314818</v>
      </c>
      <c r="C1020">
        <v>80</v>
      </c>
      <c r="D1020">
        <v>69.234901428000001</v>
      </c>
      <c r="E1020">
        <v>50</v>
      </c>
      <c r="F1020">
        <v>49.964172363000003</v>
      </c>
      <c r="G1020">
        <v>1294.9426269999999</v>
      </c>
      <c r="H1020">
        <v>1281.1591797000001</v>
      </c>
      <c r="I1020">
        <v>1395.3193358999999</v>
      </c>
      <c r="J1020">
        <v>1375.6553954999999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651.69338600000003</v>
      </c>
      <c r="B1021" s="1">
        <f>DATE(2012,2,11) + TIME(16,38,28)</f>
        <v>40950.693379629629</v>
      </c>
      <c r="C1021">
        <v>80</v>
      </c>
      <c r="D1021">
        <v>68.959312439000001</v>
      </c>
      <c r="E1021">
        <v>50</v>
      </c>
      <c r="F1021">
        <v>49.964282990000001</v>
      </c>
      <c r="G1021">
        <v>1294.6313477000001</v>
      </c>
      <c r="H1021">
        <v>1280.7385254000001</v>
      </c>
      <c r="I1021">
        <v>1395.2679443</v>
      </c>
      <c r="J1021">
        <v>1375.6014404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654.46288500000003</v>
      </c>
      <c r="B1022" s="1">
        <f>DATE(2012,2,14) + TIME(11,6,33)</f>
        <v>40953.462881944448</v>
      </c>
      <c r="C1022">
        <v>80</v>
      </c>
      <c r="D1022">
        <v>68.670181274000001</v>
      </c>
      <c r="E1022">
        <v>50</v>
      </c>
      <c r="F1022">
        <v>49.964393616000002</v>
      </c>
      <c r="G1022">
        <v>1294.3039550999999</v>
      </c>
      <c r="H1022">
        <v>1280.2950439000001</v>
      </c>
      <c r="I1022">
        <v>1395.2156981999999</v>
      </c>
      <c r="J1022">
        <v>1375.5466309000001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657.23238300000003</v>
      </c>
      <c r="B1023" s="1">
        <f>DATE(2012,2,17) + TIME(5,34,37)</f>
        <v>40956.232372685183</v>
      </c>
      <c r="C1023">
        <v>80</v>
      </c>
      <c r="D1023">
        <v>68.370368958</v>
      </c>
      <c r="E1023">
        <v>50</v>
      </c>
      <c r="F1023">
        <v>49.964508057000003</v>
      </c>
      <c r="G1023">
        <v>1293.9665527</v>
      </c>
      <c r="H1023">
        <v>1279.8359375</v>
      </c>
      <c r="I1023">
        <v>1395.1641846</v>
      </c>
      <c r="J1023">
        <v>1375.4924315999999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660.00188100000003</v>
      </c>
      <c r="B1024" s="1">
        <f>DATE(2012,2,20) + TIME(0,2,42)</f>
        <v>40959.001875000002</v>
      </c>
      <c r="C1024">
        <v>80</v>
      </c>
      <c r="D1024">
        <v>68.061477660999998</v>
      </c>
      <c r="E1024">
        <v>50</v>
      </c>
      <c r="F1024">
        <v>49.964618682999998</v>
      </c>
      <c r="G1024">
        <v>1293.6225586</v>
      </c>
      <c r="H1024">
        <v>1279.3657227000001</v>
      </c>
      <c r="I1024">
        <v>1395.1136475000001</v>
      </c>
      <c r="J1024">
        <v>1375.4390868999999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662.77137900000002</v>
      </c>
      <c r="B1025" s="1">
        <f>DATE(2012,2,22) + TIME(18,30,47)</f>
        <v>40961.771377314813</v>
      </c>
      <c r="C1025">
        <v>80</v>
      </c>
      <c r="D1025">
        <v>67.743469238000003</v>
      </c>
      <c r="E1025">
        <v>50</v>
      </c>
      <c r="F1025">
        <v>49.964729308999999</v>
      </c>
      <c r="G1025">
        <v>1293.2727050999999</v>
      </c>
      <c r="H1025">
        <v>1278.8852539</v>
      </c>
      <c r="I1025">
        <v>1395.0642089999999</v>
      </c>
      <c r="J1025">
        <v>1375.3865966999999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665.54087700000002</v>
      </c>
      <c r="B1026" s="1">
        <f>DATE(2012,2,25) + TIME(12,58,51)</f>
        <v>40964.540868055556</v>
      </c>
      <c r="C1026">
        <v>80</v>
      </c>
      <c r="D1026">
        <v>67.415962218999994</v>
      </c>
      <c r="E1026">
        <v>50</v>
      </c>
      <c r="F1026">
        <v>49.964836120999998</v>
      </c>
      <c r="G1026">
        <v>1292.9173584</v>
      </c>
      <c r="H1026">
        <v>1278.3952637</v>
      </c>
      <c r="I1026">
        <v>1395.015625</v>
      </c>
      <c r="J1026">
        <v>1375.3350829999999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668.31037500000002</v>
      </c>
      <c r="B1027" s="1">
        <f>DATE(2012,2,28) + TIME(7,26,56)</f>
        <v>40967.310370370367</v>
      </c>
      <c r="C1027">
        <v>80</v>
      </c>
      <c r="D1027">
        <v>67.078529357999997</v>
      </c>
      <c r="E1027">
        <v>50</v>
      </c>
      <c r="F1027">
        <v>49.964946746999999</v>
      </c>
      <c r="G1027">
        <v>1292.5568848</v>
      </c>
      <c r="H1027">
        <v>1277.8959961</v>
      </c>
      <c r="I1027">
        <v>1394.9677733999999</v>
      </c>
      <c r="J1027">
        <v>1375.2843018000001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670</v>
      </c>
      <c r="B1028" s="1">
        <f>DATE(2012,3,1) + TIME(0,0,0)</f>
        <v>40969</v>
      </c>
      <c r="C1028">
        <v>80</v>
      </c>
      <c r="D1028">
        <v>66.775581360000004</v>
      </c>
      <c r="E1028">
        <v>50</v>
      </c>
      <c r="F1028">
        <v>49.965011597</v>
      </c>
      <c r="G1028">
        <v>1292.1965332</v>
      </c>
      <c r="H1028">
        <v>1277.4055175999999</v>
      </c>
      <c r="I1028">
        <v>1394.9202881000001</v>
      </c>
      <c r="J1028">
        <v>1375.2341309000001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672.769498</v>
      </c>
      <c r="B1029" s="1">
        <f>DATE(2012,3,3) + TIME(18,28,4)</f>
        <v>40971.769490740742</v>
      </c>
      <c r="C1029">
        <v>80</v>
      </c>
      <c r="D1029">
        <v>66.490852356000005</v>
      </c>
      <c r="E1029">
        <v>50</v>
      </c>
      <c r="F1029">
        <v>49.965118408000002</v>
      </c>
      <c r="G1029">
        <v>1291.9503173999999</v>
      </c>
      <c r="H1029">
        <v>1277.0450439000001</v>
      </c>
      <c r="I1029">
        <v>1394.8924560999999</v>
      </c>
      <c r="J1029">
        <v>1375.2036132999999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675.73233300000004</v>
      </c>
      <c r="B1030" s="1">
        <f>DATE(2012,3,6) + TIME(17,34,33)</f>
        <v>40974.73232638889</v>
      </c>
      <c r="C1030">
        <v>80</v>
      </c>
      <c r="D1030">
        <v>66.136489867999998</v>
      </c>
      <c r="E1030">
        <v>50</v>
      </c>
      <c r="F1030">
        <v>49.965232849000003</v>
      </c>
      <c r="G1030">
        <v>1291.5898437999999</v>
      </c>
      <c r="H1030">
        <v>1276.5438231999999</v>
      </c>
      <c r="I1030">
        <v>1394.8466797000001</v>
      </c>
      <c r="J1030">
        <v>1375.1553954999999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678.69516699999997</v>
      </c>
      <c r="B1031" s="1">
        <f>DATE(2012,3,9) + TIME(16,41,2)</f>
        <v>40977.695162037038</v>
      </c>
      <c r="C1031">
        <v>80</v>
      </c>
      <c r="D1031">
        <v>65.741691588999998</v>
      </c>
      <c r="E1031">
        <v>50</v>
      </c>
      <c r="F1031">
        <v>49.965343474999997</v>
      </c>
      <c r="G1031">
        <v>1291.1933594</v>
      </c>
      <c r="H1031">
        <v>1275.9886475000001</v>
      </c>
      <c r="I1031">
        <v>1394.7982178</v>
      </c>
      <c r="J1031">
        <v>1375.104126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681.65800200000001</v>
      </c>
      <c r="B1032" s="1">
        <f>DATE(2012,3,12) + TIME(15,47,31)</f>
        <v>40980.657997685186</v>
      </c>
      <c r="C1032">
        <v>80</v>
      </c>
      <c r="D1032">
        <v>65.327827454000001</v>
      </c>
      <c r="E1032">
        <v>50</v>
      </c>
      <c r="F1032">
        <v>49.965454102000002</v>
      </c>
      <c r="G1032">
        <v>1290.7879639</v>
      </c>
      <c r="H1032">
        <v>1275.416626</v>
      </c>
      <c r="I1032">
        <v>1394.7503661999999</v>
      </c>
      <c r="J1032">
        <v>1375.0533447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684.62083600000005</v>
      </c>
      <c r="B1033" s="1">
        <f>DATE(2012,3,15) + TIME(14,54,0)</f>
        <v>40983.620833333334</v>
      </c>
      <c r="C1033">
        <v>80</v>
      </c>
      <c r="D1033">
        <v>64.899497986</v>
      </c>
      <c r="E1033">
        <v>50</v>
      </c>
      <c r="F1033">
        <v>49.965564727999997</v>
      </c>
      <c r="G1033">
        <v>1290.3779297000001</v>
      </c>
      <c r="H1033">
        <v>1274.8350829999999</v>
      </c>
      <c r="I1033">
        <v>1394.7032471</v>
      </c>
      <c r="J1033">
        <v>1375.0031738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687.58367099999998</v>
      </c>
      <c r="B1034" s="1">
        <f>DATE(2012,3,18) + TIME(14,0,29)</f>
        <v>40986.583668981482</v>
      </c>
      <c r="C1034">
        <v>80</v>
      </c>
      <c r="D1034">
        <v>64.457923889</v>
      </c>
      <c r="E1034">
        <v>50</v>
      </c>
      <c r="F1034">
        <v>49.965675353999998</v>
      </c>
      <c r="G1034">
        <v>1289.9644774999999</v>
      </c>
      <c r="H1034">
        <v>1274.2460937999999</v>
      </c>
      <c r="I1034">
        <v>1394.6566161999999</v>
      </c>
      <c r="J1034">
        <v>1374.9537353999999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690.54650500000002</v>
      </c>
      <c r="B1035" s="1">
        <f>DATE(2012,3,21) + TIME(13,6,58)</f>
        <v>40989.54650462963</v>
      </c>
      <c r="C1035">
        <v>80</v>
      </c>
      <c r="D1035">
        <v>64.003242493000002</v>
      </c>
      <c r="E1035">
        <v>50</v>
      </c>
      <c r="F1035">
        <v>49.965782165999997</v>
      </c>
      <c r="G1035">
        <v>1289.5483397999999</v>
      </c>
      <c r="H1035">
        <v>1273.6503906</v>
      </c>
      <c r="I1035">
        <v>1394.6103516000001</v>
      </c>
      <c r="J1035">
        <v>1374.9047852000001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693.68413299999997</v>
      </c>
      <c r="B1036" s="1">
        <f>DATE(2012,3,24) + TIME(16,25,9)</f>
        <v>40992.684131944443</v>
      </c>
      <c r="C1036">
        <v>80</v>
      </c>
      <c r="D1036">
        <v>63.530094147</v>
      </c>
      <c r="E1036">
        <v>50</v>
      </c>
      <c r="F1036">
        <v>49.965896606000001</v>
      </c>
      <c r="G1036">
        <v>1289.1293945</v>
      </c>
      <c r="H1036">
        <v>1273.0466309000001</v>
      </c>
      <c r="I1036">
        <v>1394.5646973</v>
      </c>
      <c r="J1036">
        <v>1374.8564452999999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696.82176100000004</v>
      </c>
      <c r="B1037" s="1">
        <f>DATE(2012,3,27) + TIME(19,43,20)</f>
        <v>40995.821759259263</v>
      </c>
      <c r="C1037">
        <v>80</v>
      </c>
      <c r="D1037">
        <v>63.026153563999998</v>
      </c>
      <c r="E1037">
        <v>50</v>
      </c>
      <c r="F1037">
        <v>49.966007232999999</v>
      </c>
      <c r="G1037">
        <v>1288.6873779</v>
      </c>
      <c r="H1037">
        <v>1272.4093018000001</v>
      </c>
      <c r="I1037">
        <v>1394.5167236</v>
      </c>
      <c r="J1037">
        <v>1374.8057861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699.95938899999999</v>
      </c>
      <c r="B1038" s="1">
        <f>DATE(2012,3,30) + TIME(23,1,31)</f>
        <v>40998.959386574075</v>
      </c>
      <c r="C1038">
        <v>80</v>
      </c>
      <c r="D1038">
        <v>62.505130768000001</v>
      </c>
      <c r="E1038">
        <v>50</v>
      </c>
      <c r="F1038">
        <v>49.966117859000001</v>
      </c>
      <c r="G1038">
        <v>1288.2413329999999</v>
      </c>
      <c r="H1038">
        <v>1271.7623291</v>
      </c>
      <c r="I1038">
        <v>1394.4691161999999</v>
      </c>
      <c r="J1038">
        <v>1374.7556152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701</v>
      </c>
      <c r="B1039" s="1">
        <f>DATE(2012,4,1) + TIME(0,0,0)</f>
        <v>41000</v>
      </c>
      <c r="C1039">
        <v>80</v>
      </c>
      <c r="D1039">
        <v>62.124889373999999</v>
      </c>
      <c r="E1039">
        <v>50</v>
      </c>
      <c r="F1039">
        <v>49.966156005999999</v>
      </c>
      <c r="G1039">
        <v>1287.8066406</v>
      </c>
      <c r="H1039">
        <v>1271.1689452999999</v>
      </c>
      <c r="I1039">
        <v>1394.4208983999999</v>
      </c>
      <c r="J1039">
        <v>1374.7055664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704.13762799999995</v>
      </c>
      <c r="B1040" s="1">
        <f>DATE(2012,4,4) + TIME(3,18,11)</f>
        <v>41003.137627314813</v>
      </c>
      <c r="C1040">
        <v>80</v>
      </c>
      <c r="D1040">
        <v>61.747669219999999</v>
      </c>
      <c r="E1040">
        <v>50</v>
      </c>
      <c r="F1040">
        <v>49.966266632</v>
      </c>
      <c r="G1040">
        <v>1287.6212158000001</v>
      </c>
      <c r="H1040">
        <v>1270.8447266000001</v>
      </c>
      <c r="I1040">
        <v>1394.4061279</v>
      </c>
      <c r="J1040">
        <v>1374.6887207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707.27525600000001</v>
      </c>
      <c r="B1041" s="1">
        <f>DATE(2012,4,7) + TIME(6,36,22)</f>
        <v>41006.275254629632</v>
      </c>
      <c r="C1041">
        <v>80</v>
      </c>
      <c r="D1041">
        <v>61.229206085000001</v>
      </c>
      <c r="E1041">
        <v>50</v>
      </c>
      <c r="F1041">
        <v>49.966373443999998</v>
      </c>
      <c r="G1041">
        <v>1287.1936035000001</v>
      </c>
      <c r="H1041">
        <v>1270.2265625</v>
      </c>
      <c r="I1041">
        <v>1394.3592529</v>
      </c>
      <c r="J1041">
        <v>1374.6402588000001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710.41288399999996</v>
      </c>
      <c r="B1042" s="1">
        <f>DATE(2012,4,10) + TIME(9,54,33)</f>
        <v>41009.412881944445</v>
      </c>
      <c r="C1042">
        <v>80</v>
      </c>
      <c r="D1042">
        <v>60.673465729</v>
      </c>
      <c r="E1042">
        <v>50</v>
      </c>
      <c r="F1042">
        <v>49.966480255</v>
      </c>
      <c r="G1042">
        <v>1286.7507324000001</v>
      </c>
      <c r="H1042">
        <v>1269.5753173999999</v>
      </c>
      <c r="I1042">
        <v>1394.3125</v>
      </c>
      <c r="J1042">
        <v>1374.5917969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713.55051200000003</v>
      </c>
      <c r="B1043" s="1">
        <f>DATE(2012,4,13) + TIME(13,12,44)</f>
        <v>41012.550509259258</v>
      </c>
      <c r="C1043">
        <v>80</v>
      </c>
      <c r="D1043">
        <v>60.102668762</v>
      </c>
      <c r="E1043">
        <v>50</v>
      </c>
      <c r="F1043">
        <v>49.966587066999999</v>
      </c>
      <c r="G1043">
        <v>1286.3055420000001</v>
      </c>
      <c r="H1043">
        <v>1268.9160156</v>
      </c>
      <c r="I1043">
        <v>1394.2661132999999</v>
      </c>
      <c r="J1043">
        <v>1374.543457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716.68813999999998</v>
      </c>
      <c r="B1044" s="1">
        <f>DATE(2012,4,16) + TIME(16,30,55)</f>
        <v>41015.688136574077</v>
      </c>
      <c r="C1044">
        <v>80</v>
      </c>
      <c r="D1044">
        <v>59.520763397000003</v>
      </c>
      <c r="E1044">
        <v>50</v>
      </c>
      <c r="F1044">
        <v>49.966690063000001</v>
      </c>
      <c r="G1044">
        <v>1285.8614502</v>
      </c>
      <c r="H1044">
        <v>1268.2547606999999</v>
      </c>
      <c r="I1044">
        <v>1394.2197266000001</v>
      </c>
      <c r="J1044">
        <v>1374.4954834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719.82576800000004</v>
      </c>
      <c r="B1045" s="1">
        <f>DATE(2012,4,19) + TIME(19,49,6)</f>
        <v>41018.82576388889</v>
      </c>
      <c r="C1045">
        <v>80</v>
      </c>
      <c r="D1045">
        <v>58.930038451999998</v>
      </c>
      <c r="E1045">
        <v>50</v>
      </c>
      <c r="F1045">
        <v>49.966796875</v>
      </c>
      <c r="G1045">
        <v>1285.4194336</v>
      </c>
      <c r="H1045">
        <v>1267.5932617000001</v>
      </c>
      <c r="I1045">
        <v>1394.1735839999999</v>
      </c>
      <c r="J1045">
        <v>1374.447876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722.96339599999999</v>
      </c>
      <c r="B1046" s="1">
        <f>DATE(2012,4,22) + TIME(23,7,17)</f>
        <v>41021.963391203702</v>
      </c>
      <c r="C1046">
        <v>80</v>
      </c>
      <c r="D1046">
        <v>58.332153320000003</v>
      </c>
      <c r="E1046">
        <v>50</v>
      </c>
      <c r="F1046">
        <v>49.966896057</v>
      </c>
      <c r="G1046">
        <v>1284.9801024999999</v>
      </c>
      <c r="H1046">
        <v>1266.9327393000001</v>
      </c>
      <c r="I1046">
        <v>1394.1276855000001</v>
      </c>
      <c r="J1046">
        <v>1374.4005127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726.10102400000005</v>
      </c>
      <c r="B1047" s="1">
        <f>DATE(2012,4,26) + TIME(2,25,28)</f>
        <v>41025.101018518515</v>
      </c>
      <c r="C1047">
        <v>80</v>
      </c>
      <c r="D1047">
        <v>57.727943420000003</v>
      </c>
      <c r="E1047">
        <v>50</v>
      </c>
      <c r="F1047">
        <v>49.966999053999999</v>
      </c>
      <c r="G1047">
        <v>1284.5441894999999</v>
      </c>
      <c r="H1047">
        <v>1266.2741699000001</v>
      </c>
      <c r="I1047">
        <v>1394.0816649999999</v>
      </c>
      <c r="J1047">
        <v>1374.3535156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729.238652</v>
      </c>
      <c r="B1048" s="1">
        <f>DATE(2012,4,29) + TIME(5,43,39)</f>
        <v>41028.238645833335</v>
      </c>
      <c r="C1048">
        <v>80</v>
      </c>
      <c r="D1048">
        <v>57.118728638</v>
      </c>
      <c r="E1048">
        <v>50</v>
      </c>
      <c r="F1048">
        <v>49.967098235999998</v>
      </c>
      <c r="G1048">
        <v>1284.1120605000001</v>
      </c>
      <c r="H1048">
        <v>1265.6181641000001</v>
      </c>
      <c r="I1048">
        <v>1394.0358887</v>
      </c>
      <c r="J1048">
        <v>1374.3066406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731</v>
      </c>
      <c r="B1049" s="1">
        <f>DATE(2012,5,1) + TIME(0,0,0)</f>
        <v>41030</v>
      </c>
      <c r="C1049">
        <v>80</v>
      </c>
      <c r="D1049">
        <v>56.587585449000002</v>
      </c>
      <c r="E1049">
        <v>50</v>
      </c>
      <c r="F1049">
        <v>49.967155456999997</v>
      </c>
      <c r="G1049">
        <v>1283.6882324000001</v>
      </c>
      <c r="H1049">
        <v>1264.9960937999999</v>
      </c>
      <c r="I1049">
        <v>1393.9897461</v>
      </c>
      <c r="J1049">
        <v>1374.2598877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731.000001</v>
      </c>
      <c r="B1050" s="1">
        <f>DATE(2012,5,1) + TIME(0,0,0)</f>
        <v>41030</v>
      </c>
      <c r="C1050">
        <v>80</v>
      </c>
      <c r="D1050">
        <v>56.587745667</v>
      </c>
      <c r="E1050">
        <v>50</v>
      </c>
      <c r="F1050">
        <v>49.967044829999999</v>
      </c>
      <c r="G1050">
        <v>1304.6334228999999</v>
      </c>
      <c r="H1050">
        <v>1284.6661377</v>
      </c>
      <c r="I1050">
        <v>1373.3854980000001</v>
      </c>
      <c r="J1050">
        <v>1354.7735596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731.00000399999999</v>
      </c>
      <c r="B1051" s="1">
        <f>DATE(2012,5,1) + TIME(0,0,0)</f>
        <v>41030</v>
      </c>
      <c r="C1051">
        <v>80</v>
      </c>
      <c r="D1051">
        <v>56.588172913000001</v>
      </c>
      <c r="E1051">
        <v>50</v>
      </c>
      <c r="F1051">
        <v>49.966751099</v>
      </c>
      <c r="G1051">
        <v>1306.9981689000001</v>
      </c>
      <c r="H1051">
        <v>1287.2330322</v>
      </c>
      <c r="I1051">
        <v>1371.0532227000001</v>
      </c>
      <c r="J1051">
        <v>1352.4404297000001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731.00001299999997</v>
      </c>
      <c r="B1052" s="1">
        <f>DATE(2012,5,1) + TIME(0,0,1)</f>
        <v>41030.000011574077</v>
      </c>
      <c r="C1052">
        <v>80</v>
      </c>
      <c r="D1052">
        <v>56.589179993000002</v>
      </c>
      <c r="E1052">
        <v>50</v>
      </c>
      <c r="F1052">
        <v>49.966091155999997</v>
      </c>
      <c r="G1052">
        <v>1312.3011475000001</v>
      </c>
      <c r="H1052">
        <v>1292.8183594</v>
      </c>
      <c r="I1052">
        <v>1365.8211670000001</v>
      </c>
      <c r="J1052">
        <v>1347.2070312000001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731.00004000000001</v>
      </c>
      <c r="B1053" s="1">
        <f>DATE(2012,5,1) + TIME(0,0,3)</f>
        <v>41030.000034722223</v>
      </c>
      <c r="C1053">
        <v>80</v>
      </c>
      <c r="D1053">
        <v>56.591201781999999</v>
      </c>
      <c r="E1053">
        <v>50</v>
      </c>
      <c r="F1053">
        <v>49.964988708</v>
      </c>
      <c r="G1053">
        <v>1321.1732178</v>
      </c>
      <c r="H1053">
        <v>1301.8205565999999</v>
      </c>
      <c r="I1053">
        <v>1357.0767822</v>
      </c>
      <c r="J1053">
        <v>1338.4637451000001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731.00012100000004</v>
      </c>
      <c r="B1054" s="1">
        <f>DATE(2012,5,1) + TIME(0,0,10)</f>
        <v>41030.000115740739</v>
      </c>
      <c r="C1054">
        <v>80</v>
      </c>
      <c r="D1054">
        <v>56.595172882</v>
      </c>
      <c r="E1054">
        <v>50</v>
      </c>
      <c r="F1054">
        <v>49.963630676000001</v>
      </c>
      <c r="G1054">
        <v>1332.0617675999999</v>
      </c>
      <c r="H1054">
        <v>1312.6239014</v>
      </c>
      <c r="I1054">
        <v>1346.4006348</v>
      </c>
      <c r="J1054">
        <v>1327.7939452999999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731.00036399999999</v>
      </c>
      <c r="B1055" s="1">
        <f>DATE(2012,5,1) + TIME(0,0,31)</f>
        <v>41030.000358796293</v>
      </c>
      <c r="C1055">
        <v>80</v>
      </c>
      <c r="D1055">
        <v>56.604393004999999</v>
      </c>
      <c r="E1055">
        <v>50</v>
      </c>
      <c r="F1055">
        <v>49.962215424</v>
      </c>
      <c r="G1055">
        <v>1343.4291992000001</v>
      </c>
      <c r="H1055">
        <v>1323.8594971</v>
      </c>
      <c r="I1055">
        <v>1335.4069824000001</v>
      </c>
      <c r="J1055">
        <v>1316.8122559000001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731.00109299999997</v>
      </c>
      <c r="B1056" s="1">
        <f>DATE(2012,5,1) + TIME(0,1,34)</f>
        <v>41030.001087962963</v>
      </c>
      <c r="C1056">
        <v>80</v>
      </c>
      <c r="D1056">
        <v>56.629322051999999</v>
      </c>
      <c r="E1056">
        <v>50</v>
      </c>
      <c r="F1056">
        <v>49.960720062</v>
      </c>
      <c r="G1056">
        <v>1355.1697998</v>
      </c>
      <c r="H1056">
        <v>1335.4682617000001</v>
      </c>
      <c r="I1056">
        <v>1324.4057617000001</v>
      </c>
      <c r="J1056">
        <v>1305.8262939000001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731.00328000000002</v>
      </c>
      <c r="B1057" s="1">
        <f>DATE(2012,5,1) + TIME(0,4,43)</f>
        <v>41030.003275462965</v>
      </c>
      <c r="C1057">
        <v>80</v>
      </c>
      <c r="D1057">
        <v>56.701393127000003</v>
      </c>
      <c r="E1057">
        <v>50</v>
      </c>
      <c r="F1057">
        <v>49.958988189999999</v>
      </c>
      <c r="G1057">
        <v>1367.7030029</v>
      </c>
      <c r="H1057">
        <v>1347.909668</v>
      </c>
      <c r="I1057">
        <v>1313.2169189000001</v>
      </c>
      <c r="J1057">
        <v>1294.6304932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731.00984100000005</v>
      </c>
      <c r="B1058" s="1">
        <f>DATE(2012,5,1) + TIME(0,14,10)</f>
        <v>41030.009837962964</v>
      </c>
      <c r="C1058">
        <v>80</v>
      </c>
      <c r="D1058">
        <v>56.912658690999997</v>
      </c>
      <c r="E1058">
        <v>50</v>
      </c>
      <c r="F1058">
        <v>49.956604003999999</v>
      </c>
      <c r="G1058">
        <v>1380.4985352000001</v>
      </c>
      <c r="H1058">
        <v>1360.7559814000001</v>
      </c>
      <c r="I1058">
        <v>1301.9945068</v>
      </c>
      <c r="J1058">
        <v>1283.3337402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731.02952400000004</v>
      </c>
      <c r="B1059" s="1">
        <f>DATE(2012,5,1) + TIME(0,42,30)</f>
        <v>41030.029513888891</v>
      </c>
      <c r="C1059">
        <v>80</v>
      </c>
      <c r="D1059">
        <v>57.522750854000002</v>
      </c>
      <c r="E1059">
        <v>50</v>
      </c>
      <c r="F1059">
        <v>49.952568053999997</v>
      </c>
      <c r="G1059">
        <v>1390.8293457</v>
      </c>
      <c r="H1059">
        <v>1371.3822021000001</v>
      </c>
      <c r="I1059">
        <v>1292.9177245999999</v>
      </c>
      <c r="J1059">
        <v>1274.1046143000001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731.05475000000001</v>
      </c>
      <c r="B1060" s="1">
        <f>DATE(2012,5,1) + TIME(1,18,50)</f>
        <v>41030.054745370369</v>
      </c>
      <c r="C1060">
        <v>80</v>
      </c>
      <c r="D1060">
        <v>58.274543762</v>
      </c>
      <c r="E1060">
        <v>50</v>
      </c>
      <c r="F1060">
        <v>49.948448181000003</v>
      </c>
      <c r="G1060">
        <v>1394.9049072</v>
      </c>
      <c r="H1060">
        <v>1375.7558594</v>
      </c>
      <c r="I1060">
        <v>1289.5244141000001</v>
      </c>
      <c r="J1060">
        <v>1270.6087646000001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731.08037899999999</v>
      </c>
      <c r="B1061" s="1">
        <f>DATE(2012,5,1) + TIME(1,55,44)</f>
        <v>41030.080370370371</v>
      </c>
      <c r="C1061">
        <v>80</v>
      </c>
      <c r="D1061">
        <v>59.011207581000001</v>
      </c>
      <c r="E1061">
        <v>50</v>
      </c>
      <c r="F1061">
        <v>49.944580078000001</v>
      </c>
      <c r="G1061">
        <v>1396.3261719</v>
      </c>
      <c r="H1061">
        <v>1377.4182129000001</v>
      </c>
      <c r="I1061">
        <v>1288.4705810999999</v>
      </c>
      <c r="J1061">
        <v>1269.5021973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731.10646699999995</v>
      </c>
      <c r="B1062" s="1">
        <f>DATE(2012,5,1) + TIME(2,33,18)</f>
        <v>41030.106458333335</v>
      </c>
      <c r="C1062">
        <v>80</v>
      </c>
      <c r="D1062">
        <v>59.735050201</v>
      </c>
      <c r="E1062">
        <v>50</v>
      </c>
      <c r="F1062">
        <v>49.940773010000001</v>
      </c>
      <c r="G1062">
        <v>1396.7803954999999</v>
      </c>
      <c r="H1062">
        <v>1378.0831298999999</v>
      </c>
      <c r="I1062">
        <v>1288.1740723</v>
      </c>
      <c r="J1062">
        <v>1269.1793213000001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731.13306499999999</v>
      </c>
      <c r="B1063" s="1">
        <f>DATE(2012,5,1) + TIME(3,11,36)</f>
        <v>41030.133055555554</v>
      </c>
      <c r="C1063">
        <v>80</v>
      </c>
      <c r="D1063">
        <v>60.447090148999997</v>
      </c>
      <c r="E1063">
        <v>50</v>
      </c>
      <c r="F1063">
        <v>49.936954497999999</v>
      </c>
      <c r="G1063">
        <v>1396.8446045000001</v>
      </c>
      <c r="H1063">
        <v>1378.3398437999999</v>
      </c>
      <c r="I1063">
        <v>1288.1206055</v>
      </c>
      <c r="J1063">
        <v>1269.1126709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731.160212</v>
      </c>
      <c r="B1064" s="1">
        <f>DATE(2012,5,1) + TIME(3,50,42)</f>
        <v>41030.160208333335</v>
      </c>
      <c r="C1064">
        <v>80</v>
      </c>
      <c r="D1064">
        <v>61.148151398000003</v>
      </c>
      <c r="E1064">
        <v>50</v>
      </c>
      <c r="F1064">
        <v>49.933097838999998</v>
      </c>
      <c r="G1064">
        <v>1396.7419434000001</v>
      </c>
      <c r="H1064">
        <v>1378.4179687999999</v>
      </c>
      <c r="I1064">
        <v>1288.135376</v>
      </c>
      <c r="J1064">
        <v>1269.1209716999999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731.18794700000001</v>
      </c>
      <c r="B1065" s="1">
        <f>DATE(2012,5,1) + TIME(4,30,38)</f>
        <v>41030.187939814816</v>
      </c>
      <c r="C1065">
        <v>80</v>
      </c>
      <c r="D1065">
        <v>61.838748932000001</v>
      </c>
      <c r="E1065">
        <v>50</v>
      </c>
      <c r="F1065">
        <v>49.929199218999997</v>
      </c>
      <c r="G1065">
        <v>1396.5664062000001</v>
      </c>
      <c r="H1065">
        <v>1378.4141846</v>
      </c>
      <c r="I1065">
        <v>1288.1618652</v>
      </c>
      <c r="J1065">
        <v>1269.144043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731.21630000000005</v>
      </c>
      <c r="B1066" s="1">
        <f>DATE(2012,5,1) + TIME(5,11,28)</f>
        <v>41030.216296296298</v>
      </c>
      <c r="C1066">
        <v>80</v>
      </c>
      <c r="D1066">
        <v>62.518951416</v>
      </c>
      <c r="E1066">
        <v>50</v>
      </c>
      <c r="F1066">
        <v>49.925247192</v>
      </c>
      <c r="G1066">
        <v>1396.3594971</v>
      </c>
      <c r="H1066">
        <v>1378.3720702999999</v>
      </c>
      <c r="I1066">
        <v>1288.184082</v>
      </c>
      <c r="J1066">
        <v>1269.1644286999999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731.24531200000001</v>
      </c>
      <c r="B1067" s="1">
        <f>DATE(2012,5,1) + TIME(5,53,14)</f>
        <v>41030.245300925926</v>
      </c>
      <c r="C1067">
        <v>80</v>
      </c>
      <c r="D1067">
        <v>63.188957213999998</v>
      </c>
      <c r="E1067">
        <v>50</v>
      </c>
      <c r="F1067">
        <v>49.921241760000001</v>
      </c>
      <c r="G1067">
        <v>1396.1405029</v>
      </c>
      <c r="H1067">
        <v>1378.3117675999999</v>
      </c>
      <c r="I1067">
        <v>1288.1995850000001</v>
      </c>
      <c r="J1067">
        <v>1269.1787108999999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731.27502100000004</v>
      </c>
      <c r="B1068" s="1">
        <f>DATE(2012,5,1) + TIME(6,36,1)</f>
        <v>41030.275011574071</v>
      </c>
      <c r="C1068">
        <v>80</v>
      </c>
      <c r="D1068">
        <v>63.848796843999999</v>
      </c>
      <c r="E1068">
        <v>50</v>
      </c>
      <c r="F1068">
        <v>49.917179107999999</v>
      </c>
      <c r="G1068">
        <v>1395.9189452999999</v>
      </c>
      <c r="H1068">
        <v>1378.2430420000001</v>
      </c>
      <c r="I1068">
        <v>1288.2095947</v>
      </c>
      <c r="J1068">
        <v>1269.1876221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731.30546800000002</v>
      </c>
      <c r="B1069" s="1">
        <f>DATE(2012,5,1) + TIME(7,19,52)</f>
        <v>41030.305462962962</v>
      </c>
      <c r="C1069">
        <v>80</v>
      </c>
      <c r="D1069">
        <v>64.498466492000006</v>
      </c>
      <c r="E1069">
        <v>50</v>
      </c>
      <c r="F1069">
        <v>49.913051605</v>
      </c>
      <c r="G1069">
        <v>1395.6993408000001</v>
      </c>
      <c r="H1069">
        <v>1378.1710204999999</v>
      </c>
      <c r="I1069">
        <v>1288.2158202999999</v>
      </c>
      <c r="J1069">
        <v>1269.1928711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731.33669599999996</v>
      </c>
      <c r="B1070" s="1">
        <f>DATE(2012,5,1) + TIME(8,4,50)</f>
        <v>41030.336689814816</v>
      </c>
      <c r="C1070">
        <v>80</v>
      </c>
      <c r="D1070">
        <v>65.137977599999999</v>
      </c>
      <c r="E1070">
        <v>50</v>
      </c>
      <c r="F1070">
        <v>49.908859253000003</v>
      </c>
      <c r="G1070">
        <v>1395.4838867000001</v>
      </c>
      <c r="H1070">
        <v>1378.0982666</v>
      </c>
      <c r="I1070">
        <v>1288.2194824000001</v>
      </c>
      <c r="J1070">
        <v>1269.1958007999999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731.36875099999997</v>
      </c>
      <c r="B1071" s="1">
        <f>DATE(2012,5,1) + TIME(8,51,0)</f>
        <v>41030.368750000001</v>
      </c>
      <c r="C1071">
        <v>80</v>
      </c>
      <c r="D1071">
        <v>65.767387389999996</v>
      </c>
      <c r="E1071">
        <v>50</v>
      </c>
      <c r="F1071">
        <v>49.904598235999998</v>
      </c>
      <c r="G1071">
        <v>1395.2739257999999</v>
      </c>
      <c r="H1071">
        <v>1378.026001</v>
      </c>
      <c r="I1071">
        <v>1288.2218018000001</v>
      </c>
      <c r="J1071">
        <v>1269.1971435999999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731.40168400000005</v>
      </c>
      <c r="B1072" s="1">
        <f>DATE(2012,5,1) + TIME(9,38,25)</f>
        <v>41030.401678240742</v>
      </c>
      <c r="C1072">
        <v>80</v>
      </c>
      <c r="D1072">
        <v>66.386512756000002</v>
      </c>
      <c r="E1072">
        <v>50</v>
      </c>
      <c r="F1072">
        <v>49.900257111000002</v>
      </c>
      <c r="G1072">
        <v>1395.0697021000001</v>
      </c>
      <c r="H1072">
        <v>1377.9549560999999</v>
      </c>
      <c r="I1072">
        <v>1288.2231445</v>
      </c>
      <c r="J1072">
        <v>1269.1976318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731.43555000000003</v>
      </c>
      <c r="B1073" s="1">
        <f>DATE(2012,5,1) + TIME(10,27,11)</f>
        <v>41030.435543981483</v>
      </c>
      <c r="C1073">
        <v>80</v>
      </c>
      <c r="D1073">
        <v>66.995300293</v>
      </c>
      <c r="E1073">
        <v>50</v>
      </c>
      <c r="F1073">
        <v>49.895839690999999</v>
      </c>
      <c r="G1073">
        <v>1394.8714600000001</v>
      </c>
      <c r="H1073">
        <v>1377.8852539</v>
      </c>
      <c r="I1073">
        <v>1288.2241211</v>
      </c>
      <c r="J1073">
        <v>1269.1975098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731.47041000000002</v>
      </c>
      <c r="B1074" s="1">
        <f>DATE(2012,5,1) + TIME(11,17,23)</f>
        <v>41030.470405092594</v>
      </c>
      <c r="C1074">
        <v>80</v>
      </c>
      <c r="D1074">
        <v>67.593681334999999</v>
      </c>
      <c r="E1074">
        <v>50</v>
      </c>
      <c r="F1074">
        <v>49.891338347999998</v>
      </c>
      <c r="G1074">
        <v>1394.6790771000001</v>
      </c>
      <c r="H1074">
        <v>1377.8172606999999</v>
      </c>
      <c r="I1074">
        <v>1288.2247314000001</v>
      </c>
      <c r="J1074">
        <v>1269.1970214999999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731.50632700000006</v>
      </c>
      <c r="B1075" s="1">
        <f>DATE(2012,5,1) + TIME(12,9,6)</f>
        <v>41030.506319444445</v>
      </c>
      <c r="C1075">
        <v>80</v>
      </c>
      <c r="D1075">
        <v>68.181549071999996</v>
      </c>
      <c r="E1075">
        <v>50</v>
      </c>
      <c r="F1075">
        <v>49.886741637999997</v>
      </c>
      <c r="G1075">
        <v>1394.4923096</v>
      </c>
      <c r="H1075">
        <v>1377.7507324000001</v>
      </c>
      <c r="I1075">
        <v>1288.2250977000001</v>
      </c>
      <c r="J1075">
        <v>1269.1964111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731.54339200000004</v>
      </c>
      <c r="B1076" s="1">
        <f>DATE(2012,5,1) + TIME(13,2,29)</f>
        <v>41030.543391203704</v>
      </c>
      <c r="C1076">
        <v>80</v>
      </c>
      <c r="D1076">
        <v>68.759063721000004</v>
      </c>
      <c r="E1076">
        <v>50</v>
      </c>
      <c r="F1076">
        <v>49.882045746000003</v>
      </c>
      <c r="G1076">
        <v>1394.3110352000001</v>
      </c>
      <c r="H1076">
        <v>1377.6855469</v>
      </c>
      <c r="I1076">
        <v>1288.2254639</v>
      </c>
      <c r="J1076">
        <v>1269.1956786999999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731.58166800000004</v>
      </c>
      <c r="B1077" s="1">
        <f>DATE(2012,5,1) + TIME(13,57,36)</f>
        <v>41030.581666666665</v>
      </c>
      <c r="C1077">
        <v>80</v>
      </c>
      <c r="D1077">
        <v>69.325881957999997</v>
      </c>
      <c r="E1077">
        <v>50</v>
      </c>
      <c r="F1077">
        <v>49.877243042000003</v>
      </c>
      <c r="G1077">
        <v>1394.1348877</v>
      </c>
      <c r="H1077">
        <v>1377.6218262</v>
      </c>
      <c r="I1077">
        <v>1288.2257079999999</v>
      </c>
      <c r="J1077">
        <v>1269.1947021000001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731.62124300000005</v>
      </c>
      <c r="B1078" s="1">
        <f>DATE(2012,5,1) + TIME(14,54,35)</f>
        <v>41030.621238425927</v>
      </c>
      <c r="C1078">
        <v>80</v>
      </c>
      <c r="D1078">
        <v>69.881858825999998</v>
      </c>
      <c r="E1078">
        <v>50</v>
      </c>
      <c r="F1078">
        <v>49.872329712000003</v>
      </c>
      <c r="G1078">
        <v>1393.9637451000001</v>
      </c>
      <c r="H1078">
        <v>1377.5593262</v>
      </c>
      <c r="I1078">
        <v>1288.2258300999999</v>
      </c>
      <c r="J1078">
        <v>1269.1937256000001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731.66221199999995</v>
      </c>
      <c r="B1079" s="1">
        <f>DATE(2012,5,1) + TIME(15,53,35)</f>
        <v>41030.662210648145</v>
      </c>
      <c r="C1079">
        <v>80</v>
      </c>
      <c r="D1079">
        <v>70.426528931000007</v>
      </c>
      <c r="E1079">
        <v>50</v>
      </c>
      <c r="F1079">
        <v>49.867290496999999</v>
      </c>
      <c r="G1079">
        <v>1393.7973632999999</v>
      </c>
      <c r="H1079">
        <v>1377.4978027</v>
      </c>
      <c r="I1079">
        <v>1288.2259521000001</v>
      </c>
      <c r="J1079">
        <v>1269.1926269999999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731.70468300000005</v>
      </c>
      <c r="B1080" s="1">
        <f>DATE(2012,5,1) + TIME(16,54,44)</f>
        <v>41030.704675925925</v>
      </c>
      <c r="C1080">
        <v>80</v>
      </c>
      <c r="D1080">
        <v>70.959968567000004</v>
      </c>
      <c r="E1080">
        <v>50</v>
      </c>
      <c r="F1080">
        <v>49.862117767000001</v>
      </c>
      <c r="G1080">
        <v>1393.635376</v>
      </c>
      <c r="H1080">
        <v>1377.4372559000001</v>
      </c>
      <c r="I1080">
        <v>1288.2260742000001</v>
      </c>
      <c r="J1080">
        <v>1269.1915283000001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731.74877400000003</v>
      </c>
      <c r="B1081" s="1">
        <f>DATE(2012,5,1) + TIME(17,58,14)</f>
        <v>41030.748773148145</v>
      </c>
      <c r="C1081">
        <v>80</v>
      </c>
      <c r="D1081">
        <v>71.482078552000004</v>
      </c>
      <c r="E1081">
        <v>50</v>
      </c>
      <c r="F1081">
        <v>49.856807709000002</v>
      </c>
      <c r="G1081">
        <v>1393.4775391000001</v>
      </c>
      <c r="H1081">
        <v>1377.3774414</v>
      </c>
      <c r="I1081">
        <v>1288.2260742000001</v>
      </c>
      <c r="J1081">
        <v>1269.1903076000001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731.79462000000001</v>
      </c>
      <c r="B1082" s="1">
        <f>DATE(2012,5,1) + TIME(19,4,15)</f>
        <v>41030.794618055559</v>
      </c>
      <c r="C1082">
        <v>80</v>
      </c>
      <c r="D1082">
        <v>71.992675781000003</v>
      </c>
      <c r="E1082">
        <v>50</v>
      </c>
      <c r="F1082">
        <v>49.851337432999998</v>
      </c>
      <c r="G1082">
        <v>1393.3237305</v>
      </c>
      <c r="H1082">
        <v>1377.3182373</v>
      </c>
      <c r="I1082">
        <v>1288.2260742000001</v>
      </c>
      <c r="J1082">
        <v>1269.1890868999999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731.84236899999996</v>
      </c>
      <c r="B1083" s="1">
        <f>DATE(2012,5,1) + TIME(20,13,0)</f>
        <v>41030.842361111114</v>
      </c>
      <c r="C1083">
        <v>80</v>
      </c>
      <c r="D1083">
        <v>72.49156189</v>
      </c>
      <c r="E1083">
        <v>50</v>
      </c>
      <c r="F1083">
        <v>49.845703125</v>
      </c>
      <c r="G1083">
        <v>1393.1735839999999</v>
      </c>
      <c r="H1083">
        <v>1377.2595214999999</v>
      </c>
      <c r="I1083">
        <v>1288.2259521000001</v>
      </c>
      <c r="J1083">
        <v>1269.1877440999999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731.89219200000002</v>
      </c>
      <c r="B1084" s="1">
        <f>DATE(2012,5,1) + TIME(21,24,45)</f>
        <v>41030.892187500001</v>
      </c>
      <c r="C1084">
        <v>80</v>
      </c>
      <c r="D1084">
        <v>72.978515625</v>
      </c>
      <c r="E1084">
        <v>50</v>
      </c>
      <c r="F1084">
        <v>49.839881896999998</v>
      </c>
      <c r="G1084">
        <v>1393.0269774999999</v>
      </c>
      <c r="H1084">
        <v>1377.2011719</v>
      </c>
      <c r="I1084">
        <v>1288.2258300999999</v>
      </c>
      <c r="J1084">
        <v>1269.1862793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731.94428000000005</v>
      </c>
      <c r="B1085" s="1">
        <f>DATE(2012,5,1) + TIME(22,39,45)</f>
        <v>41030.94427083333</v>
      </c>
      <c r="C1085">
        <v>80</v>
      </c>
      <c r="D1085">
        <v>73.453292847</v>
      </c>
      <c r="E1085">
        <v>50</v>
      </c>
      <c r="F1085">
        <v>49.833862304999997</v>
      </c>
      <c r="G1085">
        <v>1392.8834228999999</v>
      </c>
      <c r="H1085">
        <v>1377.1428223</v>
      </c>
      <c r="I1085">
        <v>1288.2257079999999</v>
      </c>
      <c r="J1085">
        <v>1269.1848144999999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731.998874</v>
      </c>
      <c r="B1086" s="1">
        <f>DATE(2012,5,1) + TIME(23,58,22)</f>
        <v>41030.998865740738</v>
      </c>
      <c r="C1086">
        <v>80</v>
      </c>
      <c r="D1086">
        <v>73.915809631000002</v>
      </c>
      <c r="E1086">
        <v>50</v>
      </c>
      <c r="F1086">
        <v>49.827621460000003</v>
      </c>
      <c r="G1086">
        <v>1392.7429199000001</v>
      </c>
      <c r="H1086">
        <v>1377.0844727000001</v>
      </c>
      <c r="I1086">
        <v>1288.2254639</v>
      </c>
      <c r="J1086">
        <v>1269.1832274999999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732.05622700000004</v>
      </c>
      <c r="B1087" s="1">
        <f>DATE(2012,5,2) + TIME(1,20,57)</f>
        <v>41031.056215277778</v>
      </c>
      <c r="C1087">
        <v>80</v>
      </c>
      <c r="D1087">
        <v>74.365753174000005</v>
      </c>
      <c r="E1087">
        <v>50</v>
      </c>
      <c r="F1087">
        <v>49.821136475000003</v>
      </c>
      <c r="G1087">
        <v>1392.6049805</v>
      </c>
      <c r="H1087">
        <v>1377.0258789</v>
      </c>
      <c r="I1087">
        <v>1288.2250977000001</v>
      </c>
      <c r="J1087">
        <v>1269.1816406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732.11661300000003</v>
      </c>
      <c r="B1088" s="1">
        <f>DATE(2012,5,2) + TIME(2,47,55)</f>
        <v>41031.116608796299</v>
      </c>
      <c r="C1088">
        <v>80</v>
      </c>
      <c r="D1088">
        <v>74.802688599000007</v>
      </c>
      <c r="E1088">
        <v>50</v>
      </c>
      <c r="F1088">
        <v>49.814384459999999</v>
      </c>
      <c r="G1088">
        <v>1392.4694824000001</v>
      </c>
      <c r="H1088">
        <v>1376.9667969</v>
      </c>
      <c r="I1088">
        <v>1288.2247314000001</v>
      </c>
      <c r="J1088">
        <v>1269.1799315999999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732.18037300000003</v>
      </c>
      <c r="B1089" s="1">
        <f>DATE(2012,5,2) + TIME(4,19,44)</f>
        <v>41031.18037037037</v>
      </c>
      <c r="C1089">
        <v>80</v>
      </c>
      <c r="D1089">
        <v>75.226104735999996</v>
      </c>
      <c r="E1089">
        <v>50</v>
      </c>
      <c r="F1089">
        <v>49.807334900000001</v>
      </c>
      <c r="G1089">
        <v>1392.3360596</v>
      </c>
      <c r="H1089">
        <v>1376.9071045000001</v>
      </c>
      <c r="I1089">
        <v>1288.2242432</v>
      </c>
      <c r="J1089">
        <v>1269.1781006000001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732.24790299999995</v>
      </c>
      <c r="B1090" s="1">
        <f>DATE(2012,5,2) + TIME(5,56,58)</f>
        <v>41031.247893518521</v>
      </c>
      <c r="C1090">
        <v>80</v>
      </c>
      <c r="D1090">
        <v>75.635665893999999</v>
      </c>
      <c r="E1090">
        <v>50</v>
      </c>
      <c r="F1090">
        <v>49.799957274999997</v>
      </c>
      <c r="G1090">
        <v>1392.2045897999999</v>
      </c>
      <c r="H1090">
        <v>1376.8464355000001</v>
      </c>
      <c r="I1090">
        <v>1288.2237548999999</v>
      </c>
      <c r="J1090">
        <v>1269.1761475000001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732.31967099999997</v>
      </c>
      <c r="B1091" s="1">
        <f>DATE(2012,5,2) + TIME(7,40,19)</f>
        <v>41031.319664351853</v>
      </c>
      <c r="C1091">
        <v>80</v>
      </c>
      <c r="D1091">
        <v>76.031089782999999</v>
      </c>
      <c r="E1091">
        <v>50</v>
      </c>
      <c r="F1091">
        <v>49.792205811000002</v>
      </c>
      <c r="G1091">
        <v>1392.074707</v>
      </c>
      <c r="H1091">
        <v>1376.7847899999999</v>
      </c>
      <c r="I1091">
        <v>1288.2230225000001</v>
      </c>
      <c r="J1091">
        <v>1269.1740723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732.39622799999995</v>
      </c>
      <c r="B1092" s="1">
        <f>DATE(2012,5,2) + TIME(9,30,34)</f>
        <v>41031.396226851852</v>
      </c>
      <c r="C1092">
        <v>80</v>
      </c>
      <c r="D1092">
        <v>76.411933899000005</v>
      </c>
      <c r="E1092">
        <v>50</v>
      </c>
      <c r="F1092">
        <v>49.784038543999998</v>
      </c>
      <c r="G1092">
        <v>1391.9460449000001</v>
      </c>
      <c r="H1092">
        <v>1376.7216797000001</v>
      </c>
      <c r="I1092">
        <v>1288.222168</v>
      </c>
      <c r="J1092">
        <v>1269.1719971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732.47826299999997</v>
      </c>
      <c r="B1093" s="1">
        <f>DATE(2012,5,2) + TIME(11,28,41)</f>
        <v>41031.478252314817</v>
      </c>
      <c r="C1093">
        <v>80</v>
      </c>
      <c r="D1093">
        <v>76.777786254999995</v>
      </c>
      <c r="E1093">
        <v>50</v>
      </c>
      <c r="F1093">
        <v>49.775398254000002</v>
      </c>
      <c r="G1093">
        <v>1391.8182373</v>
      </c>
      <c r="H1093">
        <v>1376.6568603999999</v>
      </c>
      <c r="I1093">
        <v>1288.2213135</v>
      </c>
      <c r="J1093">
        <v>1269.1696777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732.56660299999999</v>
      </c>
      <c r="B1094" s="1">
        <f>DATE(2012,5,2) + TIME(13,35,54)</f>
        <v>41031.56659722222</v>
      </c>
      <c r="C1094">
        <v>80</v>
      </c>
      <c r="D1094">
        <v>77.128150939999998</v>
      </c>
      <c r="E1094">
        <v>50</v>
      </c>
      <c r="F1094">
        <v>49.766212463000002</v>
      </c>
      <c r="G1094">
        <v>1391.6910399999999</v>
      </c>
      <c r="H1094">
        <v>1376.5900879000001</v>
      </c>
      <c r="I1094">
        <v>1288.2202147999999</v>
      </c>
      <c r="J1094">
        <v>1269.1672363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732.66227400000002</v>
      </c>
      <c r="B1095" s="1">
        <f>DATE(2012,5,2) + TIME(15,53,40)</f>
        <v>41031.662268518521</v>
      </c>
      <c r="C1095">
        <v>80</v>
      </c>
      <c r="D1095">
        <v>77.462478637999993</v>
      </c>
      <c r="E1095">
        <v>50</v>
      </c>
      <c r="F1095">
        <v>49.756401062000002</v>
      </c>
      <c r="G1095">
        <v>1391.5638428</v>
      </c>
      <c r="H1095">
        <v>1376.5207519999999</v>
      </c>
      <c r="I1095">
        <v>1288.2189940999999</v>
      </c>
      <c r="J1095">
        <v>1269.1645507999999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732.76656200000002</v>
      </c>
      <c r="B1096" s="1">
        <f>DATE(2012,5,2) + TIME(18,23,50)</f>
        <v>41031.766550925924</v>
      </c>
      <c r="C1096">
        <v>80</v>
      </c>
      <c r="D1096">
        <v>77.780143738000007</v>
      </c>
      <c r="E1096">
        <v>50</v>
      </c>
      <c r="F1096">
        <v>49.745861052999999</v>
      </c>
      <c r="G1096">
        <v>1391.4362793</v>
      </c>
      <c r="H1096">
        <v>1376.4484863</v>
      </c>
      <c r="I1096">
        <v>1288.2175293</v>
      </c>
      <c r="J1096">
        <v>1269.1617432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732.87425599999995</v>
      </c>
      <c r="B1097" s="1">
        <f>DATE(2012,5,2) + TIME(20,58,55)</f>
        <v>41031.874247685184</v>
      </c>
      <c r="C1097">
        <v>80</v>
      </c>
      <c r="D1097">
        <v>78.064872742000006</v>
      </c>
      <c r="E1097">
        <v>50</v>
      </c>
      <c r="F1097">
        <v>49.735061645999998</v>
      </c>
      <c r="G1097">
        <v>1391.3138428</v>
      </c>
      <c r="H1097">
        <v>1376.3757324000001</v>
      </c>
      <c r="I1097">
        <v>1288.2158202999999</v>
      </c>
      <c r="J1097">
        <v>1269.1586914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732.98222199999998</v>
      </c>
      <c r="B1098" s="1">
        <f>DATE(2012,5,2) + TIME(23,34,23)</f>
        <v>41031.982210648152</v>
      </c>
      <c r="C1098">
        <v>80</v>
      </c>
      <c r="D1098">
        <v>78.312545775999993</v>
      </c>
      <c r="E1098">
        <v>50</v>
      </c>
      <c r="F1098">
        <v>49.724281310999999</v>
      </c>
      <c r="G1098">
        <v>1391.1990966999999</v>
      </c>
      <c r="H1098">
        <v>1376.3045654</v>
      </c>
      <c r="I1098">
        <v>1288.2138672000001</v>
      </c>
      <c r="J1098">
        <v>1269.1556396000001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733.09090700000002</v>
      </c>
      <c r="B1099" s="1">
        <f>DATE(2012,5,3) + TIME(2,10,54)</f>
        <v>41032.090902777774</v>
      </c>
      <c r="C1099">
        <v>80</v>
      </c>
      <c r="D1099">
        <v>78.528663635000001</v>
      </c>
      <c r="E1099">
        <v>50</v>
      </c>
      <c r="F1099">
        <v>49.713485718000001</v>
      </c>
      <c r="G1099">
        <v>1391.0909423999999</v>
      </c>
      <c r="H1099">
        <v>1376.2351074000001</v>
      </c>
      <c r="I1099">
        <v>1288.2119141000001</v>
      </c>
      <c r="J1099">
        <v>1269.1524658000001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733.20059400000002</v>
      </c>
      <c r="B1100" s="1">
        <f>DATE(2012,5,3) + TIME(4,48,51)</f>
        <v>41032.200590277775</v>
      </c>
      <c r="C1100">
        <v>80</v>
      </c>
      <c r="D1100">
        <v>78.717498778999996</v>
      </c>
      <c r="E1100">
        <v>50</v>
      </c>
      <c r="F1100">
        <v>49.702640533</v>
      </c>
      <c r="G1100">
        <v>1390.9885254000001</v>
      </c>
      <c r="H1100">
        <v>1376.1673584</v>
      </c>
      <c r="I1100">
        <v>1288.2098389</v>
      </c>
      <c r="J1100">
        <v>1269.1492920000001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733.31156299999998</v>
      </c>
      <c r="B1101" s="1">
        <f>DATE(2012,5,3) + TIME(7,28,39)</f>
        <v>41032.311562499999</v>
      </c>
      <c r="C1101">
        <v>80</v>
      </c>
      <c r="D1101">
        <v>78.882629394999995</v>
      </c>
      <c r="E1101">
        <v>50</v>
      </c>
      <c r="F1101">
        <v>49.691726684999999</v>
      </c>
      <c r="G1101">
        <v>1390.8909911999999</v>
      </c>
      <c r="H1101">
        <v>1376.1008300999999</v>
      </c>
      <c r="I1101">
        <v>1288.2076416</v>
      </c>
      <c r="J1101">
        <v>1269.1461182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733.42408499999999</v>
      </c>
      <c r="B1102" s="1">
        <f>DATE(2012,5,3) + TIME(10,10,40)</f>
        <v>41032.424074074072</v>
      </c>
      <c r="C1102">
        <v>80</v>
      </c>
      <c r="D1102">
        <v>79.027099609000004</v>
      </c>
      <c r="E1102">
        <v>50</v>
      </c>
      <c r="F1102">
        <v>49.680713654000002</v>
      </c>
      <c r="G1102">
        <v>1390.7976074000001</v>
      </c>
      <c r="H1102">
        <v>1376.0355225000001</v>
      </c>
      <c r="I1102">
        <v>1288.2054443</v>
      </c>
      <c r="J1102">
        <v>1269.1428223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733.53847699999994</v>
      </c>
      <c r="B1103" s="1">
        <f>DATE(2012,5,3) + TIME(12,55,24)</f>
        <v>41032.538472222222</v>
      </c>
      <c r="C1103">
        <v>80</v>
      </c>
      <c r="D1103">
        <v>79.153549193999993</v>
      </c>
      <c r="E1103">
        <v>50</v>
      </c>
      <c r="F1103">
        <v>49.669582366999997</v>
      </c>
      <c r="G1103">
        <v>1390.7077637</v>
      </c>
      <c r="H1103">
        <v>1375.9711914</v>
      </c>
      <c r="I1103">
        <v>1288.203125</v>
      </c>
      <c r="J1103">
        <v>1269.1396483999999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733.65498200000002</v>
      </c>
      <c r="B1104" s="1">
        <f>DATE(2012,5,3) + TIME(15,43,10)</f>
        <v>41032.654976851853</v>
      </c>
      <c r="C1104">
        <v>80</v>
      </c>
      <c r="D1104">
        <v>79.264137267999999</v>
      </c>
      <c r="E1104">
        <v>50</v>
      </c>
      <c r="F1104">
        <v>49.658306121999999</v>
      </c>
      <c r="G1104">
        <v>1390.6210937999999</v>
      </c>
      <c r="H1104">
        <v>1375.9075928</v>
      </c>
      <c r="I1104">
        <v>1288.2006836</v>
      </c>
      <c r="J1104">
        <v>1269.1362305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733.77387899999997</v>
      </c>
      <c r="B1105" s="1">
        <f>DATE(2012,5,3) + TIME(18,34,23)</f>
        <v>41032.773877314816</v>
      </c>
      <c r="C1105">
        <v>80</v>
      </c>
      <c r="D1105">
        <v>79.360794067</v>
      </c>
      <c r="E1105">
        <v>50</v>
      </c>
      <c r="F1105">
        <v>49.646862030000001</v>
      </c>
      <c r="G1105">
        <v>1390.5371094</v>
      </c>
      <c r="H1105">
        <v>1375.8447266000001</v>
      </c>
      <c r="I1105">
        <v>1288.1981201000001</v>
      </c>
      <c r="J1105">
        <v>1269.1328125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733.89547200000004</v>
      </c>
      <c r="B1106" s="1">
        <f>DATE(2012,5,3) + TIME(21,29,28)</f>
        <v>41032.895462962966</v>
      </c>
      <c r="C1106">
        <v>80</v>
      </c>
      <c r="D1106">
        <v>79.445190429999997</v>
      </c>
      <c r="E1106">
        <v>50</v>
      </c>
      <c r="F1106">
        <v>49.635223388999997</v>
      </c>
      <c r="G1106">
        <v>1390.4554443</v>
      </c>
      <c r="H1106">
        <v>1375.7823486</v>
      </c>
      <c r="I1106">
        <v>1288.1955565999999</v>
      </c>
      <c r="J1106">
        <v>1269.1293945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734.02008000000001</v>
      </c>
      <c r="B1107" s="1">
        <f>DATE(2012,5,4) + TIME(0,28,54)</f>
        <v>41033.020069444443</v>
      </c>
      <c r="C1107">
        <v>80</v>
      </c>
      <c r="D1107">
        <v>79.518775939999998</v>
      </c>
      <c r="E1107">
        <v>50</v>
      </c>
      <c r="F1107">
        <v>49.623363495</v>
      </c>
      <c r="G1107">
        <v>1390.3756103999999</v>
      </c>
      <c r="H1107">
        <v>1375.7203368999999</v>
      </c>
      <c r="I1107">
        <v>1288.1928711</v>
      </c>
      <c r="J1107">
        <v>1269.1258545000001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734.14804700000002</v>
      </c>
      <c r="B1108" s="1">
        <f>DATE(2012,5,4) + TIME(3,33,11)</f>
        <v>41033.148043981484</v>
      </c>
      <c r="C1108">
        <v>80</v>
      </c>
      <c r="D1108">
        <v>79.582832335999996</v>
      </c>
      <c r="E1108">
        <v>50</v>
      </c>
      <c r="F1108">
        <v>49.611255645999996</v>
      </c>
      <c r="G1108">
        <v>1390.2974853999999</v>
      </c>
      <c r="H1108">
        <v>1375.6586914</v>
      </c>
      <c r="I1108">
        <v>1288.1900635</v>
      </c>
      <c r="J1108">
        <v>1269.1221923999999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734.27974600000005</v>
      </c>
      <c r="B1109" s="1">
        <f>DATE(2012,5,4) + TIME(6,42,50)</f>
        <v>41033.279745370368</v>
      </c>
      <c r="C1109">
        <v>80</v>
      </c>
      <c r="D1109">
        <v>79.638481139999996</v>
      </c>
      <c r="E1109">
        <v>50</v>
      </c>
      <c r="F1109">
        <v>49.598869323999999</v>
      </c>
      <c r="G1109">
        <v>1390.2207031</v>
      </c>
      <c r="H1109">
        <v>1375.597168</v>
      </c>
      <c r="I1109">
        <v>1288.1871338000001</v>
      </c>
      <c r="J1109">
        <v>1269.1184082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734.41558599999996</v>
      </c>
      <c r="B1110" s="1">
        <f>DATE(2012,5,4) + TIME(9,58,26)</f>
        <v>41033.415578703702</v>
      </c>
      <c r="C1110">
        <v>80</v>
      </c>
      <c r="D1110">
        <v>79.686706543</v>
      </c>
      <c r="E1110">
        <v>50</v>
      </c>
      <c r="F1110">
        <v>49.586170197000001</v>
      </c>
      <c r="G1110">
        <v>1390.1450195</v>
      </c>
      <c r="H1110">
        <v>1375.5357666</v>
      </c>
      <c r="I1110">
        <v>1288.184082</v>
      </c>
      <c r="J1110">
        <v>1269.114624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734.55602099999999</v>
      </c>
      <c r="B1111" s="1">
        <f>DATE(2012,5,4) + TIME(13,20,40)</f>
        <v>41033.556018518517</v>
      </c>
      <c r="C1111">
        <v>80</v>
      </c>
      <c r="D1111">
        <v>79.728401184000006</v>
      </c>
      <c r="E1111">
        <v>50</v>
      </c>
      <c r="F1111">
        <v>49.573120117000002</v>
      </c>
      <c r="G1111">
        <v>1390.0701904</v>
      </c>
      <c r="H1111">
        <v>1375.4742432</v>
      </c>
      <c r="I1111">
        <v>1288.1809082</v>
      </c>
      <c r="J1111">
        <v>1269.1105957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734.70155299999999</v>
      </c>
      <c r="B1112" s="1">
        <f>DATE(2012,5,4) + TIME(16,50,14)</f>
        <v>41033.701550925929</v>
      </c>
      <c r="C1112">
        <v>80</v>
      </c>
      <c r="D1112">
        <v>79.764320373999993</v>
      </c>
      <c r="E1112">
        <v>50</v>
      </c>
      <c r="F1112">
        <v>49.559684752999999</v>
      </c>
      <c r="G1112">
        <v>1389.9958495999999</v>
      </c>
      <c r="H1112">
        <v>1375.4124756000001</v>
      </c>
      <c r="I1112">
        <v>1288.1776123</v>
      </c>
      <c r="J1112">
        <v>1269.1064452999999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734.85280999999998</v>
      </c>
      <c r="B1113" s="1">
        <f>DATE(2012,5,4) + TIME(20,28,2)</f>
        <v>41033.852800925924</v>
      </c>
      <c r="C1113">
        <v>80</v>
      </c>
      <c r="D1113">
        <v>79.795181274000001</v>
      </c>
      <c r="E1113">
        <v>50</v>
      </c>
      <c r="F1113">
        <v>49.545806884999998</v>
      </c>
      <c r="G1113">
        <v>1389.9217529</v>
      </c>
      <c r="H1113">
        <v>1375.3504639</v>
      </c>
      <c r="I1113">
        <v>1288.1743164</v>
      </c>
      <c r="J1113">
        <v>1269.1021728999999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735.01042600000005</v>
      </c>
      <c r="B1114" s="1">
        <f>DATE(2012,5,5) + TIME(0,15,0)</f>
        <v>41034.010416666664</v>
      </c>
      <c r="C1114">
        <v>80</v>
      </c>
      <c r="D1114">
        <v>79.821586608999993</v>
      </c>
      <c r="E1114">
        <v>50</v>
      </c>
      <c r="F1114">
        <v>49.531444550000003</v>
      </c>
      <c r="G1114">
        <v>1389.8477783000001</v>
      </c>
      <c r="H1114">
        <v>1375.2879639</v>
      </c>
      <c r="I1114">
        <v>1288.1707764</v>
      </c>
      <c r="J1114">
        <v>1269.0977783000001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735.17510000000004</v>
      </c>
      <c r="B1115" s="1">
        <f>DATE(2012,5,5) + TIME(4,12,8)</f>
        <v>41034.175092592595</v>
      </c>
      <c r="C1115">
        <v>80</v>
      </c>
      <c r="D1115">
        <v>79.844070435000006</v>
      </c>
      <c r="E1115">
        <v>50</v>
      </c>
      <c r="F1115">
        <v>49.516544342000003</v>
      </c>
      <c r="G1115">
        <v>1389.7736815999999</v>
      </c>
      <c r="H1115">
        <v>1375.2248535000001</v>
      </c>
      <c r="I1115">
        <v>1288.1669922000001</v>
      </c>
      <c r="J1115">
        <v>1269.0931396000001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735.34759499999996</v>
      </c>
      <c r="B1116" s="1">
        <f>DATE(2012,5,5) + TIME(8,20,32)</f>
        <v>41034.347592592596</v>
      </c>
      <c r="C1116">
        <v>80</v>
      </c>
      <c r="D1116">
        <v>79.863128661999994</v>
      </c>
      <c r="E1116">
        <v>50</v>
      </c>
      <c r="F1116">
        <v>49.501041411999999</v>
      </c>
      <c r="G1116">
        <v>1389.6990966999999</v>
      </c>
      <c r="H1116">
        <v>1375.1608887</v>
      </c>
      <c r="I1116">
        <v>1288.1630858999999</v>
      </c>
      <c r="J1116">
        <v>1269.0882568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735.52649299999996</v>
      </c>
      <c r="B1117" s="1">
        <f>DATE(2012,5,5) + TIME(12,38,8)</f>
        <v>41034.52648148148</v>
      </c>
      <c r="C1117">
        <v>80</v>
      </c>
      <c r="D1117">
        <v>79.879013061999999</v>
      </c>
      <c r="E1117">
        <v>50</v>
      </c>
      <c r="F1117">
        <v>49.485046386999997</v>
      </c>
      <c r="G1117">
        <v>1389.6240233999999</v>
      </c>
      <c r="H1117">
        <v>1375.0960693</v>
      </c>
      <c r="I1117">
        <v>1288.1590576000001</v>
      </c>
      <c r="J1117">
        <v>1269.0832519999999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735.71261800000002</v>
      </c>
      <c r="B1118" s="1">
        <f>DATE(2012,5,5) + TIME(17,6,10)</f>
        <v>41034.71261574074</v>
      </c>
      <c r="C1118">
        <v>80</v>
      </c>
      <c r="D1118">
        <v>79.892219542999996</v>
      </c>
      <c r="E1118">
        <v>50</v>
      </c>
      <c r="F1118">
        <v>49.468494415000002</v>
      </c>
      <c r="G1118">
        <v>1389.5489502</v>
      </c>
      <c r="H1118">
        <v>1375.0310059000001</v>
      </c>
      <c r="I1118">
        <v>1288.1547852000001</v>
      </c>
      <c r="J1118">
        <v>1269.0780029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735.90678000000003</v>
      </c>
      <c r="B1119" s="1">
        <f>DATE(2012,5,5) + TIME(21,45,45)</f>
        <v>41034.906770833331</v>
      </c>
      <c r="C1119">
        <v>80</v>
      </c>
      <c r="D1119">
        <v>79.903152465999995</v>
      </c>
      <c r="E1119">
        <v>50</v>
      </c>
      <c r="F1119">
        <v>49.451328277999998</v>
      </c>
      <c r="G1119">
        <v>1389.4736327999999</v>
      </c>
      <c r="H1119">
        <v>1374.9655762</v>
      </c>
      <c r="I1119">
        <v>1288.1503906</v>
      </c>
      <c r="J1119">
        <v>1269.0725098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736.10979599999996</v>
      </c>
      <c r="B1120" s="1">
        <f>DATE(2012,5,6) + TIME(2,38,6)</f>
        <v>41035.109791666669</v>
      </c>
      <c r="C1120">
        <v>80</v>
      </c>
      <c r="D1120">
        <v>79.912147521999998</v>
      </c>
      <c r="E1120">
        <v>50</v>
      </c>
      <c r="F1120">
        <v>49.433494568</v>
      </c>
      <c r="G1120">
        <v>1389.3978271000001</v>
      </c>
      <c r="H1120">
        <v>1374.8994141000001</v>
      </c>
      <c r="I1120">
        <v>1288.1457519999999</v>
      </c>
      <c r="J1120">
        <v>1269.0667725000001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736.32269399999996</v>
      </c>
      <c r="B1121" s="1">
        <f>DATE(2012,5,6) + TIME(7,44,40)</f>
        <v>41035.322685185187</v>
      </c>
      <c r="C1121">
        <v>80</v>
      </c>
      <c r="D1121">
        <v>79.919517517000003</v>
      </c>
      <c r="E1121">
        <v>50</v>
      </c>
      <c r="F1121">
        <v>49.414909363</v>
      </c>
      <c r="G1121">
        <v>1389.3212891000001</v>
      </c>
      <c r="H1121">
        <v>1374.8323975000001</v>
      </c>
      <c r="I1121">
        <v>1288.1409911999999</v>
      </c>
      <c r="J1121">
        <v>1269.0607910000001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736.54395099999999</v>
      </c>
      <c r="B1122" s="1">
        <f>DATE(2012,5,6) + TIME(13,3,17)</f>
        <v>41035.543946759259</v>
      </c>
      <c r="C1122">
        <v>80</v>
      </c>
      <c r="D1122">
        <v>79.925460814999994</v>
      </c>
      <c r="E1122">
        <v>50</v>
      </c>
      <c r="F1122">
        <v>49.395683288999997</v>
      </c>
      <c r="G1122">
        <v>1389.2438964999999</v>
      </c>
      <c r="H1122">
        <v>1374.7645264</v>
      </c>
      <c r="I1122">
        <v>1288.1358643000001</v>
      </c>
      <c r="J1122">
        <v>1269.0544434000001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736.76594799999998</v>
      </c>
      <c r="B1123" s="1">
        <f>DATE(2012,5,6) + TIME(18,22,57)</f>
        <v>41035.7659375</v>
      </c>
      <c r="C1123">
        <v>80</v>
      </c>
      <c r="D1123">
        <v>79.930114746000001</v>
      </c>
      <c r="E1123">
        <v>50</v>
      </c>
      <c r="F1123">
        <v>49.376335144000002</v>
      </c>
      <c r="G1123">
        <v>1389.1663818</v>
      </c>
      <c r="H1123">
        <v>1374.6962891000001</v>
      </c>
      <c r="I1123">
        <v>1288.1306152</v>
      </c>
      <c r="J1123">
        <v>1269.0479736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736.98945900000001</v>
      </c>
      <c r="B1124" s="1">
        <f>DATE(2012,5,6) + TIME(23,44,49)</f>
        <v>41035.98945601852</v>
      </c>
      <c r="C1124">
        <v>80</v>
      </c>
      <c r="D1124">
        <v>79.933761597</v>
      </c>
      <c r="E1124">
        <v>50</v>
      </c>
      <c r="F1124">
        <v>49.356838226000001</v>
      </c>
      <c r="G1124">
        <v>1389.0910644999999</v>
      </c>
      <c r="H1124">
        <v>1374.6300048999999</v>
      </c>
      <c r="I1124">
        <v>1288.1252440999999</v>
      </c>
      <c r="J1124">
        <v>1269.0415039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737.21502499999997</v>
      </c>
      <c r="B1125" s="1">
        <f>DATE(2012,5,7) + TIME(5,9,38)</f>
        <v>41036.21502314815</v>
      </c>
      <c r="C1125">
        <v>80</v>
      </c>
      <c r="D1125">
        <v>79.936637877999999</v>
      </c>
      <c r="E1125">
        <v>50</v>
      </c>
      <c r="F1125">
        <v>49.337181090999998</v>
      </c>
      <c r="G1125">
        <v>1389.0177002</v>
      </c>
      <c r="H1125">
        <v>1374.5654297000001</v>
      </c>
      <c r="I1125">
        <v>1288.1198730000001</v>
      </c>
      <c r="J1125">
        <v>1269.0349120999999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737.443264</v>
      </c>
      <c r="B1126" s="1">
        <f>DATE(2012,5,7) + TIME(10,38,17)</f>
        <v>41036.443252314813</v>
      </c>
      <c r="C1126">
        <v>80</v>
      </c>
      <c r="D1126">
        <v>79.938919067</v>
      </c>
      <c r="E1126">
        <v>50</v>
      </c>
      <c r="F1126">
        <v>49.317333220999998</v>
      </c>
      <c r="G1126">
        <v>1388.9460449000001</v>
      </c>
      <c r="H1126">
        <v>1374.5021973</v>
      </c>
      <c r="I1126">
        <v>1288.1145019999999</v>
      </c>
      <c r="J1126">
        <v>1269.0281981999999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737.67479100000003</v>
      </c>
      <c r="B1127" s="1">
        <f>DATE(2012,5,7) + TIME(16,11,41)</f>
        <v>41036.674780092595</v>
      </c>
      <c r="C1127">
        <v>80</v>
      </c>
      <c r="D1127">
        <v>79.940734863000003</v>
      </c>
      <c r="E1127">
        <v>50</v>
      </c>
      <c r="F1127">
        <v>49.297256470000001</v>
      </c>
      <c r="G1127">
        <v>1388.8756103999999</v>
      </c>
      <c r="H1127">
        <v>1374.4401855000001</v>
      </c>
      <c r="I1127">
        <v>1288.1090088000001</v>
      </c>
      <c r="J1127">
        <v>1269.0214844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737.91023499999994</v>
      </c>
      <c r="B1128" s="1">
        <f>DATE(2012,5,7) + TIME(21,50,44)</f>
        <v>41036.910231481481</v>
      </c>
      <c r="C1128">
        <v>80</v>
      </c>
      <c r="D1128">
        <v>79.942184448000006</v>
      </c>
      <c r="E1128">
        <v>50</v>
      </c>
      <c r="F1128">
        <v>49.276916503999999</v>
      </c>
      <c r="G1128">
        <v>1388.8062743999999</v>
      </c>
      <c r="H1128">
        <v>1374.3790283000001</v>
      </c>
      <c r="I1128">
        <v>1288.1035156</v>
      </c>
      <c r="J1128">
        <v>1269.0145264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738.15024600000004</v>
      </c>
      <c r="B1129" s="1">
        <f>DATE(2012,5,8) + TIME(3,36,21)</f>
        <v>41037.150243055556</v>
      </c>
      <c r="C1129">
        <v>80</v>
      </c>
      <c r="D1129">
        <v>79.943351746000005</v>
      </c>
      <c r="E1129">
        <v>50</v>
      </c>
      <c r="F1129">
        <v>49.256275176999999</v>
      </c>
      <c r="G1129">
        <v>1388.737793</v>
      </c>
      <c r="H1129">
        <v>1374.3187256000001</v>
      </c>
      <c r="I1129">
        <v>1288.0979004000001</v>
      </c>
      <c r="J1129">
        <v>1269.0075684000001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738.39550799999995</v>
      </c>
      <c r="B1130" s="1">
        <f>DATE(2012,5,8) + TIME(9,29,31)</f>
        <v>41037.395497685182</v>
      </c>
      <c r="C1130">
        <v>80</v>
      </c>
      <c r="D1130">
        <v>79.944290160999998</v>
      </c>
      <c r="E1130">
        <v>50</v>
      </c>
      <c r="F1130">
        <v>49.235282898000001</v>
      </c>
      <c r="G1130">
        <v>1388.6699219</v>
      </c>
      <c r="H1130">
        <v>1374.2589111</v>
      </c>
      <c r="I1130">
        <v>1288.0922852000001</v>
      </c>
      <c r="J1130">
        <v>1269.0004882999999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738.64675399999999</v>
      </c>
      <c r="B1131" s="1">
        <f>DATE(2012,5,8) + TIME(15,31,19)</f>
        <v>41037.646747685183</v>
      </c>
      <c r="C1131">
        <v>80</v>
      </c>
      <c r="D1131">
        <v>79.945053100999999</v>
      </c>
      <c r="E1131">
        <v>50</v>
      </c>
      <c r="F1131">
        <v>49.213890075999998</v>
      </c>
      <c r="G1131">
        <v>1388.6024170000001</v>
      </c>
      <c r="H1131">
        <v>1374.1994629000001</v>
      </c>
      <c r="I1131">
        <v>1288.0864257999999</v>
      </c>
      <c r="J1131">
        <v>1268.9931641000001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738.90477799999996</v>
      </c>
      <c r="B1132" s="1">
        <f>DATE(2012,5,8) + TIME(21,42,52)</f>
        <v>41037.904768518521</v>
      </c>
      <c r="C1132">
        <v>80</v>
      </c>
      <c r="D1132">
        <v>79.945671082000004</v>
      </c>
      <c r="E1132">
        <v>50</v>
      </c>
      <c r="F1132">
        <v>49.192047119000001</v>
      </c>
      <c r="G1132">
        <v>1388.5352783000001</v>
      </c>
      <c r="H1132">
        <v>1374.1402588000001</v>
      </c>
      <c r="I1132">
        <v>1288.0804443</v>
      </c>
      <c r="J1132">
        <v>1268.9857178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739.17045399999995</v>
      </c>
      <c r="B1133" s="1">
        <f>DATE(2012,5,9) + TIME(4,5,27)</f>
        <v>41038.170451388891</v>
      </c>
      <c r="C1133">
        <v>80</v>
      </c>
      <c r="D1133">
        <v>79.946182250999996</v>
      </c>
      <c r="E1133">
        <v>50</v>
      </c>
      <c r="F1133">
        <v>49.169689177999999</v>
      </c>
      <c r="G1133">
        <v>1388.4681396000001</v>
      </c>
      <c r="H1133">
        <v>1374.0810547000001</v>
      </c>
      <c r="I1133">
        <v>1288.0743408000001</v>
      </c>
      <c r="J1133">
        <v>1268.9780272999999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739.44490399999995</v>
      </c>
      <c r="B1134" s="1">
        <f>DATE(2012,5,9) + TIME(10,40,39)</f>
        <v>41038.444895833331</v>
      </c>
      <c r="C1134">
        <v>80</v>
      </c>
      <c r="D1134">
        <v>79.946601868000002</v>
      </c>
      <c r="E1134">
        <v>50</v>
      </c>
      <c r="F1134">
        <v>49.146739959999998</v>
      </c>
      <c r="G1134">
        <v>1388.4007568</v>
      </c>
      <c r="H1134">
        <v>1374.0217285000001</v>
      </c>
      <c r="I1134">
        <v>1288.0679932</v>
      </c>
      <c r="J1134">
        <v>1268.9700928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739.72911899999997</v>
      </c>
      <c r="B1135" s="1">
        <f>DATE(2012,5,9) + TIME(17,29,55)</f>
        <v>41038.729108796295</v>
      </c>
      <c r="C1135">
        <v>80</v>
      </c>
      <c r="D1135">
        <v>79.946945189999994</v>
      </c>
      <c r="E1135">
        <v>50</v>
      </c>
      <c r="F1135">
        <v>49.123130797999998</v>
      </c>
      <c r="G1135">
        <v>1388.3331298999999</v>
      </c>
      <c r="H1135">
        <v>1373.9621582</v>
      </c>
      <c r="I1135">
        <v>1288.0615233999999</v>
      </c>
      <c r="J1135">
        <v>1268.9619141000001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740.02161000000001</v>
      </c>
      <c r="B1136" s="1">
        <f>DATE(2012,5,10) + TIME(0,31,7)</f>
        <v>41039.021608796298</v>
      </c>
      <c r="C1136">
        <v>80</v>
      </c>
      <c r="D1136">
        <v>79.947235106999997</v>
      </c>
      <c r="E1136">
        <v>50</v>
      </c>
      <c r="F1136">
        <v>49.098941803000002</v>
      </c>
      <c r="G1136">
        <v>1388.2648925999999</v>
      </c>
      <c r="H1136">
        <v>1373.9019774999999</v>
      </c>
      <c r="I1136">
        <v>1288.0548096</v>
      </c>
      <c r="J1136">
        <v>1268.9534911999999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740.32169499999998</v>
      </c>
      <c r="B1137" s="1">
        <f>DATE(2012,5,10) + TIME(7,43,14)</f>
        <v>41039.321689814817</v>
      </c>
      <c r="C1137">
        <v>80</v>
      </c>
      <c r="D1137">
        <v>79.947463988999999</v>
      </c>
      <c r="E1137">
        <v>50</v>
      </c>
      <c r="F1137">
        <v>49.074214935000001</v>
      </c>
      <c r="G1137">
        <v>1388.1965332</v>
      </c>
      <c r="H1137">
        <v>1373.8417969</v>
      </c>
      <c r="I1137">
        <v>1288.0477295000001</v>
      </c>
      <c r="J1137">
        <v>1268.9447021000001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740.630313</v>
      </c>
      <c r="B1138" s="1">
        <f>DATE(2012,5,10) + TIME(15,7,39)</f>
        <v>41039.630312499998</v>
      </c>
      <c r="C1138">
        <v>80</v>
      </c>
      <c r="D1138">
        <v>79.947662354000002</v>
      </c>
      <c r="E1138">
        <v>50</v>
      </c>
      <c r="F1138">
        <v>49.048896790000001</v>
      </c>
      <c r="G1138">
        <v>1388.1282959</v>
      </c>
      <c r="H1138">
        <v>1373.7817382999999</v>
      </c>
      <c r="I1138">
        <v>1288.0406493999999</v>
      </c>
      <c r="J1138">
        <v>1268.9357910000001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740.94845999999995</v>
      </c>
      <c r="B1139" s="1">
        <f>DATE(2012,5,10) + TIME(22,45,46)</f>
        <v>41039.948449074072</v>
      </c>
      <c r="C1139">
        <v>80</v>
      </c>
      <c r="D1139">
        <v>79.947822571000003</v>
      </c>
      <c r="E1139">
        <v>50</v>
      </c>
      <c r="F1139">
        <v>49.022933960000003</v>
      </c>
      <c r="G1139">
        <v>1388.0599365</v>
      </c>
      <c r="H1139">
        <v>1373.7215576000001</v>
      </c>
      <c r="I1139">
        <v>1288.0333252</v>
      </c>
      <c r="J1139">
        <v>1268.9265137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741.27732100000003</v>
      </c>
      <c r="B1140" s="1">
        <f>DATE(2012,5,11) + TIME(6,39,20)</f>
        <v>41040.277314814812</v>
      </c>
      <c r="C1140">
        <v>80</v>
      </c>
      <c r="D1140">
        <v>79.947959900000001</v>
      </c>
      <c r="E1140">
        <v>50</v>
      </c>
      <c r="F1140">
        <v>48.996246337999999</v>
      </c>
      <c r="G1140">
        <v>1387.9913329999999</v>
      </c>
      <c r="H1140">
        <v>1373.6611327999999</v>
      </c>
      <c r="I1140">
        <v>1288.0257568</v>
      </c>
      <c r="J1140">
        <v>1268.9169922000001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741.61825699999997</v>
      </c>
      <c r="B1141" s="1">
        <f>DATE(2012,5,11) + TIME(14,50,17)</f>
        <v>41040.618252314816</v>
      </c>
      <c r="C1141">
        <v>80</v>
      </c>
      <c r="D1141">
        <v>79.948074340999995</v>
      </c>
      <c r="E1141">
        <v>50</v>
      </c>
      <c r="F1141">
        <v>48.968753814999999</v>
      </c>
      <c r="G1141">
        <v>1387.9222411999999</v>
      </c>
      <c r="H1141">
        <v>1373.6002197</v>
      </c>
      <c r="I1141">
        <v>1288.0178223</v>
      </c>
      <c r="J1141">
        <v>1268.9071045000001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741.97053500000004</v>
      </c>
      <c r="B1142" s="1">
        <f>DATE(2012,5,11) + TIME(23,17,34)</f>
        <v>41040.970532407409</v>
      </c>
      <c r="C1142">
        <v>80</v>
      </c>
      <c r="D1142">
        <v>79.948173522999994</v>
      </c>
      <c r="E1142">
        <v>50</v>
      </c>
      <c r="F1142">
        <v>48.940486907999997</v>
      </c>
      <c r="G1142">
        <v>1387.8524170000001</v>
      </c>
      <c r="H1142">
        <v>1373.5388184000001</v>
      </c>
      <c r="I1142">
        <v>1288.0097656</v>
      </c>
      <c r="J1142">
        <v>1268.8968506000001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742.32486100000006</v>
      </c>
      <c r="B1143" s="1">
        <f>DATE(2012,5,12) + TIME(7,47,47)</f>
        <v>41041.324849537035</v>
      </c>
      <c r="C1143">
        <v>80</v>
      </c>
      <c r="D1143">
        <v>79.948249817000004</v>
      </c>
      <c r="E1143">
        <v>50</v>
      </c>
      <c r="F1143">
        <v>48.911964417</v>
      </c>
      <c r="G1143">
        <v>1387.7822266000001</v>
      </c>
      <c r="H1143">
        <v>1373.4770507999999</v>
      </c>
      <c r="I1143">
        <v>1288.0012207</v>
      </c>
      <c r="J1143">
        <v>1268.8863524999999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742.68231700000001</v>
      </c>
      <c r="B1144" s="1">
        <f>DATE(2012,5,12) + TIME(16,22,32)</f>
        <v>41041.682314814818</v>
      </c>
      <c r="C1144">
        <v>80</v>
      </c>
      <c r="D1144">
        <v>79.948310852000006</v>
      </c>
      <c r="E1144">
        <v>50</v>
      </c>
      <c r="F1144">
        <v>48.883186340000002</v>
      </c>
      <c r="G1144">
        <v>1387.7133789</v>
      </c>
      <c r="H1144">
        <v>1373.4163818</v>
      </c>
      <c r="I1144">
        <v>1287.9926757999999</v>
      </c>
      <c r="J1144">
        <v>1268.8757324000001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743.043948</v>
      </c>
      <c r="B1145" s="1">
        <f>DATE(2012,5,13) + TIME(1,3,17)</f>
        <v>41042.043946759259</v>
      </c>
      <c r="C1145">
        <v>80</v>
      </c>
      <c r="D1145">
        <v>79.948356627999999</v>
      </c>
      <c r="E1145">
        <v>50</v>
      </c>
      <c r="F1145">
        <v>48.854137420999997</v>
      </c>
      <c r="G1145">
        <v>1387.6457519999999</v>
      </c>
      <c r="H1145">
        <v>1373.3568115</v>
      </c>
      <c r="I1145">
        <v>1287.9841309000001</v>
      </c>
      <c r="J1145">
        <v>1268.8648682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743.410799</v>
      </c>
      <c r="B1146" s="1">
        <f>DATE(2012,5,13) + TIME(9,51,33)</f>
        <v>41042.410798611112</v>
      </c>
      <c r="C1146">
        <v>80</v>
      </c>
      <c r="D1146">
        <v>79.948402404999996</v>
      </c>
      <c r="E1146">
        <v>50</v>
      </c>
      <c r="F1146">
        <v>48.824771880999997</v>
      </c>
      <c r="G1146">
        <v>1387.5789795000001</v>
      </c>
      <c r="H1146">
        <v>1373.2979736</v>
      </c>
      <c r="I1146">
        <v>1287.9754639</v>
      </c>
      <c r="J1146">
        <v>1268.8540039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743.78382399999998</v>
      </c>
      <c r="B1147" s="1">
        <f>DATE(2012,5,13) + TIME(18,48,42)</f>
        <v>41042.783819444441</v>
      </c>
      <c r="C1147">
        <v>80</v>
      </c>
      <c r="D1147">
        <v>79.948432921999995</v>
      </c>
      <c r="E1147">
        <v>50</v>
      </c>
      <c r="F1147">
        <v>48.795047760000003</v>
      </c>
      <c r="G1147">
        <v>1387.5128173999999</v>
      </c>
      <c r="H1147">
        <v>1373.2397461</v>
      </c>
      <c r="I1147">
        <v>1287.9665527</v>
      </c>
      <c r="J1147">
        <v>1268.8428954999999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744.16305399999999</v>
      </c>
      <c r="B1148" s="1">
        <f>DATE(2012,5,14) + TIME(3,54,47)</f>
        <v>41043.163043981483</v>
      </c>
      <c r="C1148">
        <v>80</v>
      </c>
      <c r="D1148">
        <v>79.948463439999998</v>
      </c>
      <c r="E1148">
        <v>50</v>
      </c>
      <c r="F1148">
        <v>48.764961243000002</v>
      </c>
      <c r="G1148">
        <v>1387.4472656</v>
      </c>
      <c r="H1148">
        <v>1373.1820068</v>
      </c>
      <c r="I1148">
        <v>1287.9576416</v>
      </c>
      <c r="J1148">
        <v>1268.831543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744.54956600000003</v>
      </c>
      <c r="B1149" s="1">
        <f>DATE(2012,5,14) + TIME(13,11,22)</f>
        <v>41043.549560185187</v>
      </c>
      <c r="C1149">
        <v>80</v>
      </c>
      <c r="D1149">
        <v>79.948486328000001</v>
      </c>
      <c r="E1149">
        <v>50</v>
      </c>
      <c r="F1149">
        <v>48.734458922999998</v>
      </c>
      <c r="G1149">
        <v>1387.3820800999999</v>
      </c>
      <c r="H1149">
        <v>1373.1246338000001</v>
      </c>
      <c r="I1149">
        <v>1287.9484863</v>
      </c>
      <c r="J1149">
        <v>1268.8199463000001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744.94449299999997</v>
      </c>
      <c r="B1150" s="1">
        <f>DATE(2012,5,14) + TIME(22,40,4)</f>
        <v>41043.944490740738</v>
      </c>
      <c r="C1150">
        <v>80</v>
      </c>
      <c r="D1150">
        <v>79.948501586999996</v>
      </c>
      <c r="E1150">
        <v>50</v>
      </c>
      <c r="F1150">
        <v>48.703472136999999</v>
      </c>
      <c r="G1150">
        <v>1387.3172606999999</v>
      </c>
      <c r="H1150">
        <v>1373.0673827999999</v>
      </c>
      <c r="I1150">
        <v>1287.9390868999999</v>
      </c>
      <c r="J1150">
        <v>1268.8082274999999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745.34904800000004</v>
      </c>
      <c r="B1151" s="1">
        <f>DATE(2012,5,15) + TIME(8,22,37)</f>
        <v>41044.349039351851</v>
      </c>
      <c r="C1151">
        <v>80</v>
      </c>
      <c r="D1151">
        <v>79.948516846000004</v>
      </c>
      <c r="E1151">
        <v>50</v>
      </c>
      <c r="F1151">
        <v>48.671928405999999</v>
      </c>
      <c r="G1151">
        <v>1387.2525635</v>
      </c>
      <c r="H1151">
        <v>1373.010376</v>
      </c>
      <c r="I1151">
        <v>1287.9295654</v>
      </c>
      <c r="J1151">
        <v>1268.7961425999999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745.76455599999997</v>
      </c>
      <c r="B1152" s="1">
        <f>DATE(2012,5,15) + TIME(18,20,57)</f>
        <v>41044.764548611114</v>
      </c>
      <c r="C1152">
        <v>80</v>
      </c>
      <c r="D1152">
        <v>79.948524474999999</v>
      </c>
      <c r="E1152">
        <v>50</v>
      </c>
      <c r="F1152">
        <v>48.639739990000002</v>
      </c>
      <c r="G1152">
        <v>1387.1877440999999</v>
      </c>
      <c r="H1152">
        <v>1372.953125</v>
      </c>
      <c r="I1152">
        <v>1287.9197998</v>
      </c>
      <c r="J1152">
        <v>1268.7836914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746.192497</v>
      </c>
      <c r="B1153" s="1">
        <f>DATE(2012,5,16) + TIME(4,37,11)</f>
        <v>41045.192488425928</v>
      </c>
      <c r="C1153">
        <v>80</v>
      </c>
      <c r="D1153">
        <v>79.948532103999995</v>
      </c>
      <c r="E1153">
        <v>50</v>
      </c>
      <c r="F1153">
        <v>48.606819153000004</v>
      </c>
      <c r="G1153">
        <v>1387.1226807</v>
      </c>
      <c r="H1153">
        <v>1372.8957519999999</v>
      </c>
      <c r="I1153">
        <v>1287.909668</v>
      </c>
      <c r="J1153">
        <v>1268.7709961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746.63477899999998</v>
      </c>
      <c r="B1154" s="1">
        <f>DATE(2012,5,16) + TIME(15,14,4)</f>
        <v>41045.634768518517</v>
      </c>
      <c r="C1154">
        <v>80</v>
      </c>
      <c r="D1154">
        <v>79.948539733999993</v>
      </c>
      <c r="E1154">
        <v>50</v>
      </c>
      <c r="F1154">
        <v>48.573043822999999</v>
      </c>
      <c r="G1154">
        <v>1387.0571289</v>
      </c>
      <c r="H1154">
        <v>1372.8378906</v>
      </c>
      <c r="I1154">
        <v>1287.8992920000001</v>
      </c>
      <c r="J1154">
        <v>1268.7578125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747.09083999999996</v>
      </c>
      <c r="B1155" s="1">
        <f>DATE(2012,5,17) + TIME(2,10,48)</f>
        <v>41046.090833333335</v>
      </c>
      <c r="C1155">
        <v>80</v>
      </c>
      <c r="D1155">
        <v>79.948547363000003</v>
      </c>
      <c r="E1155">
        <v>50</v>
      </c>
      <c r="F1155">
        <v>48.538417815999999</v>
      </c>
      <c r="G1155">
        <v>1386.9909668</v>
      </c>
      <c r="H1155">
        <v>1372.7794189000001</v>
      </c>
      <c r="I1155">
        <v>1287.8885498</v>
      </c>
      <c r="J1155">
        <v>1268.7441406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747.554757</v>
      </c>
      <c r="B1156" s="1">
        <f>DATE(2012,5,17) + TIME(13,18,51)</f>
        <v>41046.554756944446</v>
      </c>
      <c r="C1156">
        <v>80</v>
      </c>
      <c r="D1156">
        <v>79.948547363000003</v>
      </c>
      <c r="E1156">
        <v>50</v>
      </c>
      <c r="F1156">
        <v>48.503215789999999</v>
      </c>
      <c r="G1156">
        <v>1386.9241943</v>
      </c>
      <c r="H1156">
        <v>1372.7205810999999</v>
      </c>
      <c r="I1156">
        <v>1287.8773193</v>
      </c>
      <c r="J1156">
        <v>1268.7299805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748.02782300000001</v>
      </c>
      <c r="B1157" s="1">
        <f>DATE(2012,5,18) + TIME(0,40,3)</f>
        <v>41047.027812499997</v>
      </c>
      <c r="C1157">
        <v>80</v>
      </c>
      <c r="D1157">
        <v>79.948547363000003</v>
      </c>
      <c r="E1157">
        <v>50</v>
      </c>
      <c r="F1157">
        <v>48.4674263</v>
      </c>
      <c r="G1157">
        <v>1386.8579102000001</v>
      </c>
      <c r="H1157">
        <v>1372.6618652</v>
      </c>
      <c r="I1157">
        <v>1287.8659668</v>
      </c>
      <c r="J1157">
        <v>1268.7155762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748.51130699999999</v>
      </c>
      <c r="B1158" s="1">
        <f>DATE(2012,5,18) + TIME(12,16,16)</f>
        <v>41047.511296296296</v>
      </c>
      <c r="C1158">
        <v>80</v>
      </c>
      <c r="D1158">
        <v>79.948547363000003</v>
      </c>
      <c r="E1158">
        <v>50</v>
      </c>
      <c r="F1158">
        <v>48.4310112</v>
      </c>
      <c r="G1158">
        <v>1386.7917480000001</v>
      </c>
      <c r="H1158">
        <v>1372.6033935999999</v>
      </c>
      <c r="I1158">
        <v>1287.8542480000001</v>
      </c>
      <c r="J1158">
        <v>1268.7009277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748.99969699999997</v>
      </c>
      <c r="B1159" s="1">
        <f>DATE(2012,5,18) + TIME(23,59,33)</f>
        <v>41047.9996875</v>
      </c>
      <c r="C1159">
        <v>80</v>
      </c>
      <c r="D1159">
        <v>79.948547363000003</v>
      </c>
      <c r="E1159">
        <v>50</v>
      </c>
      <c r="F1159">
        <v>48.394237517999997</v>
      </c>
      <c r="G1159">
        <v>1386.7257079999999</v>
      </c>
      <c r="H1159">
        <v>1372.5449219</v>
      </c>
      <c r="I1159">
        <v>1287.8422852000001</v>
      </c>
      <c r="J1159">
        <v>1268.6857910000001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749.49139500000001</v>
      </c>
      <c r="B1160" s="1">
        <f>DATE(2012,5,19) + TIME(11,47,36)</f>
        <v>41048.491388888891</v>
      </c>
      <c r="C1160">
        <v>80</v>
      </c>
      <c r="D1160">
        <v>79.948547363000003</v>
      </c>
      <c r="E1160">
        <v>50</v>
      </c>
      <c r="F1160">
        <v>48.357242583999998</v>
      </c>
      <c r="G1160">
        <v>1386.6604004000001</v>
      </c>
      <c r="H1160">
        <v>1372.4870605000001</v>
      </c>
      <c r="I1160">
        <v>1287.8302002</v>
      </c>
      <c r="J1160">
        <v>1268.6704102000001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749.98776799999996</v>
      </c>
      <c r="B1161" s="1">
        <f>DATE(2012,5,19) + TIME(23,42,23)</f>
        <v>41048.987766203703</v>
      </c>
      <c r="C1161">
        <v>80</v>
      </c>
      <c r="D1161">
        <v>79.948547363000003</v>
      </c>
      <c r="E1161">
        <v>50</v>
      </c>
      <c r="F1161">
        <v>48.320011139000002</v>
      </c>
      <c r="G1161">
        <v>1386.5960693</v>
      </c>
      <c r="H1161">
        <v>1372.4300536999999</v>
      </c>
      <c r="I1161">
        <v>1287.8178711</v>
      </c>
      <c r="J1161">
        <v>1268.6550293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750.49017800000001</v>
      </c>
      <c r="B1162" s="1">
        <f>DATE(2012,5,20) + TIME(11,45,51)</f>
        <v>41049.490173611113</v>
      </c>
      <c r="C1162">
        <v>80</v>
      </c>
      <c r="D1162">
        <v>79.948547363000003</v>
      </c>
      <c r="E1162">
        <v>50</v>
      </c>
      <c r="F1162">
        <v>48.282501220999997</v>
      </c>
      <c r="G1162">
        <v>1386.5324707</v>
      </c>
      <c r="H1162">
        <v>1372.3736572</v>
      </c>
      <c r="I1162">
        <v>1287.8055420000001</v>
      </c>
      <c r="J1162">
        <v>1268.6392822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751.00002300000006</v>
      </c>
      <c r="B1163" s="1">
        <f>DATE(2012,5,21) + TIME(0,0,2)</f>
        <v>41050.000023148146</v>
      </c>
      <c r="C1163">
        <v>80</v>
      </c>
      <c r="D1163">
        <v>79.948547363000003</v>
      </c>
      <c r="E1163">
        <v>50</v>
      </c>
      <c r="F1163">
        <v>48.244651793999999</v>
      </c>
      <c r="G1163">
        <v>1386.4693603999999</v>
      </c>
      <c r="H1163">
        <v>1372.317749</v>
      </c>
      <c r="I1163">
        <v>1287.7929687999999</v>
      </c>
      <c r="J1163">
        <v>1268.6232910000001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751.51875600000005</v>
      </c>
      <c r="B1164" s="1">
        <f>DATE(2012,5,21) + TIME(12,27,0)</f>
        <v>41050.518750000003</v>
      </c>
      <c r="C1164">
        <v>80</v>
      </c>
      <c r="D1164">
        <v>79.948547363000003</v>
      </c>
      <c r="E1164">
        <v>50</v>
      </c>
      <c r="F1164">
        <v>48.206382751</v>
      </c>
      <c r="G1164">
        <v>1386.4067382999999</v>
      </c>
      <c r="H1164">
        <v>1372.262207</v>
      </c>
      <c r="I1164">
        <v>1287.7801514</v>
      </c>
      <c r="J1164">
        <v>1268.6070557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752.04792599999996</v>
      </c>
      <c r="B1165" s="1">
        <f>DATE(2012,5,22) + TIME(1,9,0)</f>
        <v>41051.04791666667</v>
      </c>
      <c r="C1165">
        <v>80</v>
      </c>
      <c r="D1165">
        <v>79.948547363000003</v>
      </c>
      <c r="E1165">
        <v>50</v>
      </c>
      <c r="F1165">
        <v>48.167602539000001</v>
      </c>
      <c r="G1165">
        <v>1386.3442382999999</v>
      </c>
      <c r="H1165">
        <v>1372.2066649999999</v>
      </c>
      <c r="I1165">
        <v>1287.7670897999999</v>
      </c>
      <c r="J1165">
        <v>1268.5904541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752.589201</v>
      </c>
      <c r="B1166" s="1">
        <f>DATE(2012,5,22) + TIME(14,8,27)</f>
        <v>41051.589201388888</v>
      </c>
      <c r="C1166">
        <v>80</v>
      </c>
      <c r="D1166">
        <v>79.948547363000003</v>
      </c>
      <c r="E1166">
        <v>50</v>
      </c>
      <c r="F1166">
        <v>48.128215789999999</v>
      </c>
      <c r="G1166">
        <v>1386.2817382999999</v>
      </c>
      <c r="H1166">
        <v>1372.1511230000001</v>
      </c>
      <c r="I1166">
        <v>1287.7536620999999</v>
      </c>
      <c r="J1166">
        <v>1268.5733643000001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753.14440300000001</v>
      </c>
      <c r="B1167" s="1">
        <f>DATE(2012,5,23) + TIME(3,27,56)</f>
        <v>41052.14439814815</v>
      </c>
      <c r="C1167">
        <v>80</v>
      </c>
      <c r="D1167">
        <v>79.948554993000002</v>
      </c>
      <c r="E1167">
        <v>50</v>
      </c>
      <c r="F1167">
        <v>48.088104248</v>
      </c>
      <c r="G1167">
        <v>1386.2191161999999</v>
      </c>
      <c r="H1167">
        <v>1372.0954589999999</v>
      </c>
      <c r="I1167">
        <v>1287.7399902</v>
      </c>
      <c r="J1167">
        <v>1268.5557861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753.71575299999995</v>
      </c>
      <c r="B1168" s="1">
        <f>DATE(2012,5,23) + TIME(17,10,41)</f>
        <v>41052.715752314813</v>
      </c>
      <c r="C1168">
        <v>80</v>
      </c>
      <c r="D1168">
        <v>79.948554993000002</v>
      </c>
      <c r="E1168">
        <v>50</v>
      </c>
      <c r="F1168">
        <v>48.047145843999999</v>
      </c>
      <c r="G1168">
        <v>1386.1561279</v>
      </c>
      <c r="H1168">
        <v>1372.0393065999999</v>
      </c>
      <c r="I1168">
        <v>1287.7258300999999</v>
      </c>
      <c r="J1168">
        <v>1268.5377197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754.30555400000003</v>
      </c>
      <c r="B1169" s="1">
        <f>DATE(2012,5,24) + TIME(7,19,59)</f>
        <v>41053.305543981478</v>
      </c>
      <c r="C1169">
        <v>80</v>
      </c>
      <c r="D1169">
        <v>79.948554993000002</v>
      </c>
      <c r="E1169">
        <v>50</v>
      </c>
      <c r="F1169">
        <v>48.005191803000002</v>
      </c>
      <c r="G1169">
        <v>1386.0926514</v>
      </c>
      <c r="H1169">
        <v>1371.9827881000001</v>
      </c>
      <c r="I1169">
        <v>1287.7111815999999</v>
      </c>
      <c r="J1169">
        <v>1268.519043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754.91621999999995</v>
      </c>
      <c r="B1170" s="1">
        <f>DATE(2012,5,24) + TIME(21,59,21)</f>
        <v>41053.916215277779</v>
      </c>
      <c r="C1170">
        <v>80</v>
      </c>
      <c r="D1170">
        <v>79.948562621999997</v>
      </c>
      <c r="E1170">
        <v>50</v>
      </c>
      <c r="F1170">
        <v>47.962100982999999</v>
      </c>
      <c r="G1170">
        <v>1386.0283202999999</v>
      </c>
      <c r="H1170">
        <v>1371.9254149999999</v>
      </c>
      <c r="I1170">
        <v>1287.6959228999999</v>
      </c>
      <c r="J1170">
        <v>1268.4996338000001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755.54538400000001</v>
      </c>
      <c r="B1171" s="1">
        <f>DATE(2012,5,25) + TIME(13,5,21)</f>
        <v>41054.545381944445</v>
      </c>
      <c r="C1171">
        <v>80</v>
      </c>
      <c r="D1171">
        <v>79.948562621999997</v>
      </c>
      <c r="E1171">
        <v>50</v>
      </c>
      <c r="F1171">
        <v>47.917915344000001</v>
      </c>
      <c r="G1171">
        <v>1385.9630127</v>
      </c>
      <c r="H1171">
        <v>1371.8671875</v>
      </c>
      <c r="I1171">
        <v>1287.6800536999999</v>
      </c>
      <c r="J1171">
        <v>1268.4794922000001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756.18183299999998</v>
      </c>
      <c r="B1172" s="1">
        <f>DATE(2012,5,26) + TIME(4,21,50)</f>
        <v>41055.181828703702</v>
      </c>
      <c r="C1172">
        <v>80</v>
      </c>
      <c r="D1172">
        <v>79.948570251000007</v>
      </c>
      <c r="E1172">
        <v>50</v>
      </c>
      <c r="F1172">
        <v>47.873088836999997</v>
      </c>
      <c r="G1172">
        <v>1385.8972168</v>
      </c>
      <c r="H1172">
        <v>1371.8084716999999</v>
      </c>
      <c r="I1172">
        <v>1287.6636963000001</v>
      </c>
      <c r="J1172">
        <v>1268.4586182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756.82217700000001</v>
      </c>
      <c r="B1173" s="1">
        <f>DATE(2012,5,26) + TIME(19,43,56)</f>
        <v>41055.822175925925</v>
      </c>
      <c r="C1173">
        <v>80</v>
      </c>
      <c r="D1173">
        <v>79.948570251000007</v>
      </c>
      <c r="E1173">
        <v>50</v>
      </c>
      <c r="F1173">
        <v>47.827903747999997</v>
      </c>
      <c r="G1173">
        <v>1385.8319091999999</v>
      </c>
      <c r="H1173">
        <v>1371.75</v>
      </c>
      <c r="I1173">
        <v>1287.6468506000001</v>
      </c>
      <c r="J1173">
        <v>1268.4372559000001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757.46614599999998</v>
      </c>
      <c r="B1174" s="1">
        <f>DATE(2012,5,27) + TIME(11,11,14)</f>
        <v>41056.466134259259</v>
      </c>
      <c r="C1174">
        <v>80</v>
      </c>
      <c r="D1174">
        <v>79.948577881000006</v>
      </c>
      <c r="E1174">
        <v>50</v>
      </c>
      <c r="F1174">
        <v>47.782497405999997</v>
      </c>
      <c r="G1174">
        <v>1385.7674560999999</v>
      </c>
      <c r="H1174">
        <v>1371.6923827999999</v>
      </c>
      <c r="I1174">
        <v>1287.6298827999999</v>
      </c>
      <c r="J1174">
        <v>1268.4156493999999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758.115588</v>
      </c>
      <c r="B1175" s="1">
        <f>DATE(2012,5,28) + TIME(2,46,26)</f>
        <v>41057.115578703706</v>
      </c>
      <c r="C1175">
        <v>80</v>
      </c>
      <c r="D1175">
        <v>79.948585510000001</v>
      </c>
      <c r="E1175">
        <v>50</v>
      </c>
      <c r="F1175">
        <v>47.736877440999997</v>
      </c>
      <c r="G1175">
        <v>1385.7038574000001</v>
      </c>
      <c r="H1175">
        <v>1371.6354980000001</v>
      </c>
      <c r="I1175">
        <v>1287.612793</v>
      </c>
      <c r="J1175">
        <v>1268.3936768000001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758.77235199999996</v>
      </c>
      <c r="B1176" s="1">
        <f>DATE(2012,5,28) + TIME(18,32,11)</f>
        <v>41057.772349537037</v>
      </c>
      <c r="C1176">
        <v>80</v>
      </c>
      <c r="D1176">
        <v>79.94859314</v>
      </c>
      <c r="E1176">
        <v>50</v>
      </c>
      <c r="F1176">
        <v>47.690986633000001</v>
      </c>
      <c r="G1176">
        <v>1385.6409911999999</v>
      </c>
      <c r="H1176">
        <v>1371.5791016000001</v>
      </c>
      <c r="I1176">
        <v>1287.5954589999999</v>
      </c>
      <c r="J1176">
        <v>1268.3714600000001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759.43833600000005</v>
      </c>
      <c r="B1177" s="1">
        <f>DATE(2012,5,29) + TIME(10,31,12)</f>
        <v>41058.438333333332</v>
      </c>
      <c r="C1177">
        <v>80</v>
      </c>
      <c r="D1177">
        <v>79.948600768999995</v>
      </c>
      <c r="E1177">
        <v>50</v>
      </c>
      <c r="F1177">
        <v>47.644741058000001</v>
      </c>
      <c r="G1177">
        <v>1385.5784911999999</v>
      </c>
      <c r="H1177">
        <v>1371.5231934000001</v>
      </c>
      <c r="I1177">
        <v>1287.5777588000001</v>
      </c>
      <c r="J1177">
        <v>1268.3486327999999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760.11551899999995</v>
      </c>
      <c r="B1178" s="1">
        <f>DATE(2012,5,30) + TIME(2,46,20)</f>
        <v>41059.11550925926</v>
      </c>
      <c r="C1178">
        <v>80</v>
      </c>
      <c r="D1178">
        <v>79.948608398000005</v>
      </c>
      <c r="E1178">
        <v>50</v>
      </c>
      <c r="F1178">
        <v>47.598037720000001</v>
      </c>
      <c r="G1178">
        <v>1385.5163574000001</v>
      </c>
      <c r="H1178">
        <v>1371.4674072</v>
      </c>
      <c r="I1178">
        <v>1287.5595702999999</v>
      </c>
      <c r="J1178">
        <v>1268.3254394999999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760.80600800000002</v>
      </c>
      <c r="B1179" s="1">
        <f>DATE(2012,5,30) + TIME(19,20,39)</f>
        <v>41059.806006944447</v>
      </c>
      <c r="C1179">
        <v>80</v>
      </c>
      <c r="D1179">
        <v>79.948616028000004</v>
      </c>
      <c r="E1179">
        <v>50</v>
      </c>
      <c r="F1179">
        <v>47.550750731999997</v>
      </c>
      <c r="G1179">
        <v>1385.4543457</v>
      </c>
      <c r="H1179">
        <v>1371.4116211</v>
      </c>
      <c r="I1179">
        <v>1287.5411377</v>
      </c>
      <c r="J1179">
        <v>1268.3016356999999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761.51207099999999</v>
      </c>
      <c r="B1180" s="1">
        <f>DATE(2012,5,31) + TIME(12,17,22)</f>
        <v>41060.512060185189</v>
      </c>
      <c r="C1180">
        <v>80</v>
      </c>
      <c r="D1180">
        <v>79.948623656999999</v>
      </c>
      <c r="E1180">
        <v>50</v>
      </c>
      <c r="F1180">
        <v>47.502746582</v>
      </c>
      <c r="G1180">
        <v>1385.3922118999999</v>
      </c>
      <c r="H1180">
        <v>1371.3557129000001</v>
      </c>
      <c r="I1180">
        <v>1287.5220947</v>
      </c>
      <c r="J1180">
        <v>1268.2770995999999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762</v>
      </c>
      <c r="B1181" s="1">
        <f>DATE(2012,6,1) + TIME(0,0,0)</f>
        <v>41061</v>
      </c>
      <c r="C1181">
        <v>80</v>
      </c>
      <c r="D1181">
        <v>79.948631286999998</v>
      </c>
      <c r="E1181">
        <v>50</v>
      </c>
      <c r="F1181">
        <v>47.464096069</v>
      </c>
      <c r="G1181">
        <v>1385.3298339999999</v>
      </c>
      <c r="H1181">
        <v>1371.2995605000001</v>
      </c>
      <c r="I1181">
        <v>1287.5013428</v>
      </c>
      <c r="J1181">
        <v>1268.2526855000001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762.72410600000001</v>
      </c>
      <c r="B1182" s="1">
        <f>DATE(2012,6,1) + TIME(17,22,42)</f>
        <v>41061.724097222221</v>
      </c>
      <c r="C1182">
        <v>80</v>
      </c>
      <c r="D1182">
        <v>79.948638915999993</v>
      </c>
      <c r="E1182">
        <v>50</v>
      </c>
      <c r="F1182">
        <v>47.417644500999998</v>
      </c>
      <c r="G1182">
        <v>1385.2873535000001</v>
      </c>
      <c r="H1182">
        <v>1371.2612305</v>
      </c>
      <c r="I1182">
        <v>1287.4888916</v>
      </c>
      <c r="J1182">
        <v>1268.2336425999999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763.47813599999995</v>
      </c>
      <c r="B1183" s="1">
        <f>DATE(2012,6,2) + TIME(11,28,30)</f>
        <v>41062.478125000001</v>
      </c>
      <c r="C1183">
        <v>80</v>
      </c>
      <c r="D1183">
        <v>79.948654175000001</v>
      </c>
      <c r="E1183">
        <v>50</v>
      </c>
      <c r="F1183">
        <v>47.368843079000001</v>
      </c>
      <c r="G1183">
        <v>1385.2254639</v>
      </c>
      <c r="H1183">
        <v>1371.2053223</v>
      </c>
      <c r="I1183">
        <v>1287.4685059000001</v>
      </c>
      <c r="J1183">
        <v>1268.2073975000001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764.25197400000002</v>
      </c>
      <c r="B1184" s="1">
        <f>DATE(2012,6,3) + TIME(6,2,50)</f>
        <v>41063.251967592594</v>
      </c>
      <c r="C1184">
        <v>80</v>
      </c>
      <c r="D1184">
        <v>79.948669433999996</v>
      </c>
      <c r="E1184">
        <v>50</v>
      </c>
      <c r="F1184">
        <v>47.318275452000002</v>
      </c>
      <c r="G1184">
        <v>1385.1618652</v>
      </c>
      <c r="H1184">
        <v>1371.1480713000001</v>
      </c>
      <c r="I1184">
        <v>1287.4470214999999</v>
      </c>
      <c r="J1184">
        <v>1268.1798096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765.03250200000002</v>
      </c>
      <c r="B1185" s="1">
        <f>DATE(2012,6,4) + TIME(0,46,48)</f>
        <v>41064.032500000001</v>
      </c>
      <c r="C1185">
        <v>80</v>
      </c>
      <c r="D1185">
        <v>79.948684692</v>
      </c>
      <c r="E1185">
        <v>50</v>
      </c>
      <c r="F1185">
        <v>47.266696930000002</v>
      </c>
      <c r="G1185">
        <v>1385.0979004000001</v>
      </c>
      <c r="H1185">
        <v>1371.0902100000001</v>
      </c>
      <c r="I1185">
        <v>1287.4246826000001</v>
      </c>
      <c r="J1185">
        <v>1268.1511230000001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765.822003</v>
      </c>
      <c r="B1186" s="1">
        <f>DATE(2012,6,4) + TIME(19,43,41)</f>
        <v>41064.822002314817</v>
      </c>
      <c r="C1186">
        <v>80</v>
      </c>
      <c r="D1186">
        <v>79.948699950999995</v>
      </c>
      <c r="E1186">
        <v>50</v>
      </c>
      <c r="F1186">
        <v>47.214393616000002</v>
      </c>
      <c r="G1186">
        <v>1385.0344238</v>
      </c>
      <c r="H1186">
        <v>1371.0328368999999</v>
      </c>
      <c r="I1186">
        <v>1287.4019774999999</v>
      </c>
      <c r="J1186">
        <v>1268.1217041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766.62293299999999</v>
      </c>
      <c r="B1187" s="1">
        <f>DATE(2012,6,5) + TIME(14,57,1)</f>
        <v>41065.622928240744</v>
      </c>
      <c r="C1187">
        <v>80</v>
      </c>
      <c r="D1187">
        <v>79.948715210000003</v>
      </c>
      <c r="E1187">
        <v>50</v>
      </c>
      <c r="F1187">
        <v>47.161449431999998</v>
      </c>
      <c r="G1187">
        <v>1384.9714355000001</v>
      </c>
      <c r="H1187">
        <v>1370.9758300999999</v>
      </c>
      <c r="I1187">
        <v>1287.3789062000001</v>
      </c>
      <c r="J1187">
        <v>1268.0916748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767.43784800000003</v>
      </c>
      <c r="B1188" s="1">
        <f>DATE(2012,6,6) + TIME(10,30,30)</f>
        <v>41066.437847222223</v>
      </c>
      <c r="C1188">
        <v>80</v>
      </c>
      <c r="D1188">
        <v>79.948730468999997</v>
      </c>
      <c r="E1188">
        <v>50</v>
      </c>
      <c r="F1188">
        <v>47.107818604000002</v>
      </c>
      <c r="G1188">
        <v>1384.9085693</v>
      </c>
      <c r="H1188">
        <v>1370.9188231999999</v>
      </c>
      <c r="I1188">
        <v>1287.3551024999999</v>
      </c>
      <c r="J1188">
        <v>1268.0606689000001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768.26946199999998</v>
      </c>
      <c r="B1189" s="1">
        <f>DATE(2012,6,7) + TIME(6,28,1)</f>
        <v>41067.269456018519</v>
      </c>
      <c r="C1189">
        <v>80</v>
      </c>
      <c r="D1189">
        <v>79.948745728000006</v>
      </c>
      <c r="E1189">
        <v>50</v>
      </c>
      <c r="F1189">
        <v>47.053401946999998</v>
      </c>
      <c r="G1189">
        <v>1384.8458252</v>
      </c>
      <c r="H1189">
        <v>1370.8618164</v>
      </c>
      <c r="I1189">
        <v>1287.3306885</v>
      </c>
      <c r="J1189">
        <v>1268.0288086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769.10884599999997</v>
      </c>
      <c r="B1190" s="1">
        <f>DATE(2012,6,8) + TIME(2,36,44)</f>
        <v>41068.108842592592</v>
      </c>
      <c r="C1190">
        <v>80</v>
      </c>
      <c r="D1190">
        <v>79.948760985999996</v>
      </c>
      <c r="E1190">
        <v>50</v>
      </c>
      <c r="F1190">
        <v>46.998447417999998</v>
      </c>
      <c r="G1190">
        <v>1384.7827147999999</v>
      </c>
      <c r="H1190">
        <v>1370.8045654</v>
      </c>
      <c r="I1190">
        <v>1287.3054199000001</v>
      </c>
      <c r="J1190">
        <v>1267.9958495999999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769.95748600000002</v>
      </c>
      <c r="B1191" s="1">
        <f>DATE(2012,6,8) + TIME(22,58,46)</f>
        <v>41068.957476851851</v>
      </c>
      <c r="C1191">
        <v>80</v>
      </c>
      <c r="D1191">
        <v>79.948783875000004</v>
      </c>
      <c r="E1191">
        <v>50</v>
      </c>
      <c r="F1191">
        <v>46.943019866999997</v>
      </c>
      <c r="G1191">
        <v>1384.7202147999999</v>
      </c>
      <c r="H1191">
        <v>1370.7476807</v>
      </c>
      <c r="I1191">
        <v>1287.2797852000001</v>
      </c>
      <c r="J1191">
        <v>1267.9621582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770.81777099999999</v>
      </c>
      <c r="B1192" s="1">
        <f>DATE(2012,6,9) + TIME(19,37,35)</f>
        <v>41069.817766203705</v>
      </c>
      <c r="C1192">
        <v>80</v>
      </c>
      <c r="D1192">
        <v>79.948799132999994</v>
      </c>
      <c r="E1192">
        <v>50</v>
      </c>
      <c r="F1192">
        <v>46.887073516999997</v>
      </c>
      <c r="G1192">
        <v>1384.6580810999999</v>
      </c>
      <c r="H1192">
        <v>1370.6911620999999</v>
      </c>
      <c r="I1192">
        <v>1287.253418</v>
      </c>
      <c r="J1192">
        <v>1267.9274902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771.69220099999995</v>
      </c>
      <c r="B1193" s="1">
        <f>DATE(2012,6,10) + TIME(16,36,46)</f>
        <v>41070.692199074074</v>
      </c>
      <c r="C1193">
        <v>80</v>
      </c>
      <c r="D1193">
        <v>79.948822020999998</v>
      </c>
      <c r="E1193">
        <v>50</v>
      </c>
      <c r="F1193">
        <v>46.830501556000002</v>
      </c>
      <c r="G1193">
        <v>1384.5960693</v>
      </c>
      <c r="H1193">
        <v>1370.6346435999999</v>
      </c>
      <c r="I1193">
        <v>1287.2264404</v>
      </c>
      <c r="J1193">
        <v>1267.8919678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772.583437</v>
      </c>
      <c r="B1194" s="1">
        <f>DATE(2012,6,11) + TIME(14,0,8)</f>
        <v>41071.583425925928</v>
      </c>
      <c r="C1194">
        <v>80</v>
      </c>
      <c r="D1194">
        <v>79.948844910000005</v>
      </c>
      <c r="E1194">
        <v>50</v>
      </c>
      <c r="F1194">
        <v>46.773170471</v>
      </c>
      <c r="G1194">
        <v>1384.5340576000001</v>
      </c>
      <c r="H1194">
        <v>1370.578125</v>
      </c>
      <c r="I1194">
        <v>1287.1986084</v>
      </c>
      <c r="J1194">
        <v>1267.8552245999999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773.49435600000004</v>
      </c>
      <c r="B1195" s="1">
        <f>DATE(2012,6,12) + TIME(11,51,52)</f>
        <v>41072.494351851848</v>
      </c>
      <c r="C1195">
        <v>80</v>
      </c>
      <c r="D1195">
        <v>79.948867797999995</v>
      </c>
      <c r="E1195">
        <v>50</v>
      </c>
      <c r="F1195">
        <v>46.714908600000001</v>
      </c>
      <c r="G1195">
        <v>1384.4719238</v>
      </c>
      <c r="H1195">
        <v>1370.5213623</v>
      </c>
      <c r="I1195">
        <v>1287.1699219</v>
      </c>
      <c r="J1195">
        <v>1267.8172606999999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774.41820299999995</v>
      </c>
      <c r="B1196" s="1">
        <f>DATE(2012,6,13) + TIME(10,2,12)</f>
        <v>41073.418194444443</v>
      </c>
      <c r="C1196">
        <v>80</v>
      </c>
      <c r="D1196">
        <v>79.948890685999999</v>
      </c>
      <c r="E1196">
        <v>50</v>
      </c>
      <c r="F1196">
        <v>46.655853270999998</v>
      </c>
      <c r="G1196">
        <v>1384.4094238</v>
      </c>
      <c r="H1196">
        <v>1370.4642334</v>
      </c>
      <c r="I1196">
        <v>1287.1401367000001</v>
      </c>
      <c r="J1196">
        <v>1267.777832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775.35193200000003</v>
      </c>
      <c r="B1197" s="1">
        <f>DATE(2012,6,14) + TIME(8,26,46)</f>
        <v>41074.351921296293</v>
      </c>
      <c r="C1197">
        <v>80</v>
      </c>
      <c r="D1197">
        <v>79.948913574000002</v>
      </c>
      <c r="E1197">
        <v>50</v>
      </c>
      <c r="F1197">
        <v>46.596153258999998</v>
      </c>
      <c r="G1197">
        <v>1384.347168</v>
      </c>
      <c r="H1197">
        <v>1370.4071045000001</v>
      </c>
      <c r="I1197">
        <v>1287.1096190999999</v>
      </c>
      <c r="J1197">
        <v>1267.7371826000001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776.29849899999999</v>
      </c>
      <c r="B1198" s="1">
        <f>DATE(2012,6,15) + TIME(7,9,50)</f>
        <v>41075.298495370371</v>
      </c>
      <c r="C1198">
        <v>80</v>
      </c>
      <c r="D1198">
        <v>79.948936462000006</v>
      </c>
      <c r="E1198">
        <v>50</v>
      </c>
      <c r="F1198">
        <v>46.535808563000003</v>
      </c>
      <c r="G1198">
        <v>1384.2851562000001</v>
      </c>
      <c r="H1198">
        <v>1370.3502197</v>
      </c>
      <c r="I1198">
        <v>1287.0782471</v>
      </c>
      <c r="J1198">
        <v>1267.6954346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777.260942</v>
      </c>
      <c r="B1199" s="1">
        <f>DATE(2012,6,16) + TIME(6,15,45)</f>
        <v>41076.260937500003</v>
      </c>
      <c r="C1199">
        <v>80</v>
      </c>
      <c r="D1199">
        <v>79.948959350999999</v>
      </c>
      <c r="E1199">
        <v>50</v>
      </c>
      <c r="F1199">
        <v>46.474700927999997</v>
      </c>
      <c r="G1199">
        <v>1384.2232666</v>
      </c>
      <c r="H1199">
        <v>1370.293457</v>
      </c>
      <c r="I1199">
        <v>1287.0460204999999</v>
      </c>
      <c r="J1199">
        <v>1267.6523437999999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778.24248399999999</v>
      </c>
      <c r="B1200" s="1">
        <f>DATE(2012,6,17) + TIME(5,49,10)</f>
        <v>41077.242476851854</v>
      </c>
      <c r="C1200">
        <v>80</v>
      </c>
      <c r="D1200">
        <v>79.948989867999998</v>
      </c>
      <c r="E1200">
        <v>50</v>
      </c>
      <c r="F1200">
        <v>46.412677764999998</v>
      </c>
      <c r="G1200">
        <v>1384.1613769999999</v>
      </c>
      <c r="H1200">
        <v>1370.2365723</v>
      </c>
      <c r="I1200">
        <v>1287.0128173999999</v>
      </c>
      <c r="J1200">
        <v>1267.6079102000001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779.24695199999996</v>
      </c>
      <c r="B1201" s="1">
        <f>DATE(2012,6,18) + TIME(5,55,36)</f>
        <v>41078.246944444443</v>
      </c>
      <c r="C1201">
        <v>80</v>
      </c>
      <c r="D1201">
        <v>79.949012756000002</v>
      </c>
      <c r="E1201">
        <v>50</v>
      </c>
      <c r="F1201">
        <v>46.349529265999998</v>
      </c>
      <c r="G1201">
        <v>1384.0991211</v>
      </c>
      <c r="H1201">
        <v>1370.1794434000001</v>
      </c>
      <c r="I1201">
        <v>1286.9785156</v>
      </c>
      <c r="J1201">
        <v>1267.5616454999999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780.26789099999996</v>
      </c>
      <c r="B1202" s="1">
        <f>DATE(2012,6,19) + TIME(6,25,45)</f>
        <v>41079.267881944441</v>
      </c>
      <c r="C1202">
        <v>80</v>
      </c>
      <c r="D1202">
        <v>79.949043274000005</v>
      </c>
      <c r="E1202">
        <v>50</v>
      </c>
      <c r="F1202">
        <v>46.285324097</v>
      </c>
      <c r="G1202">
        <v>1384.036499</v>
      </c>
      <c r="H1202">
        <v>1370.1218262</v>
      </c>
      <c r="I1202">
        <v>1286.942749</v>
      </c>
      <c r="J1202">
        <v>1267.5135498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781.29940099999999</v>
      </c>
      <c r="B1203" s="1">
        <f>DATE(2012,6,20) + TIME(7,11,8)</f>
        <v>41080.299398148149</v>
      </c>
      <c r="C1203">
        <v>80</v>
      </c>
      <c r="D1203">
        <v>79.949073791999993</v>
      </c>
      <c r="E1203">
        <v>50</v>
      </c>
      <c r="F1203">
        <v>46.220291138</v>
      </c>
      <c r="G1203">
        <v>1383.9738769999999</v>
      </c>
      <c r="H1203">
        <v>1370.0639647999999</v>
      </c>
      <c r="I1203">
        <v>1286.9058838000001</v>
      </c>
      <c r="J1203">
        <v>1267.4637451000001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782.344515</v>
      </c>
      <c r="B1204" s="1">
        <f>DATE(2012,6,21) + TIME(8,16,6)</f>
        <v>41081.344513888886</v>
      </c>
      <c r="C1204">
        <v>80</v>
      </c>
      <c r="D1204">
        <v>79.949096679999997</v>
      </c>
      <c r="E1204">
        <v>50</v>
      </c>
      <c r="F1204">
        <v>46.154460907000001</v>
      </c>
      <c r="G1204">
        <v>1383.911499</v>
      </c>
      <c r="H1204">
        <v>1370.0064697</v>
      </c>
      <c r="I1204">
        <v>1286.8680420000001</v>
      </c>
      <c r="J1204">
        <v>1267.4124756000001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783.40636199999994</v>
      </c>
      <c r="B1205" s="1">
        <f>DATE(2012,6,22) + TIME(9,45,9)</f>
        <v>41082.406354166669</v>
      </c>
      <c r="C1205">
        <v>80</v>
      </c>
      <c r="D1205">
        <v>79.949127196999996</v>
      </c>
      <c r="E1205">
        <v>50</v>
      </c>
      <c r="F1205">
        <v>46.087741852000001</v>
      </c>
      <c r="G1205">
        <v>1383.8493652</v>
      </c>
      <c r="H1205">
        <v>1369.9489745999999</v>
      </c>
      <c r="I1205">
        <v>1286.8291016000001</v>
      </c>
      <c r="J1205">
        <v>1267.359375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784.48336500000005</v>
      </c>
      <c r="B1206" s="1">
        <f>DATE(2012,6,23) + TIME(11,36,2)</f>
        <v>41083.483356481483</v>
      </c>
      <c r="C1206">
        <v>80</v>
      </c>
      <c r="D1206">
        <v>79.949165343999994</v>
      </c>
      <c r="E1206">
        <v>50</v>
      </c>
      <c r="F1206">
        <v>46.020107269</v>
      </c>
      <c r="G1206">
        <v>1383.7871094</v>
      </c>
      <c r="H1206">
        <v>1369.8913574000001</v>
      </c>
      <c r="I1206">
        <v>1286.7888184000001</v>
      </c>
      <c r="J1206">
        <v>1267.3045654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785.56974600000001</v>
      </c>
      <c r="B1207" s="1">
        <f>DATE(2012,6,24) + TIME(13,40,26)</f>
        <v>41084.569745370369</v>
      </c>
      <c r="C1207">
        <v>80</v>
      </c>
      <c r="D1207">
        <v>79.949195861999996</v>
      </c>
      <c r="E1207">
        <v>50</v>
      </c>
      <c r="F1207">
        <v>45.951709747000002</v>
      </c>
      <c r="G1207">
        <v>1383.7248535000001</v>
      </c>
      <c r="H1207">
        <v>1369.8337402</v>
      </c>
      <c r="I1207">
        <v>1286.7474365</v>
      </c>
      <c r="J1207">
        <v>1267.2479248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786.66896399999996</v>
      </c>
      <c r="B1208" s="1">
        <f>DATE(2012,6,25) + TIME(16,3,18)</f>
        <v>41085.668958333335</v>
      </c>
      <c r="C1208">
        <v>80</v>
      </c>
      <c r="D1208">
        <v>79.949226378999995</v>
      </c>
      <c r="E1208">
        <v>50</v>
      </c>
      <c r="F1208">
        <v>45.882541656000001</v>
      </c>
      <c r="G1208">
        <v>1383.6630858999999</v>
      </c>
      <c r="H1208">
        <v>1369.7764893000001</v>
      </c>
      <c r="I1208">
        <v>1286.7048339999999</v>
      </c>
      <c r="J1208">
        <v>1267.1894531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787.78309200000001</v>
      </c>
      <c r="B1209" s="1">
        <f>DATE(2012,6,26) + TIME(18,47,39)</f>
        <v>41086.783090277779</v>
      </c>
      <c r="C1209">
        <v>80</v>
      </c>
      <c r="D1209">
        <v>79.949264525999993</v>
      </c>
      <c r="E1209">
        <v>50</v>
      </c>
      <c r="F1209">
        <v>45.812515259000001</v>
      </c>
      <c r="G1209">
        <v>1383.6014404</v>
      </c>
      <c r="H1209">
        <v>1369.7192382999999</v>
      </c>
      <c r="I1209">
        <v>1286.6611327999999</v>
      </c>
      <c r="J1209">
        <v>1267.1292725000001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788.91038400000002</v>
      </c>
      <c r="B1210" s="1">
        <f>DATE(2012,6,27) + TIME(21,50,57)</f>
        <v>41087.910381944443</v>
      </c>
      <c r="C1210">
        <v>80</v>
      </c>
      <c r="D1210">
        <v>79.949295043999996</v>
      </c>
      <c r="E1210">
        <v>50</v>
      </c>
      <c r="F1210">
        <v>45.741600036999998</v>
      </c>
      <c r="G1210">
        <v>1383.5399170000001</v>
      </c>
      <c r="H1210">
        <v>1369.6619873</v>
      </c>
      <c r="I1210">
        <v>1286.6160889</v>
      </c>
      <c r="J1210">
        <v>1267.0670166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790.05426399999999</v>
      </c>
      <c r="B1211" s="1">
        <f>DATE(2012,6,29) + TIME(1,18,8)</f>
        <v>41089.054259259261</v>
      </c>
      <c r="C1211">
        <v>80</v>
      </c>
      <c r="D1211">
        <v>79.949333190999994</v>
      </c>
      <c r="E1211">
        <v>50</v>
      </c>
      <c r="F1211">
        <v>45.669700622999997</v>
      </c>
      <c r="G1211">
        <v>1383.4785156</v>
      </c>
      <c r="H1211">
        <v>1369.6048584</v>
      </c>
      <c r="I1211">
        <v>1286.5698242000001</v>
      </c>
      <c r="J1211">
        <v>1267.0026855000001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791.21829500000001</v>
      </c>
      <c r="B1212" s="1">
        <f>DATE(2012,6,30) + TIME(5,14,20)</f>
        <v>41090.218287037038</v>
      </c>
      <c r="C1212">
        <v>80</v>
      </c>
      <c r="D1212">
        <v>79.949363708000007</v>
      </c>
      <c r="E1212">
        <v>50</v>
      </c>
      <c r="F1212">
        <v>45.596633910999998</v>
      </c>
      <c r="G1212">
        <v>1383.4172363</v>
      </c>
      <c r="H1212">
        <v>1369.5476074000001</v>
      </c>
      <c r="I1212">
        <v>1286.5219727000001</v>
      </c>
      <c r="J1212">
        <v>1266.9361572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792</v>
      </c>
      <c r="B1213" s="1">
        <f>DATE(2012,7,1) + TIME(0,0,0)</f>
        <v>41091</v>
      </c>
      <c r="C1213">
        <v>80</v>
      </c>
      <c r="D1213">
        <v>79.949386597</v>
      </c>
      <c r="E1213">
        <v>50</v>
      </c>
      <c r="F1213">
        <v>45.535701752000001</v>
      </c>
      <c r="G1213">
        <v>1383.3554687999999</v>
      </c>
      <c r="H1213">
        <v>1369.4901123</v>
      </c>
      <c r="I1213">
        <v>1286.4719238</v>
      </c>
      <c r="J1213">
        <v>1266.8701172000001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793.18798300000003</v>
      </c>
      <c r="B1214" s="1">
        <f>DATE(2012,7,2) + TIME(4,30,41)</f>
        <v>41092.187974537039</v>
      </c>
      <c r="C1214">
        <v>80</v>
      </c>
      <c r="D1214">
        <v>79.949432372999993</v>
      </c>
      <c r="E1214">
        <v>50</v>
      </c>
      <c r="F1214">
        <v>45.467441559000001</v>
      </c>
      <c r="G1214">
        <v>1383.3146973</v>
      </c>
      <c r="H1214">
        <v>1369.4519043</v>
      </c>
      <c r="I1214">
        <v>1286.4383545000001</v>
      </c>
      <c r="J1214">
        <v>1266.8176269999999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794.425748</v>
      </c>
      <c r="B1215" s="1">
        <f>DATE(2012,7,3) + TIME(10,13,4)</f>
        <v>41093.425740740742</v>
      </c>
      <c r="C1215">
        <v>80</v>
      </c>
      <c r="D1215">
        <v>79.949470520000006</v>
      </c>
      <c r="E1215">
        <v>50</v>
      </c>
      <c r="F1215">
        <v>45.393371582</v>
      </c>
      <c r="G1215">
        <v>1383.253418</v>
      </c>
      <c r="H1215">
        <v>1369.3946533000001</v>
      </c>
      <c r="I1215">
        <v>1286.3867187999999</v>
      </c>
      <c r="J1215">
        <v>1266.7457274999999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795.66838800000005</v>
      </c>
      <c r="B1216" s="1">
        <f>DATE(2012,7,4) + TIME(16,2,28)</f>
        <v>41094.668379629627</v>
      </c>
      <c r="C1216">
        <v>80</v>
      </c>
      <c r="D1216">
        <v>79.949508667000003</v>
      </c>
      <c r="E1216">
        <v>50</v>
      </c>
      <c r="F1216">
        <v>45.315994263</v>
      </c>
      <c r="G1216">
        <v>1383.1904297000001</v>
      </c>
      <c r="H1216">
        <v>1369.3355713000001</v>
      </c>
      <c r="I1216">
        <v>1286.3317870999999</v>
      </c>
      <c r="J1216">
        <v>1266.6689452999999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796.914267</v>
      </c>
      <c r="B1217" s="1">
        <f>DATE(2012,7,5) + TIME(21,56,32)</f>
        <v>41095.914259259262</v>
      </c>
      <c r="C1217">
        <v>80</v>
      </c>
      <c r="D1217">
        <v>79.949554442999997</v>
      </c>
      <c r="E1217">
        <v>50</v>
      </c>
      <c r="F1217">
        <v>45.236965179000002</v>
      </c>
      <c r="G1217">
        <v>1383.1279297000001</v>
      </c>
      <c r="H1217">
        <v>1369.2770995999999</v>
      </c>
      <c r="I1217">
        <v>1286.2755127</v>
      </c>
      <c r="J1217">
        <v>1266.5897216999999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798.16702599999996</v>
      </c>
      <c r="B1218" s="1">
        <f>DATE(2012,7,7) + TIME(4,0,31)</f>
        <v>41097.167025462964</v>
      </c>
      <c r="C1218">
        <v>80</v>
      </c>
      <c r="D1218">
        <v>79.949592589999995</v>
      </c>
      <c r="E1218">
        <v>50</v>
      </c>
      <c r="F1218">
        <v>45.156887054000002</v>
      </c>
      <c r="G1218">
        <v>1383.0662841999999</v>
      </c>
      <c r="H1218">
        <v>1369.2192382999999</v>
      </c>
      <c r="I1218">
        <v>1286.2182617000001</v>
      </c>
      <c r="J1218">
        <v>1266.5083007999999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799.43030699999997</v>
      </c>
      <c r="B1219" s="1">
        <f>DATE(2012,7,8) + TIME(10,19,38)</f>
        <v>41098.430300925924</v>
      </c>
      <c r="C1219">
        <v>80</v>
      </c>
      <c r="D1219">
        <v>79.949630737000007</v>
      </c>
      <c r="E1219">
        <v>50</v>
      </c>
      <c r="F1219">
        <v>45.07585907</v>
      </c>
      <c r="G1219">
        <v>1383.0051269999999</v>
      </c>
      <c r="H1219">
        <v>1369.1616211</v>
      </c>
      <c r="I1219">
        <v>1286.1595459</v>
      </c>
      <c r="J1219">
        <v>1266.4248047000001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800.70784500000002</v>
      </c>
      <c r="B1220" s="1">
        <f>DATE(2012,7,9) + TIME(16,59,17)</f>
        <v>41099.707835648151</v>
      </c>
      <c r="C1220">
        <v>80</v>
      </c>
      <c r="D1220">
        <v>79.949676514000004</v>
      </c>
      <c r="E1220">
        <v>50</v>
      </c>
      <c r="F1220">
        <v>44.993762969999999</v>
      </c>
      <c r="G1220">
        <v>1382.9442139</v>
      </c>
      <c r="H1220">
        <v>1369.1043701000001</v>
      </c>
      <c r="I1220">
        <v>1286.0994873</v>
      </c>
      <c r="J1220">
        <v>1266.3387451000001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802.00346000000002</v>
      </c>
      <c r="B1221" s="1">
        <f>DATE(2012,7,11) + TIME(0,4,58)</f>
        <v>41101.003449074073</v>
      </c>
      <c r="C1221">
        <v>80</v>
      </c>
      <c r="D1221">
        <v>79.949722289999997</v>
      </c>
      <c r="E1221">
        <v>50</v>
      </c>
      <c r="F1221">
        <v>44.910392760999997</v>
      </c>
      <c r="G1221">
        <v>1382.8835449000001</v>
      </c>
      <c r="H1221">
        <v>1369.0471190999999</v>
      </c>
      <c r="I1221">
        <v>1286.0375977000001</v>
      </c>
      <c r="J1221">
        <v>1266.25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803.32118500000001</v>
      </c>
      <c r="B1222" s="1">
        <f>DATE(2012,7,12) + TIME(7,42,30)</f>
        <v>41102.321180555555</v>
      </c>
      <c r="C1222">
        <v>80</v>
      </c>
      <c r="D1222">
        <v>79.949768066000004</v>
      </c>
      <c r="E1222">
        <v>50</v>
      </c>
      <c r="F1222">
        <v>44.825485229000002</v>
      </c>
      <c r="G1222">
        <v>1382.8227539</v>
      </c>
      <c r="H1222">
        <v>1368.9897461</v>
      </c>
      <c r="I1222">
        <v>1285.9738769999999</v>
      </c>
      <c r="J1222">
        <v>1266.1580810999999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804.66531599999996</v>
      </c>
      <c r="B1223" s="1">
        <f>DATE(2012,7,13) + TIME(15,58,3)</f>
        <v>41103.665312500001</v>
      </c>
      <c r="C1223">
        <v>80</v>
      </c>
      <c r="D1223">
        <v>79.949806213000002</v>
      </c>
      <c r="E1223">
        <v>50</v>
      </c>
      <c r="F1223">
        <v>44.738758087000001</v>
      </c>
      <c r="G1223">
        <v>1382.7617187999999</v>
      </c>
      <c r="H1223">
        <v>1368.9321289</v>
      </c>
      <c r="I1223">
        <v>1285.9080810999999</v>
      </c>
      <c r="J1223">
        <v>1266.0628661999999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806.04051900000002</v>
      </c>
      <c r="B1224" s="1">
        <f>DATE(2012,7,15) + TIME(0,58,20)</f>
        <v>41105.040509259263</v>
      </c>
      <c r="C1224">
        <v>80</v>
      </c>
      <c r="D1224">
        <v>79.949859618999994</v>
      </c>
      <c r="E1224">
        <v>50</v>
      </c>
      <c r="F1224">
        <v>44.649883269999997</v>
      </c>
      <c r="G1224">
        <v>1382.7003173999999</v>
      </c>
      <c r="H1224">
        <v>1368.8740233999999</v>
      </c>
      <c r="I1224">
        <v>1285.8398437999999</v>
      </c>
      <c r="J1224">
        <v>1265.9638672000001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806.74437399999999</v>
      </c>
      <c r="B1225" s="1">
        <f>DATE(2012,7,15) + TIME(17,51,53)</f>
        <v>41105.744363425925</v>
      </c>
      <c r="C1225">
        <v>80</v>
      </c>
      <c r="D1225">
        <v>79.949874878000003</v>
      </c>
      <c r="E1225">
        <v>50</v>
      </c>
      <c r="F1225">
        <v>44.584072112999998</v>
      </c>
      <c r="G1225">
        <v>1382.6381836</v>
      </c>
      <c r="H1225">
        <v>1368.8153076000001</v>
      </c>
      <c r="I1225">
        <v>1285.7689209</v>
      </c>
      <c r="J1225">
        <v>1265.8685303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807.44822899999997</v>
      </c>
      <c r="B1226" s="1">
        <f>DATE(2012,7,16) + TIME(10,45,26)</f>
        <v>41106.448217592595</v>
      </c>
      <c r="C1226">
        <v>80</v>
      </c>
      <c r="D1226">
        <v>79.949897766000007</v>
      </c>
      <c r="E1226">
        <v>50</v>
      </c>
      <c r="F1226">
        <v>44.526531218999999</v>
      </c>
      <c r="G1226">
        <v>1382.6064452999999</v>
      </c>
      <c r="H1226">
        <v>1368.7850341999999</v>
      </c>
      <c r="I1226">
        <v>1285.7305908000001</v>
      </c>
      <c r="J1226">
        <v>1265.8093262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808.15208399999995</v>
      </c>
      <c r="B1227" s="1">
        <f>DATE(2012,7,17) + TIME(3,39,0)</f>
        <v>41107.152083333334</v>
      </c>
      <c r="C1227">
        <v>80</v>
      </c>
      <c r="D1227">
        <v>79.949920653999996</v>
      </c>
      <c r="E1227">
        <v>50</v>
      </c>
      <c r="F1227">
        <v>44.473529816000003</v>
      </c>
      <c r="G1227">
        <v>1382.5751952999999</v>
      </c>
      <c r="H1227">
        <v>1368.7553711</v>
      </c>
      <c r="I1227">
        <v>1285.692749</v>
      </c>
      <c r="J1227">
        <v>1265.7519531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809.55979400000001</v>
      </c>
      <c r="B1228" s="1">
        <f>DATE(2012,7,18) + TIME(13,26,6)</f>
        <v>41108.559791666667</v>
      </c>
      <c r="C1228">
        <v>80</v>
      </c>
      <c r="D1228">
        <v>79.949981688999998</v>
      </c>
      <c r="E1228">
        <v>50</v>
      </c>
      <c r="F1228">
        <v>44.403427123999997</v>
      </c>
      <c r="G1228">
        <v>1382.5445557</v>
      </c>
      <c r="H1228">
        <v>1368.7261963000001</v>
      </c>
      <c r="I1228">
        <v>1285.6550293</v>
      </c>
      <c r="J1228">
        <v>1265.6889647999999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810.96783300000004</v>
      </c>
      <c r="B1229" s="1">
        <f>DATE(2012,7,19) + TIME(23,13,40)</f>
        <v>41109.967824074076</v>
      </c>
      <c r="C1229">
        <v>80</v>
      </c>
      <c r="D1229">
        <v>79.950027465999995</v>
      </c>
      <c r="E1229">
        <v>50</v>
      </c>
      <c r="F1229">
        <v>44.318080901999998</v>
      </c>
      <c r="G1229">
        <v>1382.4832764</v>
      </c>
      <c r="H1229">
        <v>1368.6680908000001</v>
      </c>
      <c r="I1229">
        <v>1285.5810547000001</v>
      </c>
      <c r="J1229">
        <v>1265.5832519999999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812.38831100000004</v>
      </c>
      <c r="B1230" s="1">
        <f>DATE(2012,7,21) + TIME(9,19,10)</f>
        <v>41111.388310185182</v>
      </c>
      <c r="C1230">
        <v>80</v>
      </c>
      <c r="D1230">
        <v>79.950073242000002</v>
      </c>
      <c r="E1230">
        <v>50</v>
      </c>
      <c r="F1230">
        <v>44.226203918000003</v>
      </c>
      <c r="G1230">
        <v>1382.4226074000001</v>
      </c>
      <c r="H1230">
        <v>1368.6103516000001</v>
      </c>
      <c r="I1230">
        <v>1285.5047606999999</v>
      </c>
      <c r="J1230">
        <v>1265.4718018000001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813.82523200000003</v>
      </c>
      <c r="B1231" s="1">
        <f>DATE(2012,7,22) + TIME(19,48,20)</f>
        <v>41112.825231481482</v>
      </c>
      <c r="C1231">
        <v>80</v>
      </c>
      <c r="D1231">
        <v>79.950126647999994</v>
      </c>
      <c r="E1231">
        <v>50</v>
      </c>
      <c r="F1231">
        <v>44.130821228000002</v>
      </c>
      <c r="G1231">
        <v>1382.3621826000001</v>
      </c>
      <c r="H1231">
        <v>1368.5527344</v>
      </c>
      <c r="I1231">
        <v>1285.4263916</v>
      </c>
      <c r="J1231">
        <v>1265.355957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815.28283499999998</v>
      </c>
      <c r="B1232" s="1">
        <f>DATE(2012,7,24) + TIME(6,47,16)</f>
        <v>41114.282824074071</v>
      </c>
      <c r="C1232">
        <v>80</v>
      </c>
      <c r="D1232">
        <v>79.950180054</v>
      </c>
      <c r="E1232">
        <v>50</v>
      </c>
      <c r="F1232">
        <v>44.032932281000001</v>
      </c>
      <c r="G1232">
        <v>1382.3017577999999</v>
      </c>
      <c r="H1232">
        <v>1368.4949951000001</v>
      </c>
      <c r="I1232">
        <v>1285.3458252</v>
      </c>
      <c r="J1232">
        <v>1265.2363281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816.76562799999999</v>
      </c>
      <c r="B1233" s="1">
        <f>DATE(2012,7,25) + TIME(18,22,30)</f>
        <v>41115.765625</v>
      </c>
      <c r="C1233">
        <v>80</v>
      </c>
      <c r="D1233">
        <v>79.950233459000003</v>
      </c>
      <c r="E1233">
        <v>50</v>
      </c>
      <c r="F1233">
        <v>43.932708740000002</v>
      </c>
      <c r="G1233">
        <v>1382.2412108999999</v>
      </c>
      <c r="H1233">
        <v>1368.4372559000001</v>
      </c>
      <c r="I1233">
        <v>1285.2630615</v>
      </c>
      <c r="J1233">
        <v>1265.1126709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818.27839500000005</v>
      </c>
      <c r="B1234" s="1">
        <f>DATE(2012,7,27) + TIME(6,40,53)</f>
        <v>41117.278391203705</v>
      </c>
      <c r="C1234">
        <v>80</v>
      </c>
      <c r="D1234">
        <v>79.950286864999995</v>
      </c>
      <c r="E1234">
        <v>50</v>
      </c>
      <c r="F1234">
        <v>43.830005645999996</v>
      </c>
      <c r="G1234">
        <v>1382.1804199000001</v>
      </c>
      <c r="H1234">
        <v>1368.3790283000001</v>
      </c>
      <c r="I1234">
        <v>1285.1776123</v>
      </c>
      <c r="J1234">
        <v>1264.9846190999999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819.82186999999999</v>
      </c>
      <c r="B1235" s="1">
        <f>DATE(2012,7,28) + TIME(19,43,29)</f>
        <v>41118.821863425925</v>
      </c>
      <c r="C1235">
        <v>80</v>
      </c>
      <c r="D1235">
        <v>79.950340271000002</v>
      </c>
      <c r="E1235">
        <v>50</v>
      </c>
      <c r="F1235">
        <v>43.724643706999998</v>
      </c>
      <c r="G1235">
        <v>1382.1191406</v>
      </c>
      <c r="H1235">
        <v>1368.3203125</v>
      </c>
      <c r="I1235">
        <v>1285.0893555</v>
      </c>
      <c r="J1235">
        <v>1264.8518065999999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821.39192100000002</v>
      </c>
      <c r="B1236" s="1">
        <f>DATE(2012,7,30) + TIME(9,24,21)</f>
        <v>41120.391909722224</v>
      </c>
      <c r="C1236">
        <v>80</v>
      </c>
      <c r="D1236">
        <v>79.950393676999994</v>
      </c>
      <c r="E1236">
        <v>50</v>
      </c>
      <c r="F1236">
        <v>43.616626740000001</v>
      </c>
      <c r="G1236">
        <v>1382.0573730000001</v>
      </c>
      <c r="H1236">
        <v>1368.2609863</v>
      </c>
      <c r="I1236">
        <v>1284.9980469</v>
      </c>
      <c r="J1236">
        <v>1264.7142334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822.19596000000001</v>
      </c>
      <c r="B1237" s="1">
        <f>DATE(2012,7,31) + TIME(4,42,10)</f>
        <v>41121.195949074077</v>
      </c>
      <c r="C1237">
        <v>80</v>
      </c>
      <c r="D1237">
        <v>79.950416564999998</v>
      </c>
      <c r="E1237">
        <v>50</v>
      </c>
      <c r="F1237">
        <v>43.534816741999997</v>
      </c>
      <c r="G1237">
        <v>1381.9949951000001</v>
      </c>
      <c r="H1237">
        <v>1368.2012939000001</v>
      </c>
      <c r="I1237">
        <v>1284.9050293</v>
      </c>
      <c r="J1237">
        <v>1264.5832519999999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823</v>
      </c>
      <c r="B1238" s="1">
        <f>DATE(2012,8,1) + TIME(0,0,0)</f>
        <v>41122</v>
      </c>
      <c r="C1238">
        <v>80</v>
      </c>
      <c r="D1238">
        <v>79.950447083</v>
      </c>
      <c r="E1238">
        <v>50</v>
      </c>
      <c r="F1238">
        <v>43.464668273999997</v>
      </c>
      <c r="G1238">
        <v>1381.9631348</v>
      </c>
      <c r="H1238">
        <v>1368.1705322</v>
      </c>
      <c r="I1238">
        <v>1284.8538818</v>
      </c>
      <c r="J1238">
        <v>1264.5008545000001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823.80403999999999</v>
      </c>
      <c r="B1239" s="1">
        <f>DATE(2012,8,1) + TIME(19,17,49)</f>
        <v>41122.804039351853</v>
      </c>
      <c r="C1239">
        <v>80</v>
      </c>
      <c r="D1239">
        <v>79.950477599999999</v>
      </c>
      <c r="E1239">
        <v>50</v>
      </c>
      <c r="F1239">
        <v>43.400543212999999</v>
      </c>
      <c r="G1239">
        <v>1381.9318848</v>
      </c>
      <c r="H1239">
        <v>1368.1403809000001</v>
      </c>
      <c r="I1239">
        <v>1284.8037108999999</v>
      </c>
      <c r="J1239">
        <v>1264.4219971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825.41211899999996</v>
      </c>
      <c r="B1240" s="1">
        <f>DATE(2012,8,3) + TIME(9,53,27)</f>
        <v>41124.412118055552</v>
      </c>
      <c r="C1240">
        <v>80</v>
      </c>
      <c r="D1240">
        <v>79.950538635000001</v>
      </c>
      <c r="E1240">
        <v>50</v>
      </c>
      <c r="F1240">
        <v>43.317764281999999</v>
      </c>
      <c r="G1240">
        <v>1381.901001</v>
      </c>
      <c r="H1240">
        <v>1368.1105957</v>
      </c>
      <c r="I1240">
        <v>1284.7532959</v>
      </c>
      <c r="J1240">
        <v>1264.3358154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827.02034900000001</v>
      </c>
      <c r="B1241" s="1">
        <f>DATE(2012,8,5) + TIME(0,29,18)</f>
        <v>41126.02034722222</v>
      </c>
      <c r="C1241">
        <v>80</v>
      </c>
      <c r="D1241">
        <v>79.950599670000003</v>
      </c>
      <c r="E1241">
        <v>50</v>
      </c>
      <c r="F1241">
        <v>43.213897705000001</v>
      </c>
      <c r="G1241">
        <v>1381.8393555</v>
      </c>
      <c r="H1241">
        <v>1368.0512695</v>
      </c>
      <c r="I1241">
        <v>1284.6569824000001</v>
      </c>
      <c r="J1241">
        <v>1264.1923827999999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828.64791700000001</v>
      </c>
      <c r="B1242" s="1">
        <f>DATE(2012,8,6) + TIME(15,32,59)</f>
        <v>41127.647905092592</v>
      </c>
      <c r="C1242">
        <v>80</v>
      </c>
      <c r="D1242">
        <v>79.950653075999995</v>
      </c>
      <c r="E1242">
        <v>50</v>
      </c>
      <c r="F1242">
        <v>43.101661682</v>
      </c>
      <c r="G1242">
        <v>1381.7783202999999</v>
      </c>
      <c r="H1242">
        <v>1367.9924315999999</v>
      </c>
      <c r="I1242">
        <v>1284.5577393000001</v>
      </c>
      <c r="J1242">
        <v>1264.0410156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830.299713</v>
      </c>
      <c r="B1243" s="1">
        <f>DATE(2012,8,8) + TIME(7,11,35)</f>
        <v>41129.299710648149</v>
      </c>
      <c r="C1243">
        <v>80</v>
      </c>
      <c r="D1243">
        <v>79.950714110999996</v>
      </c>
      <c r="E1243">
        <v>50</v>
      </c>
      <c r="F1243">
        <v>42.985015869000001</v>
      </c>
      <c r="G1243">
        <v>1381.7171631000001</v>
      </c>
      <c r="H1243">
        <v>1367.9333495999999</v>
      </c>
      <c r="I1243">
        <v>1284.4556885</v>
      </c>
      <c r="J1243">
        <v>1263.8840332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831.97810800000002</v>
      </c>
      <c r="B1244" s="1">
        <f>DATE(2012,8,9) + TIME(23,28,28)</f>
        <v>41130.978101851855</v>
      </c>
      <c r="C1244">
        <v>80</v>
      </c>
      <c r="D1244">
        <v>79.950775145999998</v>
      </c>
      <c r="E1244">
        <v>50</v>
      </c>
      <c r="F1244">
        <v>42.865222930999998</v>
      </c>
      <c r="G1244">
        <v>1381.6558838000001</v>
      </c>
      <c r="H1244">
        <v>1367.8740233999999</v>
      </c>
      <c r="I1244">
        <v>1284.3511963000001</v>
      </c>
      <c r="J1244">
        <v>1263.722168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833.67826600000001</v>
      </c>
      <c r="B1245" s="1">
        <f>DATE(2012,8,11) + TIME(16,16,42)</f>
        <v>41132.678263888891</v>
      </c>
      <c r="C1245">
        <v>80</v>
      </c>
      <c r="D1245">
        <v>79.950836182000003</v>
      </c>
      <c r="E1245">
        <v>50</v>
      </c>
      <c r="F1245">
        <v>42.742828369000001</v>
      </c>
      <c r="G1245">
        <v>1381.5941161999999</v>
      </c>
      <c r="H1245">
        <v>1367.8143310999999</v>
      </c>
      <c r="I1245">
        <v>1284.2440185999999</v>
      </c>
      <c r="J1245">
        <v>1263.5554199000001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835.405349</v>
      </c>
      <c r="B1246" s="1">
        <f>DATE(2012,8,13) + TIME(9,43,42)</f>
        <v>41134.405347222222</v>
      </c>
      <c r="C1246">
        <v>80</v>
      </c>
      <c r="D1246">
        <v>79.950897217000005</v>
      </c>
      <c r="E1246">
        <v>50</v>
      </c>
      <c r="F1246">
        <v>42.618034363</v>
      </c>
      <c r="G1246">
        <v>1381.5323486</v>
      </c>
      <c r="H1246">
        <v>1367.7543945</v>
      </c>
      <c r="I1246">
        <v>1284.1345214999999</v>
      </c>
      <c r="J1246">
        <v>1263.3845214999999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837.16477099999997</v>
      </c>
      <c r="B1247" s="1">
        <f>DATE(2012,8,15) + TIME(3,57,16)</f>
        <v>41136.164768518516</v>
      </c>
      <c r="C1247">
        <v>80</v>
      </c>
      <c r="D1247">
        <v>79.950965881000002</v>
      </c>
      <c r="E1247">
        <v>50</v>
      </c>
      <c r="F1247">
        <v>42.490707397000001</v>
      </c>
      <c r="G1247">
        <v>1381.4703368999999</v>
      </c>
      <c r="H1247">
        <v>1367.6940918</v>
      </c>
      <c r="I1247">
        <v>1284.0227050999999</v>
      </c>
      <c r="J1247">
        <v>1263.2089844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838.96133699999996</v>
      </c>
      <c r="B1248" s="1">
        <f>DATE(2012,8,16) + TIME(23,4,19)</f>
        <v>41137.961331018516</v>
      </c>
      <c r="C1248">
        <v>80</v>
      </c>
      <c r="D1248">
        <v>79.951026916999993</v>
      </c>
      <c r="E1248">
        <v>50</v>
      </c>
      <c r="F1248">
        <v>42.360595703000001</v>
      </c>
      <c r="G1248">
        <v>1381.4077147999999</v>
      </c>
      <c r="H1248">
        <v>1367.6333007999999</v>
      </c>
      <c r="I1248">
        <v>1283.9080810999999</v>
      </c>
      <c r="J1248">
        <v>1263.0284423999999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840.76347399999997</v>
      </c>
      <c r="B1249" s="1">
        <f>DATE(2012,8,18) + TIME(18,19,24)</f>
        <v>41139.763472222221</v>
      </c>
      <c r="C1249">
        <v>80</v>
      </c>
      <c r="D1249">
        <v>79.951095581000004</v>
      </c>
      <c r="E1249">
        <v>50</v>
      </c>
      <c r="F1249">
        <v>42.228317261000001</v>
      </c>
      <c r="G1249">
        <v>1381.3444824000001</v>
      </c>
      <c r="H1249">
        <v>1367.5716553</v>
      </c>
      <c r="I1249">
        <v>1283.7905272999999</v>
      </c>
      <c r="J1249">
        <v>1262.8426514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842.56561199999999</v>
      </c>
      <c r="B1250" s="1">
        <f>DATE(2012,8,20) + TIME(13,34,28)</f>
        <v>41141.565601851849</v>
      </c>
      <c r="C1250">
        <v>80</v>
      </c>
      <c r="D1250">
        <v>79.951156616000006</v>
      </c>
      <c r="E1250">
        <v>50</v>
      </c>
      <c r="F1250">
        <v>42.095100403000004</v>
      </c>
      <c r="G1250">
        <v>1381.2817382999999</v>
      </c>
      <c r="H1250">
        <v>1367.5104980000001</v>
      </c>
      <c r="I1250">
        <v>1283.6719971</v>
      </c>
      <c r="J1250">
        <v>1262.6545410000001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844.40101600000003</v>
      </c>
      <c r="B1251" s="1">
        <f>DATE(2012,8,22) + TIME(9,37,27)</f>
        <v>41143.401006944441</v>
      </c>
      <c r="C1251">
        <v>80</v>
      </c>
      <c r="D1251">
        <v>79.951225281000006</v>
      </c>
      <c r="E1251">
        <v>50</v>
      </c>
      <c r="F1251">
        <v>41.960792542</v>
      </c>
      <c r="G1251">
        <v>1381.2196045000001</v>
      </c>
      <c r="H1251">
        <v>1367.4498291</v>
      </c>
      <c r="I1251">
        <v>1283.5529785000001</v>
      </c>
      <c r="J1251">
        <v>1262.4644774999999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846.25544600000001</v>
      </c>
      <c r="B1252" s="1">
        <f>DATE(2012,8,24) + TIME(6,7,50)</f>
        <v>41145.255439814813</v>
      </c>
      <c r="C1252">
        <v>80</v>
      </c>
      <c r="D1252">
        <v>79.951293945000003</v>
      </c>
      <c r="E1252">
        <v>50</v>
      </c>
      <c r="F1252">
        <v>41.824951171999999</v>
      </c>
      <c r="G1252">
        <v>1381.1568603999999</v>
      </c>
      <c r="H1252">
        <v>1367.3886719</v>
      </c>
      <c r="I1252">
        <v>1283.4318848</v>
      </c>
      <c r="J1252">
        <v>1262.2702637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848.12460499999997</v>
      </c>
      <c r="B1253" s="1">
        <f>DATE(2012,8,26) + TIME(2,59,25)</f>
        <v>41147.124594907407</v>
      </c>
      <c r="C1253">
        <v>80</v>
      </c>
      <c r="D1253">
        <v>79.951362610000004</v>
      </c>
      <c r="E1253">
        <v>50</v>
      </c>
      <c r="F1253">
        <v>41.688041687000002</v>
      </c>
      <c r="G1253">
        <v>1381.0942382999999</v>
      </c>
      <c r="H1253">
        <v>1367.3272704999999</v>
      </c>
      <c r="I1253">
        <v>1283.3092041</v>
      </c>
      <c r="J1253">
        <v>1262.0729980000001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849.99376400000006</v>
      </c>
      <c r="B1254" s="1">
        <f>DATE(2012,8,27) + TIME(23,51,1)</f>
        <v>41148.993761574071</v>
      </c>
      <c r="C1254">
        <v>80</v>
      </c>
      <c r="D1254">
        <v>79.951431274000001</v>
      </c>
      <c r="E1254">
        <v>50</v>
      </c>
      <c r="F1254">
        <v>41.550811768000003</v>
      </c>
      <c r="G1254">
        <v>1381.0316161999999</v>
      </c>
      <c r="H1254">
        <v>1367.2659911999999</v>
      </c>
      <c r="I1254">
        <v>1283.1857910000001</v>
      </c>
      <c r="J1254">
        <v>1261.8735352000001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851.91594599999996</v>
      </c>
      <c r="B1255" s="1">
        <f>DATE(2012,8,29) + TIME(21,58,57)</f>
        <v>41150.915937500002</v>
      </c>
      <c r="C1255">
        <v>80</v>
      </c>
      <c r="D1255">
        <v>79.951499939000001</v>
      </c>
      <c r="E1255">
        <v>50</v>
      </c>
      <c r="F1255">
        <v>41.412826537999997</v>
      </c>
      <c r="G1255">
        <v>1380.9696045000001</v>
      </c>
      <c r="H1255">
        <v>1367.2052002</v>
      </c>
      <c r="I1255">
        <v>1283.0623779</v>
      </c>
      <c r="J1255">
        <v>1261.6726074000001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853.87517400000002</v>
      </c>
      <c r="B1256" s="1">
        <f>DATE(2012,8,31) + TIME(21,0,15)</f>
        <v>41152.875173611108</v>
      </c>
      <c r="C1256">
        <v>80</v>
      </c>
      <c r="D1256">
        <v>79.951568604000002</v>
      </c>
      <c r="E1256">
        <v>50</v>
      </c>
      <c r="F1256">
        <v>41.273059844999999</v>
      </c>
      <c r="G1256">
        <v>1380.9063721</v>
      </c>
      <c r="H1256">
        <v>1367.1430664</v>
      </c>
      <c r="I1256">
        <v>1282.9362793</v>
      </c>
      <c r="J1256">
        <v>1261.4667969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854</v>
      </c>
      <c r="B1257" s="1">
        <f>DATE(2012,9,1) + TIME(0,0,0)</f>
        <v>41153</v>
      </c>
      <c r="C1257">
        <v>80</v>
      </c>
      <c r="D1257">
        <v>79.951568604000002</v>
      </c>
      <c r="E1257">
        <v>50</v>
      </c>
      <c r="F1257">
        <v>41.247680664000001</v>
      </c>
      <c r="G1257">
        <v>1380.8466797000001</v>
      </c>
      <c r="H1257">
        <v>1367.0849608999999</v>
      </c>
      <c r="I1257">
        <v>1282.8200684000001</v>
      </c>
      <c r="J1257">
        <v>1261.3211670000001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856.00329999999997</v>
      </c>
      <c r="B1258" s="1">
        <f>DATE(2012,9,3) + TIME(0,4,45)</f>
        <v>41155.003298611111</v>
      </c>
      <c r="C1258">
        <v>80</v>
      </c>
      <c r="D1258">
        <v>79.951644896999994</v>
      </c>
      <c r="E1258">
        <v>50</v>
      </c>
      <c r="F1258">
        <v>41.117786406999997</v>
      </c>
      <c r="G1258">
        <v>1380.8382568</v>
      </c>
      <c r="H1258">
        <v>1367.0760498</v>
      </c>
      <c r="I1258">
        <v>1282.7980957</v>
      </c>
      <c r="J1258">
        <v>1261.2385254000001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858.00660100000005</v>
      </c>
      <c r="B1259" s="1">
        <f>DATE(2012,9,5) + TIME(0,9,30)</f>
        <v>41157.006597222222</v>
      </c>
      <c r="C1259">
        <v>80</v>
      </c>
      <c r="D1259">
        <v>79.951721191000004</v>
      </c>
      <c r="E1259">
        <v>50</v>
      </c>
      <c r="F1259">
        <v>40.979446410999998</v>
      </c>
      <c r="G1259">
        <v>1380.7738036999999</v>
      </c>
      <c r="H1259">
        <v>1367.0126952999999</v>
      </c>
      <c r="I1259">
        <v>1282.6696777</v>
      </c>
      <c r="J1259">
        <v>1261.0285644999999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860.04405499999996</v>
      </c>
      <c r="B1260" s="1">
        <f>DATE(2012,9,7) + TIME(1,3,26)</f>
        <v>41159.044050925928</v>
      </c>
      <c r="C1260">
        <v>80</v>
      </c>
      <c r="D1260">
        <v>79.951789856000005</v>
      </c>
      <c r="E1260">
        <v>50</v>
      </c>
      <c r="F1260">
        <v>40.839309692</v>
      </c>
      <c r="G1260">
        <v>1380.7097168</v>
      </c>
      <c r="H1260">
        <v>1366.9495850000001</v>
      </c>
      <c r="I1260">
        <v>1282.5410156</v>
      </c>
      <c r="J1260">
        <v>1260.815918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862.10231299999998</v>
      </c>
      <c r="B1261" s="1">
        <f>DATE(2012,9,9) + TIME(2,27,19)</f>
        <v>41161.102303240739</v>
      </c>
      <c r="C1261">
        <v>80</v>
      </c>
      <c r="D1261">
        <v>79.951866150000001</v>
      </c>
      <c r="E1261">
        <v>50</v>
      </c>
      <c r="F1261">
        <v>40.699020386000001</v>
      </c>
      <c r="G1261">
        <v>1380.6451416</v>
      </c>
      <c r="H1261">
        <v>1366.8858643000001</v>
      </c>
      <c r="I1261">
        <v>1282.411499</v>
      </c>
      <c r="J1261">
        <v>1260.6005858999999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864.17526699999996</v>
      </c>
      <c r="B1262" s="1">
        <f>DATE(2012,9,11) + TIME(4,12,23)</f>
        <v>41163.175266203703</v>
      </c>
      <c r="C1262">
        <v>80</v>
      </c>
      <c r="D1262">
        <v>79.951942443999997</v>
      </c>
      <c r="E1262">
        <v>50</v>
      </c>
      <c r="F1262">
        <v>40.559951781999999</v>
      </c>
      <c r="G1262">
        <v>1380.5803223</v>
      </c>
      <c r="H1262">
        <v>1366.8218993999999</v>
      </c>
      <c r="I1262">
        <v>1282.2821045000001</v>
      </c>
      <c r="J1262">
        <v>1260.3846435999999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866.26624700000002</v>
      </c>
      <c r="B1263" s="1">
        <f>DATE(2012,9,13) + TIME(6,23,23)</f>
        <v>41165.266238425924</v>
      </c>
      <c r="C1263">
        <v>80</v>
      </c>
      <c r="D1263">
        <v>79.952018738000007</v>
      </c>
      <c r="E1263">
        <v>50</v>
      </c>
      <c r="F1263">
        <v>40.423011780000003</v>
      </c>
      <c r="G1263">
        <v>1380.5157471</v>
      </c>
      <c r="H1263">
        <v>1366.7579346</v>
      </c>
      <c r="I1263">
        <v>1282.1536865</v>
      </c>
      <c r="J1263">
        <v>1260.1690673999999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868.381846</v>
      </c>
      <c r="B1264" s="1">
        <f>DATE(2012,9,15) + TIME(9,9,51)</f>
        <v>41167.381840277776</v>
      </c>
      <c r="C1264">
        <v>80</v>
      </c>
      <c r="D1264">
        <v>79.952087402000004</v>
      </c>
      <c r="E1264">
        <v>50</v>
      </c>
      <c r="F1264">
        <v>40.288684844999999</v>
      </c>
      <c r="G1264">
        <v>1380.4509277</v>
      </c>
      <c r="H1264">
        <v>1366.6938477000001</v>
      </c>
      <c r="I1264">
        <v>1282.0263672000001</v>
      </c>
      <c r="J1264">
        <v>1259.9543457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870.53315399999997</v>
      </c>
      <c r="B1265" s="1">
        <f>DATE(2012,9,17) + TIME(12,47,44)</f>
        <v>41169.533148148148</v>
      </c>
      <c r="C1265">
        <v>80</v>
      </c>
      <c r="D1265">
        <v>79.952171325999998</v>
      </c>
      <c r="E1265">
        <v>50</v>
      </c>
      <c r="F1265">
        <v>40.157230376999998</v>
      </c>
      <c r="G1265">
        <v>1380.3859863</v>
      </c>
      <c r="H1265">
        <v>1366.6293945</v>
      </c>
      <c r="I1265">
        <v>1281.9000243999999</v>
      </c>
      <c r="J1265">
        <v>1259.7404785000001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872.68446200000005</v>
      </c>
      <c r="B1266" s="1">
        <f>DATE(2012,9,19) + TIME(16,25,37)</f>
        <v>41171.68445601852</v>
      </c>
      <c r="C1266">
        <v>80</v>
      </c>
      <c r="D1266">
        <v>79.952247619999994</v>
      </c>
      <c r="E1266">
        <v>50</v>
      </c>
      <c r="F1266">
        <v>40.029636383000003</v>
      </c>
      <c r="G1266">
        <v>1380.3203125</v>
      </c>
      <c r="H1266">
        <v>1366.5643310999999</v>
      </c>
      <c r="I1266">
        <v>1281.7746582</v>
      </c>
      <c r="J1266">
        <v>1259.5275879000001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874.87504300000001</v>
      </c>
      <c r="B1267" s="1">
        <f>DATE(2012,9,21) + TIME(21,0,3)</f>
        <v>41173.875034722223</v>
      </c>
      <c r="C1267">
        <v>80</v>
      </c>
      <c r="D1267">
        <v>79.952323914000004</v>
      </c>
      <c r="E1267">
        <v>50</v>
      </c>
      <c r="F1267">
        <v>39.907020568999997</v>
      </c>
      <c r="G1267">
        <v>1380.255249</v>
      </c>
      <c r="H1267">
        <v>1366.4996338000001</v>
      </c>
      <c r="I1267">
        <v>1281.6522216999999</v>
      </c>
      <c r="J1267">
        <v>1259.3184814000001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877.08730300000002</v>
      </c>
      <c r="B1268" s="1">
        <f>DATE(2012,9,24) + TIME(2,5,43)</f>
        <v>41176.08730324074</v>
      </c>
      <c r="C1268">
        <v>80</v>
      </c>
      <c r="D1268">
        <v>79.952400208</v>
      </c>
      <c r="E1268">
        <v>50</v>
      </c>
      <c r="F1268">
        <v>39.789676665999998</v>
      </c>
      <c r="G1268">
        <v>1380.1894531</v>
      </c>
      <c r="H1268">
        <v>1366.434082</v>
      </c>
      <c r="I1268">
        <v>1281.5313721</v>
      </c>
      <c r="J1268">
        <v>1259.1114502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879.32888300000002</v>
      </c>
      <c r="B1269" s="1">
        <f>DATE(2012,9,26) + TIME(7,53,35)</f>
        <v>41178.328877314816</v>
      </c>
      <c r="C1269">
        <v>80</v>
      </c>
      <c r="D1269">
        <v>79.952484131000006</v>
      </c>
      <c r="E1269">
        <v>50</v>
      </c>
      <c r="F1269">
        <v>39.678710938000002</v>
      </c>
      <c r="G1269">
        <v>1380.1234131000001</v>
      </c>
      <c r="H1269">
        <v>1366.3684082</v>
      </c>
      <c r="I1269">
        <v>1281.4132079999999</v>
      </c>
      <c r="J1269">
        <v>1258.9084473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881.61643100000003</v>
      </c>
      <c r="B1270" s="1">
        <f>DATE(2012,9,28) + TIME(14,47,39)</f>
        <v>41180.616423611114</v>
      </c>
      <c r="C1270">
        <v>80</v>
      </c>
      <c r="D1270">
        <v>79.952560425000001</v>
      </c>
      <c r="E1270">
        <v>50</v>
      </c>
      <c r="F1270">
        <v>39.574855804000002</v>
      </c>
      <c r="G1270">
        <v>1380.0570068</v>
      </c>
      <c r="H1270">
        <v>1366.3022461</v>
      </c>
      <c r="I1270">
        <v>1281.2978516000001</v>
      </c>
      <c r="J1270">
        <v>1258.7095947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882.80821600000002</v>
      </c>
      <c r="B1271" s="1">
        <f>DATE(2012,9,29) + TIME(19,23,49)</f>
        <v>41181.808206018519</v>
      </c>
      <c r="C1271">
        <v>80</v>
      </c>
      <c r="D1271">
        <v>79.952598571999999</v>
      </c>
      <c r="E1271">
        <v>50</v>
      </c>
      <c r="F1271">
        <v>39.498641968000001</v>
      </c>
      <c r="G1271">
        <v>1379.989624</v>
      </c>
      <c r="H1271">
        <v>1366.2351074000001</v>
      </c>
      <c r="I1271">
        <v>1281.1896973</v>
      </c>
      <c r="J1271">
        <v>1258.5308838000001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884</v>
      </c>
      <c r="B1272" s="1">
        <f>DATE(2012,10,1) + TIME(0,0,0)</f>
        <v>41183</v>
      </c>
      <c r="C1272">
        <v>80</v>
      </c>
      <c r="D1272">
        <v>79.952644348000007</v>
      </c>
      <c r="E1272">
        <v>50</v>
      </c>
      <c r="F1272">
        <v>39.442092895999998</v>
      </c>
      <c r="G1272">
        <v>1379.9543457</v>
      </c>
      <c r="H1272">
        <v>1366.199707</v>
      </c>
      <c r="I1272">
        <v>1281.1280518000001</v>
      </c>
      <c r="J1272">
        <v>1258.4200439000001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886.33423600000003</v>
      </c>
      <c r="B1273" s="1">
        <f>DATE(2012,10,3) + TIME(8,1,18)</f>
        <v>41185.334236111114</v>
      </c>
      <c r="C1273">
        <v>80</v>
      </c>
      <c r="D1273">
        <v>79.952728270999998</v>
      </c>
      <c r="E1273">
        <v>50</v>
      </c>
      <c r="F1273">
        <v>39.383640288999999</v>
      </c>
      <c r="G1273">
        <v>1379.9197998</v>
      </c>
      <c r="H1273">
        <v>1366.1650391000001</v>
      </c>
      <c r="I1273">
        <v>1281.067749</v>
      </c>
      <c r="J1273">
        <v>1258.3089600000001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888.668857</v>
      </c>
      <c r="B1274" s="1">
        <f>DATE(2012,10,5) + TIME(16,3,9)</f>
        <v>41187.668854166666</v>
      </c>
      <c r="C1274">
        <v>80</v>
      </c>
      <c r="D1274">
        <v>79.952812195000007</v>
      </c>
      <c r="E1274">
        <v>50</v>
      </c>
      <c r="F1274">
        <v>39.316944122000002</v>
      </c>
      <c r="G1274">
        <v>1379.8522949000001</v>
      </c>
      <c r="H1274">
        <v>1366.0977783000001</v>
      </c>
      <c r="I1274">
        <v>1280.9683838000001</v>
      </c>
      <c r="J1274">
        <v>1258.1398925999999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891.04101900000001</v>
      </c>
      <c r="B1275" s="1">
        <f>DATE(2012,10,8) + TIME(0,59,4)</f>
        <v>41190.041018518517</v>
      </c>
      <c r="C1275">
        <v>80</v>
      </c>
      <c r="D1275">
        <v>79.952896117999998</v>
      </c>
      <c r="E1275">
        <v>50</v>
      </c>
      <c r="F1275">
        <v>39.257598877</v>
      </c>
      <c r="G1275">
        <v>1379.7850341999999</v>
      </c>
      <c r="H1275">
        <v>1366.0305175999999</v>
      </c>
      <c r="I1275">
        <v>1280.8710937999999</v>
      </c>
      <c r="J1275">
        <v>1257.9726562000001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893.44687299999998</v>
      </c>
      <c r="B1276" s="1">
        <f>DATE(2012,10,10) + TIME(10,43,29)</f>
        <v>41192.446863425925</v>
      </c>
      <c r="C1276">
        <v>80</v>
      </c>
      <c r="D1276">
        <v>79.952980041999993</v>
      </c>
      <c r="E1276">
        <v>50</v>
      </c>
      <c r="F1276">
        <v>39.210224152000002</v>
      </c>
      <c r="G1276">
        <v>1379.7172852000001</v>
      </c>
      <c r="H1276">
        <v>1365.9625243999999</v>
      </c>
      <c r="I1276">
        <v>1280.7774658000001</v>
      </c>
      <c r="J1276">
        <v>1257.8121338000001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895.87335599999994</v>
      </c>
      <c r="B1277" s="1">
        <f>DATE(2012,10,12) + TIME(20,57,37)</f>
        <v>41194.873344907406</v>
      </c>
      <c r="C1277">
        <v>80</v>
      </c>
      <c r="D1277">
        <v>79.953063964999998</v>
      </c>
      <c r="E1277">
        <v>50</v>
      </c>
      <c r="F1277">
        <v>39.177124022999998</v>
      </c>
      <c r="G1277">
        <v>1379.6489257999999</v>
      </c>
      <c r="H1277">
        <v>1365.8941649999999</v>
      </c>
      <c r="I1277">
        <v>1280.6887207</v>
      </c>
      <c r="J1277">
        <v>1257.6607666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898.32884799999999</v>
      </c>
      <c r="B1278" s="1">
        <f>DATE(2012,10,15) + TIME(7,53,32)</f>
        <v>41197.328842592593</v>
      </c>
      <c r="C1278">
        <v>80</v>
      </c>
      <c r="D1278">
        <v>79.953147888000004</v>
      </c>
      <c r="E1278">
        <v>50</v>
      </c>
      <c r="F1278">
        <v>39.159759520999998</v>
      </c>
      <c r="G1278">
        <v>1379.5805664</v>
      </c>
      <c r="H1278">
        <v>1365.8255615</v>
      </c>
      <c r="I1278">
        <v>1280.6057129000001</v>
      </c>
      <c r="J1278">
        <v>1257.5205077999999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900.78434000000004</v>
      </c>
      <c r="B1279" s="1">
        <f>DATE(2012,10,17) + TIME(18,49,26)</f>
        <v>41199.784328703703</v>
      </c>
      <c r="C1279">
        <v>80</v>
      </c>
      <c r="D1279">
        <v>79.953231811999999</v>
      </c>
      <c r="E1279">
        <v>50</v>
      </c>
      <c r="F1279">
        <v>39.159198760999999</v>
      </c>
      <c r="G1279">
        <v>1379.5119629000001</v>
      </c>
      <c r="H1279">
        <v>1365.7567139</v>
      </c>
      <c r="I1279">
        <v>1280.5285644999999</v>
      </c>
      <c r="J1279">
        <v>1257.3919678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903.30613800000003</v>
      </c>
      <c r="B1280" s="1">
        <f>DATE(2012,10,20) + TIME(7,20,50)</f>
        <v>41202.306134259263</v>
      </c>
      <c r="C1280">
        <v>80</v>
      </c>
      <c r="D1280">
        <v>79.953315735000004</v>
      </c>
      <c r="E1280">
        <v>50</v>
      </c>
      <c r="F1280">
        <v>39.176113129000001</v>
      </c>
      <c r="G1280">
        <v>1379.4439697</v>
      </c>
      <c r="H1280">
        <v>1365.6884766000001</v>
      </c>
      <c r="I1280">
        <v>1280.4580077999999</v>
      </c>
      <c r="J1280">
        <v>1257.2764893000001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905.86110499999995</v>
      </c>
      <c r="B1281" s="1">
        <f>DATE(2012,10,22) + TIME(20,39,59)</f>
        <v>41204.86109953704</v>
      </c>
      <c r="C1281">
        <v>80</v>
      </c>
      <c r="D1281">
        <v>79.953399657999995</v>
      </c>
      <c r="E1281">
        <v>50</v>
      </c>
      <c r="F1281">
        <v>39.211483002000001</v>
      </c>
      <c r="G1281">
        <v>1379.3746338000001</v>
      </c>
      <c r="H1281">
        <v>1365.6188964999999</v>
      </c>
      <c r="I1281">
        <v>1280.3928223</v>
      </c>
      <c r="J1281">
        <v>1257.1726074000001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908.43235200000004</v>
      </c>
      <c r="B1282" s="1">
        <f>DATE(2012,10,25) + TIME(10,22,35)</f>
        <v>41207.432349537034</v>
      </c>
      <c r="C1282">
        <v>80</v>
      </c>
      <c r="D1282">
        <v>79.953491210999999</v>
      </c>
      <c r="E1282">
        <v>50</v>
      </c>
      <c r="F1282">
        <v>39.265777587999999</v>
      </c>
      <c r="G1282">
        <v>1379.3051757999999</v>
      </c>
      <c r="H1282">
        <v>1365.5491943</v>
      </c>
      <c r="I1282">
        <v>1280.3339844</v>
      </c>
      <c r="J1282">
        <v>1257.0816649999999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911.00359900000001</v>
      </c>
      <c r="B1283" s="1">
        <f>DATE(2012,10,28) + TIME(0,5,10)</f>
        <v>41210.003587962965</v>
      </c>
      <c r="C1283">
        <v>80</v>
      </c>
      <c r="D1283">
        <v>79.953575134000005</v>
      </c>
      <c r="E1283">
        <v>50</v>
      </c>
      <c r="F1283">
        <v>39.338691711000003</v>
      </c>
      <c r="G1283">
        <v>1379.2359618999999</v>
      </c>
      <c r="H1283">
        <v>1365.4796143000001</v>
      </c>
      <c r="I1283">
        <v>1280.2817382999999</v>
      </c>
      <c r="J1283">
        <v>1257.0047606999999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913.61251200000004</v>
      </c>
      <c r="B1284" s="1">
        <f>DATE(2012,10,30) + TIME(14,42,1)</f>
        <v>41212.612511574072</v>
      </c>
      <c r="C1284">
        <v>80</v>
      </c>
      <c r="D1284">
        <v>79.953666686999995</v>
      </c>
      <c r="E1284">
        <v>50</v>
      </c>
      <c r="F1284">
        <v>39.429668427000003</v>
      </c>
      <c r="G1284">
        <v>1379.1674805</v>
      </c>
      <c r="H1284">
        <v>1365.4108887</v>
      </c>
      <c r="I1284">
        <v>1280.2360839999999</v>
      </c>
      <c r="J1284">
        <v>1256.9417725000001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915</v>
      </c>
      <c r="B1285" s="1">
        <f>DATE(2012,11,1) + TIME(0,0,0)</f>
        <v>41214</v>
      </c>
      <c r="C1285">
        <v>80</v>
      </c>
      <c r="D1285">
        <v>79.953704834000007</v>
      </c>
      <c r="E1285">
        <v>50</v>
      </c>
      <c r="F1285">
        <v>39.519329071000001</v>
      </c>
      <c r="G1285">
        <v>1379.0987548999999</v>
      </c>
      <c r="H1285">
        <v>1365.3420410000001</v>
      </c>
      <c r="I1285">
        <v>1280.2038574000001</v>
      </c>
      <c r="J1285">
        <v>1256.895874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915.000001</v>
      </c>
      <c r="B1286" s="1">
        <f>DATE(2012,11,1) + TIME(0,0,0)</f>
        <v>41214</v>
      </c>
      <c r="C1286">
        <v>80</v>
      </c>
      <c r="D1286">
        <v>79.953582764000004</v>
      </c>
      <c r="E1286">
        <v>50</v>
      </c>
      <c r="F1286">
        <v>39.519447327000002</v>
      </c>
      <c r="G1286">
        <v>1364.4702147999999</v>
      </c>
      <c r="H1286">
        <v>1352.9127197</v>
      </c>
      <c r="I1286">
        <v>1304.5534668</v>
      </c>
      <c r="J1286">
        <v>1281.0960693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915.00000399999999</v>
      </c>
      <c r="B1287" s="1">
        <f>DATE(2012,11,1) + TIME(0,0,0)</f>
        <v>41214</v>
      </c>
      <c r="C1287">
        <v>80</v>
      </c>
      <c r="D1287">
        <v>79.953269958000007</v>
      </c>
      <c r="E1287">
        <v>50</v>
      </c>
      <c r="F1287">
        <v>39.519775391000003</v>
      </c>
      <c r="G1287">
        <v>1362.2677002</v>
      </c>
      <c r="H1287">
        <v>1350.7095947</v>
      </c>
      <c r="I1287">
        <v>1306.9484863</v>
      </c>
      <c r="J1287">
        <v>1283.5220947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915.00001299999997</v>
      </c>
      <c r="B1288" s="1">
        <f>DATE(2012,11,1) + TIME(0,0,1)</f>
        <v>41214.000011574077</v>
      </c>
      <c r="C1288">
        <v>80</v>
      </c>
      <c r="D1288">
        <v>79.952636718999997</v>
      </c>
      <c r="E1288">
        <v>50</v>
      </c>
      <c r="F1288">
        <v>39.520568848000003</v>
      </c>
      <c r="G1288">
        <v>1357.8215332</v>
      </c>
      <c r="H1288">
        <v>1346.2629394999999</v>
      </c>
      <c r="I1288">
        <v>1312.5594481999999</v>
      </c>
      <c r="J1288">
        <v>1289.1905518000001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915.00004000000001</v>
      </c>
      <c r="B1289" s="1">
        <f>DATE(2012,11,1) + TIME(0,0,3)</f>
        <v>41214.000034722223</v>
      </c>
      <c r="C1289">
        <v>80</v>
      </c>
      <c r="D1289">
        <v>79.951713561999995</v>
      </c>
      <c r="E1289">
        <v>50</v>
      </c>
      <c r="F1289">
        <v>39.522106170999997</v>
      </c>
      <c r="G1289">
        <v>1351.3258057</v>
      </c>
      <c r="H1289">
        <v>1339.769043</v>
      </c>
      <c r="I1289">
        <v>1322.5330810999999</v>
      </c>
      <c r="J1289">
        <v>1299.2127685999999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915.00012100000004</v>
      </c>
      <c r="B1290" s="1">
        <f>DATE(2012,11,1) + TIME(0,0,10)</f>
        <v>41214.000115740739</v>
      </c>
      <c r="C1290">
        <v>80</v>
      </c>
      <c r="D1290">
        <v>79.950668335000003</v>
      </c>
      <c r="E1290">
        <v>50</v>
      </c>
      <c r="F1290">
        <v>39.524662018000001</v>
      </c>
      <c r="G1290">
        <v>1344.0964355000001</v>
      </c>
      <c r="H1290">
        <v>1332.5451660000001</v>
      </c>
      <c r="I1290">
        <v>1335.3889160000001</v>
      </c>
      <c r="J1290">
        <v>1312.0853271000001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915.00036399999999</v>
      </c>
      <c r="B1291" s="1">
        <f>DATE(2012,11,1) + TIME(0,0,31)</f>
        <v>41214.000358796293</v>
      </c>
      <c r="C1291">
        <v>80</v>
      </c>
      <c r="D1291">
        <v>79.949584960999999</v>
      </c>
      <c r="E1291">
        <v>50</v>
      </c>
      <c r="F1291">
        <v>39.529331206999998</v>
      </c>
      <c r="G1291">
        <v>1336.8278809000001</v>
      </c>
      <c r="H1291">
        <v>1325.2839355000001</v>
      </c>
      <c r="I1291">
        <v>1348.9937743999999</v>
      </c>
      <c r="J1291">
        <v>1325.6976318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915.00109299999997</v>
      </c>
      <c r="B1292" s="1">
        <f>DATE(2012,11,1) + TIME(0,1,34)</f>
        <v>41214.001087962963</v>
      </c>
      <c r="C1292">
        <v>80</v>
      </c>
      <c r="D1292">
        <v>79.948394774999997</v>
      </c>
      <c r="E1292">
        <v>50</v>
      </c>
      <c r="F1292">
        <v>39.540111541999998</v>
      </c>
      <c r="G1292">
        <v>1329.5053711</v>
      </c>
      <c r="H1292">
        <v>1317.9504394999999</v>
      </c>
      <c r="I1292">
        <v>1362.8474120999999</v>
      </c>
      <c r="J1292">
        <v>1339.5449219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915.00328000000002</v>
      </c>
      <c r="B1293" s="1">
        <f>DATE(2012,11,1) + TIME(0,4,43)</f>
        <v>41214.003275462965</v>
      </c>
      <c r="C1293">
        <v>80</v>
      </c>
      <c r="D1293">
        <v>79.946838378999999</v>
      </c>
      <c r="E1293">
        <v>50</v>
      </c>
      <c r="F1293">
        <v>39.569133759000003</v>
      </c>
      <c r="G1293">
        <v>1321.8395995999999</v>
      </c>
      <c r="H1293">
        <v>1310.2014160000001</v>
      </c>
      <c r="I1293">
        <v>1376.9688721</v>
      </c>
      <c r="J1293">
        <v>1353.6369629000001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915.00984100000005</v>
      </c>
      <c r="B1294" s="1">
        <f>DATE(2012,11,1) + TIME(0,14,10)</f>
        <v>41214.009837962964</v>
      </c>
      <c r="C1294">
        <v>80</v>
      </c>
      <c r="D1294">
        <v>79.944305420000006</v>
      </c>
      <c r="E1294">
        <v>50</v>
      </c>
      <c r="F1294">
        <v>39.652236938000001</v>
      </c>
      <c r="G1294">
        <v>1313.9337158000001</v>
      </c>
      <c r="H1294">
        <v>1302.1356201000001</v>
      </c>
      <c r="I1294">
        <v>1390.2216797000001</v>
      </c>
      <c r="J1294">
        <v>1366.8768310999999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915.02952400000004</v>
      </c>
      <c r="B1295" s="1">
        <f>DATE(2012,11,1) + TIME(0,42,30)</f>
        <v>41214.029513888891</v>
      </c>
      <c r="C1295">
        <v>80</v>
      </c>
      <c r="D1295">
        <v>79.939170837000006</v>
      </c>
      <c r="E1295">
        <v>50</v>
      </c>
      <c r="F1295">
        <v>39.892524719000001</v>
      </c>
      <c r="G1295">
        <v>1307.2888184000001</v>
      </c>
      <c r="H1295">
        <v>1295.3364257999999</v>
      </c>
      <c r="I1295">
        <v>1399.7364502</v>
      </c>
      <c r="J1295">
        <v>1376.4705810999999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915.081816</v>
      </c>
      <c r="B1296" s="1">
        <f>DATE(2012,11,1) + TIME(1,57,48)</f>
        <v>41214.081805555557</v>
      </c>
      <c r="C1296">
        <v>80</v>
      </c>
      <c r="D1296">
        <v>79.927940368999998</v>
      </c>
      <c r="E1296">
        <v>50</v>
      </c>
      <c r="F1296">
        <v>40.491180419999999</v>
      </c>
      <c r="G1296">
        <v>1303.8754882999999</v>
      </c>
      <c r="H1296">
        <v>1291.8386230000001</v>
      </c>
      <c r="I1296">
        <v>1403.3885498</v>
      </c>
      <c r="J1296">
        <v>1380.3651123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915.13671199999999</v>
      </c>
      <c r="B1297" s="1">
        <f>DATE(2012,11,1) + TIME(3,16,51)</f>
        <v>41214.136701388888</v>
      </c>
      <c r="C1297">
        <v>80</v>
      </c>
      <c r="D1297">
        <v>79.916725158999995</v>
      </c>
      <c r="E1297">
        <v>50</v>
      </c>
      <c r="F1297">
        <v>41.081062316999997</v>
      </c>
      <c r="G1297">
        <v>1303.0559082</v>
      </c>
      <c r="H1297">
        <v>1290.9974365</v>
      </c>
      <c r="I1297">
        <v>1403.7479248</v>
      </c>
      <c r="J1297">
        <v>1380.949707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915.19433100000003</v>
      </c>
      <c r="B1298" s="1">
        <f>DATE(2012,11,1) + TIME(4,39,50)</f>
        <v>41214.194328703707</v>
      </c>
      <c r="C1298">
        <v>80</v>
      </c>
      <c r="D1298">
        <v>79.905250549000002</v>
      </c>
      <c r="E1298">
        <v>50</v>
      </c>
      <c r="F1298">
        <v>41.660640717</v>
      </c>
      <c r="G1298">
        <v>1302.8374022999999</v>
      </c>
      <c r="H1298">
        <v>1290.7730713000001</v>
      </c>
      <c r="I1298">
        <v>1403.5109863</v>
      </c>
      <c r="J1298">
        <v>1380.9285889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915.25496099999998</v>
      </c>
      <c r="B1299" s="1">
        <f>DATE(2012,11,1) + TIME(6,7,8)</f>
        <v>41214.254953703705</v>
      </c>
      <c r="C1299">
        <v>80</v>
      </c>
      <c r="D1299">
        <v>79.893432617000002</v>
      </c>
      <c r="E1299">
        <v>50</v>
      </c>
      <c r="F1299">
        <v>42.229606627999999</v>
      </c>
      <c r="G1299">
        <v>1302.7723389</v>
      </c>
      <c r="H1299">
        <v>1290.706543</v>
      </c>
      <c r="I1299">
        <v>1403.1829834</v>
      </c>
      <c r="J1299">
        <v>1380.8077393000001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915.31896800000004</v>
      </c>
      <c r="B1300" s="1">
        <f>DATE(2012,11,1) + TIME(7,39,18)</f>
        <v>41214.318958333337</v>
      </c>
      <c r="C1300">
        <v>80</v>
      </c>
      <c r="D1300">
        <v>79.881210327000005</v>
      </c>
      <c r="E1300">
        <v>50</v>
      </c>
      <c r="F1300">
        <v>42.787761688000003</v>
      </c>
      <c r="G1300">
        <v>1302.7498779</v>
      </c>
      <c r="H1300">
        <v>1290.6839600000001</v>
      </c>
      <c r="I1300">
        <v>1402.8544922000001</v>
      </c>
      <c r="J1300">
        <v>1380.6787108999999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915.38678600000003</v>
      </c>
      <c r="B1301" s="1">
        <f>DATE(2012,11,1) + TIME(9,16,58)</f>
        <v>41214.386782407404</v>
      </c>
      <c r="C1301">
        <v>80</v>
      </c>
      <c r="D1301">
        <v>79.868515015</v>
      </c>
      <c r="E1301">
        <v>50</v>
      </c>
      <c r="F1301">
        <v>43.334888458000002</v>
      </c>
      <c r="G1301">
        <v>1302.7402344</v>
      </c>
      <c r="H1301">
        <v>1290.6743164</v>
      </c>
      <c r="I1301">
        <v>1402.5380858999999</v>
      </c>
      <c r="J1301">
        <v>1380.5541992000001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915.45893799999999</v>
      </c>
      <c r="B1302" s="1">
        <f>DATE(2012,11,1) + TIME(11,0,52)</f>
        <v>41214.458935185183</v>
      </c>
      <c r="C1302">
        <v>80</v>
      </c>
      <c r="D1302">
        <v>79.855285644999995</v>
      </c>
      <c r="E1302">
        <v>50</v>
      </c>
      <c r="F1302">
        <v>43.870708466000004</v>
      </c>
      <c r="G1302">
        <v>1302.7346190999999</v>
      </c>
      <c r="H1302">
        <v>1290.6688231999999</v>
      </c>
      <c r="I1302">
        <v>1402.2332764</v>
      </c>
      <c r="J1302">
        <v>1380.4339600000001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915.53605700000003</v>
      </c>
      <c r="B1303" s="1">
        <f>DATE(2012,11,1) + TIME(12,51,55)</f>
        <v>41214.536053240743</v>
      </c>
      <c r="C1303">
        <v>80</v>
      </c>
      <c r="D1303">
        <v>79.841438292999996</v>
      </c>
      <c r="E1303">
        <v>50</v>
      </c>
      <c r="F1303">
        <v>44.394874573000003</v>
      </c>
      <c r="G1303">
        <v>1302.7303466999999</v>
      </c>
      <c r="H1303">
        <v>1290.6644286999999</v>
      </c>
      <c r="I1303">
        <v>1401.9383545000001</v>
      </c>
      <c r="J1303">
        <v>1380.3167725000001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915.61891600000001</v>
      </c>
      <c r="B1304" s="1">
        <f>DATE(2012,11,1) + TIME(14,51,14)</f>
        <v>41214.61891203704</v>
      </c>
      <c r="C1304">
        <v>80</v>
      </c>
      <c r="D1304">
        <v>79.826881408999995</v>
      </c>
      <c r="E1304">
        <v>50</v>
      </c>
      <c r="F1304">
        <v>44.906959534000002</v>
      </c>
      <c r="G1304">
        <v>1302.7261963000001</v>
      </c>
      <c r="H1304">
        <v>1290.6604004000001</v>
      </c>
      <c r="I1304">
        <v>1401.6522216999999</v>
      </c>
      <c r="J1304">
        <v>1380.2015381000001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915.70847800000001</v>
      </c>
      <c r="B1305" s="1">
        <f>DATE(2012,11,1) + TIME(17,0,12)</f>
        <v>41214.708472222221</v>
      </c>
      <c r="C1305">
        <v>80</v>
      </c>
      <c r="D1305">
        <v>79.811492920000006</v>
      </c>
      <c r="E1305">
        <v>50</v>
      </c>
      <c r="F1305">
        <v>45.406440734999997</v>
      </c>
      <c r="G1305">
        <v>1302.7220459</v>
      </c>
      <c r="H1305">
        <v>1290.6561279</v>
      </c>
      <c r="I1305">
        <v>1401.3743896000001</v>
      </c>
      <c r="J1305">
        <v>1380.0878906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915.80595600000004</v>
      </c>
      <c r="B1306" s="1">
        <f>DATE(2012,11,1) + TIME(19,20,34)</f>
        <v>41214.805949074071</v>
      </c>
      <c r="C1306">
        <v>80</v>
      </c>
      <c r="D1306">
        <v>79.795127868999998</v>
      </c>
      <c r="E1306">
        <v>50</v>
      </c>
      <c r="F1306">
        <v>45.892642975000001</v>
      </c>
      <c r="G1306">
        <v>1302.7176514</v>
      </c>
      <c r="H1306">
        <v>1290.6516113</v>
      </c>
      <c r="I1306">
        <v>1401.1040039</v>
      </c>
      <c r="J1306">
        <v>1379.9749756000001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915.91289099999995</v>
      </c>
      <c r="B1307" s="1">
        <f>DATE(2012,11,1) + TIME(21,54,33)</f>
        <v>41214.912881944445</v>
      </c>
      <c r="C1307">
        <v>80</v>
      </c>
      <c r="D1307">
        <v>79.777603149000001</v>
      </c>
      <c r="E1307">
        <v>50</v>
      </c>
      <c r="F1307">
        <v>46.364700317</v>
      </c>
      <c r="G1307">
        <v>1302.7128906</v>
      </c>
      <c r="H1307">
        <v>1290.6467285000001</v>
      </c>
      <c r="I1307">
        <v>1400.8406981999999</v>
      </c>
      <c r="J1307">
        <v>1379.8626709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916.03135299999997</v>
      </c>
      <c r="B1308" s="1">
        <f>DATE(2012,11,2) + TIME(0,45,8)</f>
        <v>41215.031342592592</v>
      </c>
      <c r="C1308">
        <v>80</v>
      </c>
      <c r="D1308">
        <v>79.758674622000001</v>
      </c>
      <c r="E1308">
        <v>50</v>
      </c>
      <c r="F1308">
        <v>46.821693420000003</v>
      </c>
      <c r="G1308">
        <v>1302.7077637</v>
      </c>
      <c r="H1308">
        <v>1290.6412353999999</v>
      </c>
      <c r="I1308">
        <v>1400.5839844</v>
      </c>
      <c r="J1308">
        <v>1379.7501221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916.16410399999995</v>
      </c>
      <c r="B1309" s="1">
        <f>DATE(2012,11,2) + TIME(3,56,18)</f>
        <v>41215.164097222223</v>
      </c>
      <c r="C1309">
        <v>80</v>
      </c>
      <c r="D1309">
        <v>79.738029479999994</v>
      </c>
      <c r="E1309">
        <v>50</v>
      </c>
      <c r="F1309">
        <v>47.262367249</v>
      </c>
      <c r="G1309">
        <v>1302.7021483999999</v>
      </c>
      <c r="H1309">
        <v>1290.6352539</v>
      </c>
      <c r="I1309">
        <v>1400.3331298999999</v>
      </c>
      <c r="J1309">
        <v>1379.6368408000001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916.314975</v>
      </c>
      <c r="B1310" s="1">
        <f>DATE(2012,11,2) + TIME(7,33,33)</f>
        <v>41215.314965277779</v>
      </c>
      <c r="C1310">
        <v>80</v>
      </c>
      <c r="D1310">
        <v>79.715240479000002</v>
      </c>
      <c r="E1310">
        <v>50</v>
      </c>
      <c r="F1310">
        <v>47.685111999999997</v>
      </c>
      <c r="G1310">
        <v>1302.6959228999999</v>
      </c>
      <c r="H1310">
        <v>1290.6286620999999</v>
      </c>
      <c r="I1310">
        <v>1400.0876464999999</v>
      </c>
      <c r="J1310">
        <v>1379.5220947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916.48947299999998</v>
      </c>
      <c r="B1311" s="1">
        <f>DATE(2012,11,2) + TIME(11,44,50)</f>
        <v>41215.48946759259</v>
      </c>
      <c r="C1311">
        <v>80</v>
      </c>
      <c r="D1311">
        <v>79.689712524000001</v>
      </c>
      <c r="E1311">
        <v>50</v>
      </c>
      <c r="F1311">
        <v>48.087852478000002</v>
      </c>
      <c r="G1311">
        <v>1302.6888428</v>
      </c>
      <c r="H1311">
        <v>1290.6210937999999</v>
      </c>
      <c r="I1311">
        <v>1399.8469238</v>
      </c>
      <c r="J1311">
        <v>1379.4047852000001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916.69587000000001</v>
      </c>
      <c r="B1312" s="1">
        <f>DATE(2012,11,2) + TIME(16,42,3)</f>
        <v>41215.695868055554</v>
      </c>
      <c r="C1312">
        <v>80</v>
      </c>
      <c r="D1312">
        <v>79.660598754999995</v>
      </c>
      <c r="E1312">
        <v>50</v>
      </c>
      <c r="F1312">
        <v>48.467830657999997</v>
      </c>
      <c r="G1312">
        <v>1302.6807861</v>
      </c>
      <c r="H1312">
        <v>1290.6123047000001</v>
      </c>
      <c r="I1312">
        <v>1399.6102295000001</v>
      </c>
      <c r="J1312">
        <v>1379.2836914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916.90694599999995</v>
      </c>
      <c r="B1313" s="1">
        <f>DATE(2012,11,2) + TIME(21,46,0)</f>
        <v>41215.906944444447</v>
      </c>
      <c r="C1313">
        <v>80</v>
      </c>
      <c r="D1313">
        <v>79.630973815999994</v>
      </c>
      <c r="E1313">
        <v>50</v>
      </c>
      <c r="F1313">
        <v>48.776313782000003</v>
      </c>
      <c r="G1313">
        <v>1302.6713867000001</v>
      </c>
      <c r="H1313">
        <v>1290.6022949000001</v>
      </c>
      <c r="I1313">
        <v>1399.4020995999999</v>
      </c>
      <c r="J1313">
        <v>1379.1680908000001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917.12226799999996</v>
      </c>
      <c r="B1314" s="1">
        <f>DATE(2012,11,3) + TIME(2,56,3)</f>
        <v>41216.122256944444</v>
      </c>
      <c r="C1314">
        <v>80</v>
      </c>
      <c r="D1314">
        <v>79.600906371999997</v>
      </c>
      <c r="E1314">
        <v>50</v>
      </c>
      <c r="F1314">
        <v>49.025039673000002</v>
      </c>
      <c r="G1314">
        <v>1302.6617432</v>
      </c>
      <c r="H1314">
        <v>1290.5919189000001</v>
      </c>
      <c r="I1314">
        <v>1399.2209473</v>
      </c>
      <c r="J1314">
        <v>1379.0615233999999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917.34446700000001</v>
      </c>
      <c r="B1315" s="1">
        <f>DATE(2012,11,3) + TIME(8,16,1)</f>
        <v>41216.344456018516</v>
      </c>
      <c r="C1315">
        <v>80</v>
      </c>
      <c r="D1315">
        <v>79.570129394999995</v>
      </c>
      <c r="E1315">
        <v>50</v>
      </c>
      <c r="F1315">
        <v>49.226539612000003</v>
      </c>
      <c r="G1315">
        <v>1302.6520995999999</v>
      </c>
      <c r="H1315">
        <v>1290.5814209</v>
      </c>
      <c r="I1315">
        <v>1399.0609131000001</v>
      </c>
      <c r="J1315">
        <v>1378.9624022999999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917.57592699999998</v>
      </c>
      <c r="B1316" s="1">
        <f>DATE(2012,11,3) + TIME(13,49,20)</f>
        <v>41216.575925925928</v>
      </c>
      <c r="C1316">
        <v>80</v>
      </c>
      <c r="D1316">
        <v>79.538391113000003</v>
      </c>
      <c r="E1316">
        <v>50</v>
      </c>
      <c r="F1316">
        <v>49.389846802000001</v>
      </c>
      <c r="G1316">
        <v>1302.6420897999999</v>
      </c>
      <c r="H1316">
        <v>1290.5705565999999</v>
      </c>
      <c r="I1316">
        <v>1398.9176024999999</v>
      </c>
      <c r="J1316">
        <v>1378.8688964999999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917.819256</v>
      </c>
      <c r="B1317" s="1">
        <f>DATE(2012,11,3) + TIME(19,39,43)</f>
        <v>41216.819247685184</v>
      </c>
      <c r="C1317">
        <v>80</v>
      </c>
      <c r="D1317">
        <v>79.505409240999995</v>
      </c>
      <c r="E1317">
        <v>50</v>
      </c>
      <c r="F1317">
        <v>49.521934508999998</v>
      </c>
      <c r="G1317">
        <v>1302.6318358999999</v>
      </c>
      <c r="H1317">
        <v>1290.5593262</v>
      </c>
      <c r="I1317">
        <v>1398.7873535000001</v>
      </c>
      <c r="J1317">
        <v>1378.7796631000001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918.07743700000003</v>
      </c>
      <c r="B1318" s="1">
        <f>DATE(2012,11,4) + TIME(1,51,30)</f>
        <v>41217.077430555553</v>
      </c>
      <c r="C1318">
        <v>80</v>
      </c>
      <c r="D1318">
        <v>79.470878600999995</v>
      </c>
      <c r="E1318">
        <v>50</v>
      </c>
      <c r="F1318">
        <v>49.628292084000002</v>
      </c>
      <c r="G1318">
        <v>1302.6210937999999</v>
      </c>
      <c r="H1318">
        <v>1290.5474853999999</v>
      </c>
      <c r="I1318">
        <v>1398.6674805</v>
      </c>
      <c r="J1318">
        <v>1378.6936035000001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918.35398499999997</v>
      </c>
      <c r="B1319" s="1">
        <f>DATE(2012,11,4) + TIME(8,29,44)</f>
        <v>41217.353981481479</v>
      </c>
      <c r="C1319">
        <v>80</v>
      </c>
      <c r="D1319">
        <v>79.434440613000007</v>
      </c>
      <c r="E1319">
        <v>50</v>
      </c>
      <c r="F1319">
        <v>49.713325500000003</v>
      </c>
      <c r="G1319">
        <v>1302.6098632999999</v>
      </c>
      <c r="H1319">
        <v>1290.5350341999999</v>
      </c>
      <c r="I1319">
        <v>1398.5556641000001</v>
      </c>
      <c r="J1319">
        <v>1378.6094971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918.65335400000004</v>
      </c>
      <c r="B1320" s="1">
        <f>DATE(2012,11,4) + TIME(15,40,49)</f>
        <v>41217.653344907405</v>
      </c>
      <c r="C1320">
        <v>80</v>
      </c>
      <c r="D1320">
        <v>79.395629882999998</v>
      </c>
      <c r="E1320">
        <v>50</v>
      </c>
      <c r="F1320">
        <v>49.780662536999998</v>
      </c>
      <c r="G1320">
        <v>1302.5977783000001</v>
      </c>
      <c r="H1320">
        <v>1290.5217285000001</v>
      </c>
      <c r="I1320">
        <v>1398.4498291</v>
      </c>
      <c r="J1320">
        <v>1378.5267334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918.97475999999995</v>
      </c>
      <c r="B1321" s="1">
        <f>DATE(2012,11,4) + TIME(23,23,39)</f>
        <v>41217.974756944444</v>
      </c>
      <c r="C1321">
        <v>80</v>
      </c>
      <c r="D1321">
        <v>79.354492187999995</v>
      </c>
      <c r="E1321">
        <v>50</v>
      </c>
      <c r="F1321">
        <v>49.832569122000002</v>
      </c>
      <c r="G1321">
        <v>1302.5848389</v>
      </c>
      <c r="H1321">
        <v>1290.5073242000001</v>
      </c>
      <c r="I1321">
        <v>1398.3486327999999</v>
      </c>
      <c r="J1321">
        <v>1378.4442139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919.32295699999997</v>
      </c>
      <c r="B1322" s="1">
        <f>DATE(2012,11,5) + TIME(7,45,3)</f>
        <v>41218.322951388887</v>
      </c>
      <c r="C1322">
        <v>80</v>
      </c>
      <c r="D1322">
        <v>79.310585021999998</v>
      </c>
      <c r="E1322">
        <v>50</v>
      </c>
      <c r="F1322">
        <v>49.872070311999998</v>
      </c>
      <c r="G1322">
        <v>1302.5710449000001</v>
      </c>
      <c r="H1322">
        <v>1290.4919434000001</v>
      </c>
      <c r="I1322">
        <v>1398.2514647999999</v>
      </c>
      <c r="J1322">
        <v>1378.3624268000001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919.70420000000001</v>
      </c>
      <c r="B1323" s="1">
        <f>DATE(2012,11,5) + TIME(16,54,2)</f>
        <v>41218.704189814816</v>
      </c>
      <c r="C1323">
        <v>80</v>
      </c>
      <c r="D1323">
        <v>79.263298035000005</v>
      </c>
      <c r="E1323">
        <v>50</v>
      </c>
      <c r="F1323">
        <v>49.901672363000003</v>
      </c>
      <c r="G1323">
        <v>1302.5561522999999</v>
      </c>
      <c r="H1323">
        <v>1290.4753418</v>
      </c>
      <c r="I1323">
        <v>1398.1567382999999</v>
      </c>
      <c r="J1323">
        <v>1378.2805175999999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920.12667299999998</v>
      </c>
      <c r="B1324" s="1">
        <f>DATE(2012,11,6) + TIME(3,2,24)</f>
        <v>41219.126666666663</v>
      </c>
      <c r="C1324">
        <v>80</v>
      </c>
      <c r="D1324">
        <v>79.211898804</v>
      </c>
      <c r="E1324">
        <v>50</v>
      </c>
      <c r="F1324">
        <v>49.923446654999999</v>
      </c>
      <c r="G1324">
        <v>1302.5400391000001</v>
      </c>
      <c r="H1324">
        <v>1290.4572754000001</v>
      </c>
      <c r="I1324">
        <v>1398.0628661999999</v>
      </c>
      <c r="J1324">
        <v>1378.1975098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920.57623100000001</v>
      </c>
      <c r="B1325" s="1">
        <f>DATE(2012,11,6) + TIME(13,49,46)</f>
        <v>41219.576226851852</v>
      </c>
      <c r="C1325">
        <v>80</v>
      </c>
      <c r="D1325">
        <v>79.157356261999993</v>
      </c>
      <c r="E1325">
        <v>50</v>
      </c>
      <c r="F1325">
        <v>49.938552856000001</v>
      </c>
      <c r="G1325">
        <v>1302.5220947</v>
      </c>
      <c r="H1325">
        <v>1290.4372559000001</v>
      </c>
      <c r="I1325">
        <v>1397.96875</v>
      </c>
      <c r="J1325">
        <v>1378.112793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921.03673000000003</v>
      </c>
      <c r="B1326" s="1">
        <f>DATE(2012,11,7) + TIME(0,52,53)</f>
        <v>41220.036724537036</v>
      </c>
      <c r="C1326">
        <v>80</v>
      </c>
      <c r="D1326">
        <v>79.101013183999996</v>
      </c>
      <c r="E1326">
        <v>50</v>
      </c>
      <c r="F1326">
        <v>49.948604584000002</v>
      </c>
      <c r="G1326">
        <v>1302.5029297000001</v>
      </c>
      <c r="H1326">
        <v>1290.4160156</v>
      </c>
      <c r="I1326">
        <v>1397.8774414</v>
      </c>
      <c r="J1326">
        <v>1378.0294189000001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921.50813100000005</v>
      </c>
      <c r="B1327" s="1">
        <f>DATE(2012,11,7) + TIME(12,11,42)</f>
        <v>41220.508125</v>
      </c>
      <c r="C1327">
        <v>80</v>
      </c>
      <c r="D1327">
        <v>79.043205260999997</v>
      </c>
      <c r="E1327">
        <v>50</v>
      </c>
      <c r="F1327">
        <v>49.955272675000003</v>
      </c>
      <c r="G1327">
        <v>1302.4835204999999</v>
      </c>
      <c r="H1327">
        <v>1290.3942870999999</v>
      </c>
      <c r="I1327">
        <v>1397.7912598</v>
      </c>
      <c r="J1327">
        <v>1377.9501952999999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921.99287600000002</v>
      </c>
      <c r="B1328" s="1">
        <f>DATE(2012,11,7) + TIME(23,49,44)</f>
        <v>41220.99287037037</v>
      </c>
      <c r="C1328">
        <v>80</v>
      </c>
      <c r="D1328">
        <v>78.983955382999994</v>
      </c>
      <c r="E1328">
        <v>50</v>
      </c>
      <c r="F1328">
        <v>49.959709167</v>
      </c>
      <c r="G1328">
        <v>1302.4637451000001</v>
      </c>
      <c r="H1328">
        <v>1290.3720702999999</v>
      </c>
      <c r="I1328">
        <v>1397.7095947</v>
      </c>
      <c r="J1328">
        <v>1377.8747559000001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922.49637900000005</v>
      </c>
      <c r="B1329" s="1">
        <f>DATE(2012,11,8) + TIME(11,54,47)</f>
        <v>41221.496377314812</v>
      </c>
      <c r="C1329">
        <v>80</v>
      </c>
      <c r="D1329">
        <v>78.922966002999999</v>
      </c>
      <c r="E1329">
        <v>50</v>
      </c>
      <c r="F1329">
        <v>49.962677002</v>
      </c>
      <c r="G1329">
        <v>1302.4433594</v>
      </c>
      <c r="H1329">
        <v>1290.3492432</v>
      </c>
      <c r="I1329">
        <v>1397.6314697</v>
      </c>
      <c r="J1329">
        <v>1377.8024902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923.024362</v>
      </c>
      <c r="B1330" s="1">
        <f>DATE(2012,11,9) + TIME(0,35,4)</f>
        <v>41222.024351851855</v>
      </c>
      <c r="C1330">
        <v>80</v>
      </c>
      <c r="D1330">
        <v>78.859825134000005</v>
      </c>
      <c r="E1330">
        <v>50</v>
      </c>
      <c r="F1330">
        <v>49.964672088999997</v>
      </c>
      <c r="G1330">
        <v>1302.4223632999999</v>
      </c>
      <c r="H1330">
        <v>1290.3255615</v>
      </c>
      <c r="I1330">
        <v>1397.5555420000001</v>
      </c>
      <c r="J1330">
        <v>1377.7321777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923.58332299999995</v>
      </c>
      <c r="B1331" s="1">
        <f>DATE(2012,11,9) + TIME(13,59,59)</f>
        <v>41222.583321759259</v>
      </c>
      <c r="C1331">
        <v>80</v>
      </c>
      <c r="D1331">
        <v>78.793983459000003</v>
      </c>
      <c r="E1331">
        <v>50</v>
      </c>
      <c r="F1331">
        <v>49.966022490999997</v>
      </c>
      <c r="G1331">
        <v>1302.4003906</v>
      </c>
      <c r="H1331">
        <v>1290.3006591999999</v>
      </c>
      <c r="I1331">
        <v>1397.4810791</v>
      </c>
      <c r="J1331">
        <v>1377.6630858999999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924.18105100000002</v>
      </c>
      <c r="B1332" s="1">
        <f>DATE(2012,11,10) + TIME(4,20,42)</f>
        <v>41223.181041666663</v>
      </c>
      <c r="C1332">
        <v>80</v>
      </c>
      <c r="D1332">
        <v>78.724792480000005</v>
      </c>
      <c r="E1332">
        <v>50</v>
      </c>
      <c r="F1332">
        <v>49.966941833</v>
      </c>
      <c r="G1332">
        <v>1302.3771973</v>
      </c>
      <c r="H1332">
        <v>1290.2744141000001</v>
      </c>
      <c r="I1332">
        <v>1397.4071045000001</v>
      </c>
      <c r="J1332">
        <v>1377.5944824000001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924.82749000000001</v>
      </c>
      <c r="B1333" s="1">
        <f>DATE(2012,11,10) + TIME(19,51,35)</f>
        <v>41223.827488425923</v>
      </c>
      <c r="C1333">
        <v>80</v>
      </c>
      <c r="D1333">
        <v>78.651390075999998</v>
      </c>
      <c r="E1333">
        <v>50</v>
      </c>
      <c r="F1333">
        <v>49.967575072999999</v>
      </c>
      <c r="G1333">
        <v>1302.3524170000001</v>
      </c>
      <c r="H1333">
        <v>1290.2462158000001</v>
      </c>
      <c r="I1333">
        <v>1397.3328856999999</v>
      </c>
      <c r="J1333">
        <v>1377.5257568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925.52257599999996</v>
      </c>
      <c r="B1334" s="1">
        <f>DATE(2012,11,11) + TIME(12,32,30)</f>
        <v>41224.522569444445</v>
      </c>
      <c r="C1334">
        <v>80</v>
      </c>
      <c r="D1334">
        <v>78.573501586999996</v>
      </c>
      <c r="E1334">
        <v>50</v>
      </c>
      <c r="F1334">
        <v>49.968006133999999</v>
      </c>
      <c r="G1334">
        <v>1302.3255615</v>
      </c>
      <c r="H1334">
        <v>1290.2159423999999</v>
      </c>
      <c r="I1334">
        <v>1397.2574463000001</v>
      </c>
      <c r="J1334">
        <v>1377.4559326000001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926.23161300000004</v>
      </c>
      <c r="B1335" s="1">
        <f>DATE(2012,11,12) + TIME(5,33,31)</f>
        <v>41225.231608796297</v>
      </c>
      <c r="C1335">
        <v>80</v>
      </c>
      <c r="D1335">
        <v>78.493103027000004</v>
      </c>
      <c r="E1335">
        <v>50</v>
      </c>
      <c r="F1335">
        <v>49.968296051000003</v>
      </c>
      <c r="G1335">
        <v>1302.2966309000001</v>
      </c>
      <c r="H1335">
        <v>1290.1832274999999</v>
      </c>
      <c r="I1335">
        <v>1397.1813964999999</v>
      </c>
      <c r="J1335">
        <v>1377.3856201000001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926.96464000000003</v>
      </c>
      <c r="B1336" s="1">
        <f>DATE(2012,11,12) + TIME(23,9,4)</f>
        <v>41225.964629629627</v>
      </c>
      <c r="C1336">
        <v>80</v>
      </c>
      <c r="D1336">
        <v>78.410331725999995</v>
      </c>
      <c r="E1336">
        <v>50</v>
      </c>
      <c r="F1336">
        <v>49.968494415000002</v>
      </c>
      <c r="G1336">
        <v>1302.2670897999999</v>
      </c>
      <c r="H1336">
        <v>1290.1497803</v>
      </c>
      <c r="I1336">
        <v>1397.1085204999999</v>
      </c>
      <c r="J1336">
        <v>1377.3183594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927.73011099999997</v>
      </c>
      <c r="B1337" s="1">
        <f>DATE(2012,11,13) + TIME(17,31,21)</f>
        <v>41226.730104166665</v>
      </c>
      <c r="C1337">
        <v>80</v>
      </c>
      <c r="D1337">
        <v>78.324897766000007</v>
      </c>
      <c r="E1337">
        <v>50</v>
      </c>
      <c r="F1337">
        <v>49.968639373999999</v>
      </c>
      <c r="G1337">
        <v>1302.2365723</v>
      </c>
      <c r="H1337">
        <v>1290.1151123</v>
      </c>
      <c r="I1337">
        <v>1397.0377197</v>
      </c>
      <c r="J1337">
        <v>1377.2529297000001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928.51291100000003</v>
      </c>
      <c r="B1338" s="1">
        <f>DATE(2012,11,14) + TIME(12,18,35)</f>
        <v>41227.51290509259</v>
      </c>
      <c r="C1338">
        <v>80</v>
      </c>
      <c r="D1338">
        <v>78.237617493000002</v>
      </c>
      <c r="E1338">
        <v>50</v>
      </c>
      <c r="F1338">
        <v>49.968738555999998</v>
      </c>
      <c r="G1338">
        <v>1302.2045897999999</v>
      </c>
      <c r="H1338">
        <v>1290.0788574000001</v>
      </c>
      <c r="I1338">
        <v>1396.9678954999999</v>
      </c>
      <c r="J1338">
        <v>1377.1885986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929.32190200000002</v>
      </c>
      <c r="B1339" s="1">
        <f>DATE(2012,11,15) + TIME(7,43,32)</f>
        <v>41228.321898148148</v>
      </c>
      <c r="C1339">
        <v>80</v>
      </c>
      <c r="D1339">
        <v>78.148361206000004</v>
      </c>
      <c r="E1339">
        <v>50</v>
      </c>
      <c r="F1339">
        <v>49.968818665000001</v>
      </c>
      <c r="G1339">
        <v>1302.171875</v>
      </c>
      <c r="H1339">
        <v>1290.041626</v>
      </c>
      <c r="I1339">
        <v>1396.9005127</v>
      </c>
      <c r="J1339">
        <v>1377.1265868999999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930.16621999999995</v>
      </c>
      <c r="B1340" s="1">
        <f>DATE(2012,11,16) + TIME(3,59,21)</f>
        <v>41229.166215277779</v>
      </c>
      <c r="C1340">
        <v>80</v>
      </c>
      <c r="D1340">
        <v>78.056625366000006</v>
      </c>
      <c r="E1340">
        <v>50</v>
      </c>
      <c r="F1340">
        <v>49.968875885000003</v>
      </c>
      <c r="G1340">
        <v>1302.1380615</v>
      </c>
      <c r="H1340">
        <v>1290.0029297000001</v>
      </c>
      <c r="I1340">
        <v>1396.8347168</v>
      </c>
      <c r="J1340">
        <v>1377.065918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931.05621900000006</v>
      </c>
      <c r="B1341" s="1">
        <f>DATE(2012,11,17) + TIME(1,20,57)</f>
        <v>41230.056215277778</v>
      </c>
      <c r="C1341">
        <v>80</v>
      </c>
      <c r="D1341">
        <v>77.961654663000004</v>
      </c>
      <c r="E1341">
        <v>50</v>
      </c>
      <c r="F1341">
        <v>49.968925476000003</v>
      </c>
      <c r="G1341">
        <v>1302.1025391000001</v>
      </c>
      <c r="H1341">
        <v>1289.9622803</v>
      </c>
      <c r="I1341">
        <v>1396.7695312000001</v>
      </c>
      <c r="J1341">
        <v>1377.0061035000001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932.00414699999999</v>
      </c>
      <c r="B1342" s="1">
        <f>DATE(2012,11,18) + TIME(0,5,58)</f>
        <v>41231.004143518519</v>
      </c>
      <c r="C1342">
        <v>80</v>
      </c>
      <c r="D1342">
        <v>77.862510681000003</v>
      </c>
      <c r="E1342">
        <v>50</v>
      </c>
      <c r="F1342">
        <v>49.968967438</v>
      </c>
      <c r="G1342">
        <v>1302.0650635</v>
      </c>
      <c r="H1342">
        <v>1289.9194336</v>
      </c>
      <c r="I1342">
        <v>1396.7044678</v>
      </c>
      <c r="J1342">
        <v>1376.9462891000001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933.00266199999999</v>
      </c>
      <c r="B1343" s="1">
        <f>DATE(2012,11,19) + TIME(0,3,49)</f>
        <v>41232.002650462964</v>
      </c>
      <c r="C1343">
        <v>80</v>
      </c>
      <c r="D1343">
        <v>77.759094238000003</v>
      </c>
      <c r="E1343">
        <v>50</v>
      </c>
      <c r="F1343">
        <v>49.969005584999998</v>
      </c>
      <c r="G1343">
        <v>1302.0249022999999</v>
      </c>
      <c r="H1343">
        <v>1289.8734131000001</v>
      </c>
      <c r="I1343">
        <v>1396.6387939000001</v>
      </c>
      <c r="J1343">
        <v>1376.8858643000001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934.04556200000002</v>
      </c>
      <c r="B1344" s="1">
        <f>DATE(2012,11,20) + TIME(1,5,36)</f>
        <v>41233.045555555553</v>
      </c>
      <c r="C1344">
        <v>80</v>
      </c>
      <c r="D1344">
        <v>77.651741028000004</v>
      </c>
      <c r="E1344">
        <v>50</v>
      </c>
      <c r="F1344">
        <v>49.969036101999997</v>
      </c>
      <c r="G1344">
        <v>1301.9824219</v>
      </c>
      <c r="H1344">
        <v>1289.824707</v>
      </c>
      <c r="I1344">
        <v>1396.5731201000001</v>
      </c>
      <c r="J1344">
        <v>1376.8254394999999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935.12458900000001</v>
      </c>
      <c r="B1345" s="1">
        <f>DATE(2012,11,21) + TIME(2,59,24)</f>
        <v>41234.124583333331</v>
      </c>
      <c r="C1345">
        <v>80</v>
      </c>
      <c r="D1345">
        <v>77.541114807</v>
      </c>
      <c r="E1345">
        <v>50</v>
      </c>
      <c r="F1345">
        <v>49.969070434999999</v>
      </c>
      <c r="G1345">
        <v>1301.9376221</v>
      </c>
      <c r="H1345">
        <v>1289.7733154</v>
      </c>
      <c r="I1345">
        <v>1396.5080565999999</v>
      </c>
      <c r="J1345">
        <v>1376.765625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936.22128999999995</v>
      </c>
      <c r="B1346" s="1">
        <f>DATE(2012,11,22) + TIME(5,18,39)</f>
        <v>41235.221284722225</v>
      </c>
      <c r="C1346">
        <v>80</v>
      </c>
      <c r="D1346">
        <v>77.428497313999998</v>
      </c>
      <c r="E1346">
        <v>50</v>
      </c>
      <c r="F1346">
        <v>49.969097136999999</v>
      </c>
      <c r="G1346">
        <v>1301.8908690999999</v>
      </c>
      <c r="H1346">
        <v>1289.7197266000001</v>
      </c>
      <c r="I1346">
        <v>1396.4442139</v>
      </c>
      <c r="J1346">
        <v>1376.7069091999999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937.34806400000002</v>
      </c>
      <c r="B1347" s="1">
        <f>DATE(2012,11,23) + TIME(8,21,12)</f>
        <v>41236.348055555558</v>
      </c>
      <c r="C1347">
        <v>80</v>
      </c>
      <c r="D1347">
        <v>77.314170837000006</v>
      </c>
      <c r="E1347">
        <v>50</v>
      </c>
      <c r="F1347">
        <v>49.969127655000001</v>
      </c>
      <c r="G1347">
        <v>1301.8431396000001</v>
      </c>
      <c r="H1347">
        <v>1289.6646728999999</v>
      </c>
      <c r="I1347">
        <v>1396.3824463000001</v>
      </c>
      <c r="J1347">
        <v>1376.6501464999999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938.51766899999996</v>
      </c>
      <c r="B1348" s="1">
        <f>DATE(2012,11,24) + TIME(12,25,26)</f>
        <v>41237.51766203704</v>
      </c>
      <c r="C1348">
        <v>80</v>
      </c>
      <c r="D1348">
        <v>77.197593689000001</v>
      </c>
      <c r="E1348">
        <v>50</v>
      </c>
      <c r="F1348">
        <v>49.969158172999997</v>
      </c>
      <c r="G1348">
        <v>1301.7935791</v>
      </c>
      <c r="H1348">
        <v>1289.6074219</v>
      </c>
      <c r="I1348">
        <v>1396.3220214999999</v>
      </c>
      <c r="J1348">
        <v>1376.5946045000001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939.74430700000005</v>
      </c>
      <c r="B1349" s="1">
        <f>DATE(2012,11,25) + TIME(17,51,48)</f>
        <v>41238.744305555556</v>
      </c>
      <c r="C1349">
        <v>80</v>
      </c>
      <c r="D1349">
        <v>77.077827454000001</v>
      </c>
      <c r="E1349">
        <v>50</v>
      </c>
      <c r="F1349">
        <v>49.969188690000003</v>
      </c>
      <c r="G1349">
        <v>1301.7416992000001</v>
      </c>
      <c r="H1349">
        <v>1289.5473632999999</v>
      </c>
      <c r="I1349">
        <v>1396.2623291</v>
      </c>
      <c r="J1349">
        <v>1376.5395507999999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941.04051300000003</v>
      </c>
      <c r="B1350" s="1">
        <f>DATE(2012,11,27) + TIME(0,58,20)</f>
        <v>41240.040509259263</v>
      </c>
      <c r="C1350">
        <v>80</v>
      </c>
      <c r="D1350">
        <v>76.953842163000004</v>
      </c>
      <c r="E1350">
        <v>50</v>
      </c>
      <c r="F1350">
        <v>49.969219207999998</v>
      </c>
      <c r="G1350">
        <v>1301.6866454999999</v>
      </c>
      <c r="H1350">
        <v>1289.4836425999999</v>
      </c>
      <c r="I1350">
        <v>1396.2025146000001</v>
      </c>
      <c r="J1350">
        <v>1376.4844971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942.38352099999997</v>
      </c>
      <c r="B1351" s="1">
        <f>DATE(2012,11,28) + TIME(9,12,16)</f>
        <v>41241.383518518516</v>
      </c>
      <c r="C1351">
        <v>80</v>
      </c>
      <c r="D1351">
        <v>76.825912475999999</v>
      </c>
      <c r="E1351">
        <v>50</v>
      </c>
      <c r="F1351">
        <v>49.969253539999997</v>
      </c>
      <c r="G1351">
        <v>1301.6278076000001</v>
      </c>
      <c r="H1351">
        <v>1289.4154053</v>
      </c>
      <c r="I1351">
        <v>1396.1422118999999</v>
      </c>
      <c r="J1351">
        <v>1376.4288329999999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943.79342799999995</v>
      </c>
      <c r="B1352" s="1">
        <f>DATE(2012,11,29) + TIME(19,2,32)</f>
        <v>41242.793425925927</v>
      </c>
      <c r="C1352">
        <v>80</v>
      </c>
      <c r="D1352">
        <v>76.693954468000001</v>
      </c>
      <c r="E1352">
        <v>50</v>
      </c>
      <c r="F1352">
        <v>49.969287872000002</v>
      </c>
      <c r="G1352">
        <v>1301.5660399999999</v>
      </c>
      <c r="H1352">
        <v>1289.3435059000001</v>
      </c>
      <c r="I1352">
        <v>1396.0825195</v>
      </c>
      <c r="J1352">
        <v>1376.3736572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945</v>
      </c>
      <c r="B1353" s="1">
        <f>DATE(2012,12,1) + TIME(0,0,0)</f>
        <v>41244</v>
      </c>
      <c r="C1353">
        <v>80</v>
      </c>
      <c r="D1353">
        <v>76.568122864000003</v>
      </c>
      <c r="E1353">
        <v>50</v>
      </c>
      <c r="F1353">
        <v>49.969318389999998</v>
      </c>
      <c r="G1353">
        <v>1301.4998779</v>
      </c>
      <c r="H1353">
        <v>1289.2673339999999</v>
      </c>
      <c r="I1353">
        <v>1396.0225829999999</v>
      </c>
      <c r="J1353">
        <v>1376.3182373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946.45450200000005</v>
      </c>
      <c r="B1354" s="1">
        <f>DATE(2012,12,2) + TIME(10,54,29)</f>
        <v>41245.454502314817</v>
      </c>
      <c r="C1354">
        <v>80</v>
      </c>
      <c r="D1354">
        <v>76.439727782999995</v>
      </c>
      <c r="E1354">
        <v>50</v>
      </c>
      <c r="F1354">
        <v>49.969352721999996</v>
      </c>
      <c r="G1354">
        <v>1301.442749</v>
      </c>
      <c r="H1354">
        <v>1289.1992187999999</v>
      </c>
      <c r="I1354">
        <v>1395.9737548999999</v>
      </c>
      <c r="J1354">
        <v>1376.2729492000001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947.96255299999996</v>
      </c>
      <c r="B1355" s="1">
        <f>DATE(2012,12,3) + TIME(23,6,4)</f>
        <v>41246.962546296294</v>
      </c>
      <c r="C1355">
        <v>80</v>
      </c>
      <c r="D1355">
        <v>76.304649353000002</v>
      </c>
      <c r="E1355">
        <v>50</v>
      </c>
      <c r="F1355">
        <v>49.969390869000001</v>
      </c>
      <c r="G1355">
        <v>1301.3730469</v>
      </c>
      <c r="H1355">
        <v>1289.1176757999999</v>
      </c>
      <c r="I1355">
        <v>1395.9169922000001</v>
      </c>
      <c r="J1355">
        <v>1376.2202147999999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949.47060299999998</v>
      </c>
      <c r="B1356" s="1">
        <f>DATE(2012,12,5) + TIME(11,17,40)</f>
        <v>41248.470601851855</v>
      </c>
      <c r="C1356">
        <v>80</v>
      </c>
      <c r="D1356">
        <v>76.166854857999994</v>
      </c>
      <c r="E1356">
        <v>50</v>
      </c>
      <c r="F1356">
        <v>49.969429015999999</v>
      </c>
      <c r="G1356">
        <v>1301.2993164</v>
      </c>
      <c r="H1356">
        <v>1289.0313721</v>
      </c>
      <c r="I1356">
        <v>1395.8605957</v>
      </c>
      <c r="J1356">
        <v>1376.1677245999999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951.10046199999999</v>
      </c>
      <c r="B1357" s="1">
        <f>DATE(2012,12,7) + TIME(2,24,39)</f>
        <v>41250.100451388891</v>
      </c>
      <c r="C1357">
        <v>80</v>
      </c>
      <c r="D1357">
        <v>76.025283813000001</v>
      </c>
      <c r="E1357">
        <v>50</v>
      </c>
      <c r="F1357">
        <v>49.969470977999997</v>
      </c>
      <c r="G1357">
        <v>1301.2242432</v>
      </c>
      <c r="H1357">
        <v>1288.9425048999999</v>
      </c>
      <c r="I1357">
        <v>1395.8065185999999</v>
      </c>
      <c r="J1357">
        <v>1376.1173096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952.81926999999996</v>
      </c>
      <c r="B1358" s="1">
        <f>DATE(2012,12,8) + TIME(19,39,44)</f>
        <v>41251.81925925926</v>
      </c>
      <c r="C1358">
        <v>80</v>
      </c>
      <c r="D1358">
        <v>75.877639771000005</v>
      </c>
      <c r="E1358">
        <v>50</v>
      </c>
      <c r="F1358">
        <v>49.969516753999997</v>
      </c>
      <c r="G1358">
        <v>1301.1417236</v>
      </c>
      <c r="H1358">
        <v>1288.8449707</v>
      </c>
      <c r="I1358">
        <v>1395.7504882999999</v>
      </c>
      <c r="J1358">
        <v>1376.0648193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954.62449500000002</v>
      </c>
      <c r="B1359" s="1">
        <f>DATE(2012,12,10) + TIME(14,59,16)</f>
        <v>41253.624490740738</v>
      </c>
      <c r="C1359">
        <v>80</v>
      </c>
      <c r="D1359">
        <v>75.724136353000006</v>
      </c>
      <c r="E1359">
        <v>50</v>
      </c>
      <c r="F1359">
        <v>49.969562531000001</v>
      </c>
      <c r="G1359">
        <v>1301.0529785000001</v>
      </c>
      <c r="H1359">
        <v>1288.739624</v>
      </c>
      <c r="I1359">
        <v>1395.6937256000001</v>
      </c>
      <c r="J1359">
        <v>1376.0115966999999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956.458302</v>
      </c>
      <c r="B1360" s="1">
        <f>DATE(2012,12,12) + TIME(10,59,57)</f>
        <v>41255.458298611113</v>
      </c>
      <c r="C1360">
        <v>80</v>
      </c>
      <c r="D1360">
        <v>75.566658020000006</v>
      </c>
      <c r="E1360">
        <v>50</v>
      </c>
      <c r="F1360">
        <v>49.969612122000001</v>
      </c>
      <c r="G1360">
        <v>1300.9575195</v>
      </c>
      <c r="H1360">
        <v>1288.6262207</v>
      </c>
      <c r="I1360">
        <v>1395.6364745999999</v>
      </c>
      <c r="J1360">
        <v>1375.9577637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958.328531</v>
      </c>
      <c r="B1361" s="1">
        <f>DATE(2012,12,14) + TIME(7,53,5)</f>
        <v>41257.328530092593</v>
      </c>
      <c r="C1361">
        <v>80</v>
      </c>
      <c r="D1361">
        <v>75.407440186000002</v>
      </c>
      <c r="E1361">
        <v>50</v>
      </c>
      <c r="F1361">
        <v>49.969657898000001</v>
      </c>
      <c r="G1361">
        <v>1300.8582764</v>
      </c>
      <c r="H1361">
        <v>1288.5075684000001</v>
      </c>
      <c r="I1361">
        <v>1395.5808105000001</v>
      </c>
      <c r="J1361">
        <v>1375.9050293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960.24884699999996</v>
      </c>
      <c r="B1362" s="1">
        <f>DATE(2012,12,16) + TIME(5,58,20)</f>
        <v>41259.248842592591</v>
      </c>
      <c r="C1362">
        <v>80</v>
      </c>
      <c r="D1362">
        <v>75.246620178000001</v>
      </c>
      <c r="E1362">
        <v>50</v>
      </c>
      <c r="F1362">
        <v>49.969707489000001</v>
      </c>
      <c r="G1362">
        <v>1300.7546387</v>
      </c>
      <c r="H1362">
        <v>1288.3830565999999</v>
      </c>
      <c r="I1362">
        <v>1395.5261230000001</v>
      </c>
      <c r="J1362">
        <v>1375.8532714999999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962.23086999999998</v>
      </c>
      <c r="B1363" s="1">
        <f>DATE(2012,12,18) + TIME(5,32,27)</f>
        <v>41261.230868055558</v>
      </c>
      <c r="C1363">
        <v>80</v>
      </c>
      <c r="D1363">
        <v>75.083557128999999</v>
      </c>
      <c r="E1363">
        <v>50</v>
      </c>
      <c r="F1363">
        <v>49.969760895</v>
      </c>
      <c r="G1363">
        <v>1300.6455077999999</v>
      </c>
      <c r="H1363">
        <v>1288.2515868999999</v>
      </c>
      <c r="I1363">
        <v>1395.4722899999999</v>
      </c>
      <c r="J1363">
        <v>1375.8020019999999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964.21289300000001</v>
      </c>
      <c r="B1364" s="1">
        <f>DATE(2012,12,20) + TIME(5,6,33)</f>
        <v>41263.212881944448</v>
      </c>
      <c r="C1364">
        <v>80</v>
      </c>
      <c r="D1364">
        <v>74.919258118000002</v>
      </c>
      <c r="E1364">
        <v>50</v>
      </c>
      <c r="F1364">
        <v>49.969814301</v>
      </c>
      <c r="G1364">
        <v>1300.5301514</v>
      </c>
      <c r="H1364">
        <v>1288.1120605000001</v>
      </c>
      <c r="I1364">
        <v>1395.4187012</v>
      </c>
      <c r="J1364">
        <v>1375.7508545000001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966.39247</v>
      </c>
      <c r="B1365" s="1">
        <f>DATE(2012,12,22) + TIME(9,25,9)</f>
        <v>41265.392465277779</v>
      </c>
      <c r="C1365">
        <v>80</v>
      </c>
      <c r="D1365">
        <v>74.751152039000004</v>
      </c>
      <c r="E1365">
        <v>50</v>
      </c>
      <c r="F1365">
        <v>49.969871521000002</v>
      </c>
      <c r="G1365">
        <v>1300.411499</v>
      </c>
      <c r="H1365">
        <v>1287.9672852000001</v>
      </c>
      <c r="I1365">
        <v>1395.3673096</v>
      </c>
      <c r="J1365">
        <v>1375.7012939000001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968.59258599999998</v>
      </c>
      <c r="B1366" s="1">
        <f>DATE(2012,12,24) + TIME(14,13,19)</f>
        <v>41267.592581018522</v>
      </c>
      <c r="C1366">
        <v>80</v>
      </c>
      <c r="D1366">
        <v>74.576156616000006</v>
      </c>
      <c r="E1366">
        <v>50</v>
      </c>
      <c r="F1366">
        <v>49.969928740999997</v>
      </c>
      <c r="G1366">
        <v>1300.2783202999999</v>
      </c>
      <c r="H1366">
        <v>1287.8050536999999</v>
      </c>
      <c r="I1366">
        <v>1395.3126221</v>
      </c>
      <c r="J1366">
        <v>1375.6486815999999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970.79270199999996</v>
      </c>
      <c r="B1367" s="1">
        <f>DATE(2012,12,26) + TIME(19,1,29)</f>
        <v>41269.792696759258</v>
      </c>
      <c r="C1367">
        <v>80</v>
      </c>
      <c r="D1367">
        <v>74.399848938000005</v>
      </c>
      <c r="E1367">
        <v>50</v>
      </c>
      <c r="F1367">
        <v>49.969985962000003</v>
      </c>
      <c r="G1367">
        <v>1300.1395264</v>
      </c>
      <c r="H1367">
        <v>1287.6348877</v>
      </c>
      <c r="I1367">
        <v>1395.2593993999999</v>
      </c>
      <c r="J1367">
        <v>1375.597168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973.06337199999996</v>
      </c>
      <c r="B1368" s="1">
        <f>DATE(2012,12,29) + TIME(1,31,15)</f>
        <v>41272.063368055555</v>
      </c>
      <c r="C1368">
        <v>80</v>
      </c>
      <c r="D1368">
        <v>74.222831725999995</v>
      </c>
      <c r="E1368">
        <v>50</v>
      </c>
      <c r="F1368">
        <v>49.970046996999997</v>
      </c>
      <c r="G1368">
        <v>1299.996582</v>
      </c>
      <c r="H1368">
        <v>1287.458374</v>
      </c>
      <c r="I1368">
        <v>1395.2082519999999</v>
      </c>
      <c r="J1368">
        <v>1375.5471190999999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975.40486999999996</v>
      </c>
      <c r="B1369" s="1">
        <f>DATE(2012,12,31) + TIME(9,43,0)</f>
        <v>41274.404861111114</v>
      </c>
      <c r="C1369">
        <v>80</v>
      </c>
      <c r="D1369">
        <v>74.042793274000005</v>
      </c>
      <c r="E1369">
        <v>50</v>
      </c>
      <c r="F1369">
        <v>49.970108031999999</v>
      </c>
      <c r="G1369">
        <v>1299.8450928</v>
      </c>
      <c r="H1369">
        <v>1287.2706298999999</v>
      </c>
      <c r="I1369">
        <v>1395.1572266000001</v>
      </c>
      <c r="J1369">
        <v>1375.4971923999999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976</v>
      </c>
      <c r="B1370" s="1">
        <f>DATE(2013,1,1) + TIME(0,0,0)</f>
        <v>41275</v>
      </c>
      <c r="C1370">
        <v>80</v>
      </c>
      <c r="D1370">
        <v>73.941780089999995</v>
      </c>
      <c r="E1370">
        <v>50</v>
      </c>
      <c r="F1370">
        <v>49.970119476000001</v>
      </c>
      <c r="G1370">
        <v>1299.6885986</v>
      </c>
      <c r="H1370">
        <v>1287.0874022999999</v>
      </c>
      <c r="I1370">
        <v>1395.1055908000001</v>
      </c>
      <c r="J1370">
        <v>1375.4468993999999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978.341498</v>
      </c>
      <c r="B1371" s="1">
        <f>DATE(2013,1,3) + TIME(8,11,45)</f>
        <v>41277.341493055559</v>
      </c>
      <c r="C1371">
        <v>80</v>
      </c>
      <c r="D1371">
        <v>73.799049377000003</v>
      </c>
      <c r="E1371">
        <v>50</v>
      </c>
      <c r="F1371">
        <v>49.970188141000001</v>
      </c>
      <c r="G1371">
        <v>1299.6367187999999</v>
      </c>
      <c r="H1371">
        <v>1287.0080565999999</v>
      </c>
      <c r="I1371">
        <v>1395.09375</v>
      </c>
      <c r="J1371">
        <v>1375.4342041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980.682996</v>
      </c>
      <c r="B1372" s="1">
        <f>DATE(2013,1,5) + TIME(16,23,30)</f>
        <v>41279.682986111111</v>
      </c>
      <c r="C1372">
        <v>80</v>
      </c>
      <c r="D1372">
        <v>73.627937317000004</v>
      </c>
      <c r="E1372">
        <v>50</v>
      </c>
      <c r="F1372">
        <v>49.970249176000003</v>
      </c>
      <c r="G1372">
        <v>1299.4742432</v>
      </c>
      <c r="H1372">
        <v>1286.8067627</v>
      </c>
      <c r="I1372">
        <v>1395.0450439000001</v>
      </c>
      <c r="J1372">
        <v>1375.3861084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983.024494</v>
      </c>
      <c r="B1373" s="1">
        <f>DATE(2013,1,8) + TIME(0,35,16)</f>
        <v>41282.02449074074</v>
      </c>
      <c r="C1373">
        <v>80</v>
      </c>
      <c r="D1373">
        <v>73.449707031000003</v>
      </c>
      <c r="E1373">
        <v>50</v>
      </c>
      <c r="F1373">
        <v>49.970310210999997</v>
      </c>
      <c r="G1373">
        <v>1299.3035889</v>
      </c>
      <c r="H1373">
        <v>1286.5925293</v>
      </c>
      <c r="I1373">
        <v>1394.9978027</v>
      </c>
      <c r="J1373">
        <v>1375.3389893000001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985.58500200000003</v>
      </c>
      <c r="B1374" s="1">
        <f>DATE(2013,1,10) + TIME(14,2,24)</f>
        <v>41284.584999999999</v>
      </c>
      <c r="C1374">
        <v>80</v>
      </c>
      <c r="D1374">
        <v>73.265602111999996</v>
      </c>
      <c r="E1374">
        <v>50</v>
      </c>
      <c r="F1374">
        <v>49.970378875999998</v>
      </c>
      <c r="G1374">
        <v>1299.1271973</v>
      </c>
      <c r="H1374">
        <v>1286.3687743999999</v>
      </c>
      <c r="I1374">
        <v>1394.9521483999999</v>
      </c>
      <c r="J1374">
        <v>1375.2932129000001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988.17600900000002</v>
      </c>
      <c r="B1375" s="1">
        <f>DATE(2013,1,13) + TIME(4,13,27)</f>
        <v>41287.176006944443</v>
      </c>
      <c r="C1375">
        <v>80</v>
      </c>
      <c r="D1375">
        <v>73.071464539000004</v>
      </c>
      <c r="E1375">
        <v>50</v>
      </c>
      <c r="F1375">
        <v>49.970447540000002</v>
      </c>
      <c r="G1375">
        <v>1298.9306641000001</v>
      </c>
      <c r="H1375">
        <v>1286.1195068</v>
      </c>
      <c r="I1375">
        <v>1394.9035644999999</v>
      </c>
      <c r="J1375">
        <v>1375.2442627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990.76701600000001</v>
      </c>
      <c r="B1376" s="1">
        <f>DATE(2013,1,15) + TIME(18,24,30)</f>
        <v>41289.767013888886</v>
      </c>
      <c r="C1376">
        <v>80</v>
      </c>
      <c r="D1376">
        <v>72.873565674000005</v>
      </c>
      <c r="E1376">
        <v>50</v>
      </c>
      <c r="F1376">
        <v>49.970516205000003</v>
      </c>
      <c r="G1376">
        <v>1298.7249756000001</v>
      </c>
      <c r="H1376">
        <v>1285.8571777</v>
      </c>
      <c r="I1376">
        <v>1394.8558350000001</v>
      </c>
      <c r="J1376">
        <v>1375.1959228999999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993.358023</v>
      </c>
      <c r="B1377" s="1">
        <f>DATE(2013,1,18) + TIME(8,35,33)</f>
        <v>41292.358020833337</v>
      </c>
      <c r="C1377">
        <v>80</v>
      </c>
      <c r="D1377">
        <v>72.674369811999995</v>
      </c>
      <c r="E1377">
        <v>50</v>
      </c>
      <c r="F1377">
        <v>49.970584869</v>
      </c>
      <c r="G1377">
        <v>1298.5130615</v>
      </c>
      <c r="H1377">
        <v>1285.5852050999999</v>
      </c>
      <c r="I1377">
        <v>1394.8096923999999</v>
      </c>
      <c r="J1377">
        <v>1375.1486815999999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995.94902999999999</v>
      </c>
      <c r="B1378" s="1">
        <f>DATE(2013,1,20) + TIME(22,46,36)</f>
        <v>41294.94902777778</v>
      </c>
      <c r="C1378">
        <v>80</v>
      </c>
      <c r="D1378">
        <v>72.474205017000003</v>
      </c>
      <c r="E1378">
        <v>50</v>
      </c>
      <c r="F1378">
        <v>49.970653534</v>
      </c>
      <c r="G1378">
        <v>1298.2952881000001</v>
      </c>
      <c r="H1378">
        <v>1285.3041992000001</v>
      </c>
      <c r="I1378">
        <v>1394.7647704999999</v>
      </c>
      <c r="J1378">
        <v>1375.1025391000001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998.67093599999998</v>
      </c>
      <c r="B1379" s="1">
        <f>DATE(2013,1,23) + TIME(16,6,8)</f>
        <v>41297.670925925922</v>
      </c>
      <c r="C1379">
        <v>80</v>
      </c>
      <c r="D1379">
        <v>72.270355225000003</v>
      </c>
      <c r="E1379">
        <v>50</v>
      </c>
      <c r="F1379">
        <v>49.970726012999997</v>
      </c>
      <c r="G1379">
        <v>1298.0715332</v>
      </c>
      <c r="H1379">
        <v>1285.0137939000001</v>
      </c>
      <c r="I1379">
        <v>1394.7211914</v>
      </c>
      <c r="J1379">
        <v>1375.0574951000001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1001.392841</v>
      </c>
      <c r="B1380" s="1">
        <f>DATE(2013,1,26) + TIME(9,25,41)</f>
        <v>41300.392835648148</v>
      </c>
      <c r="C1380">
        <v>80</v>
      </c>
      <c r="D1380">
        <v>72.059074401999993</v>
      </c>
      <c r="E1380">
        <v>50</v>
      </c>
      <c r="F1380">
        <v>49.970794677999997</v>
      </c>
      <c r="G1380">
        <v>1297.8319091999999</v>
      </c>
      <c r="H1380">
        <v>1284.7022704999999</v>
      </c>
      <c r="I1380">
        <v>1394.6763916</v>
      </c>
      <c r="J1380">
        <v>1375.0111084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1004.114747</v>
      </c>
      <c r="B1381" s="1">
        <f>DATE(2013,1,29) + TIME(2,45,14)</f>
        <v>41303.114745370367</v>
      </c>
      <c r="C1381">
        <v>80</v>
      </c>
      <c r="D1381">
        <v>71.844200134000005</v>
      </c>
      <c r="E1381">
        <v>50</v>
      </c>
      <c r="F1381">
        <v>49.970867157000001</v>
      </c>
      <c r="G1381">
        <v>1297.5852050999999</v>
      </c>
      <c r="H1381">
        <v>1284.3797606999999</v>
      </c>
      <c r="I1381">
        <v>1394.6329346</v>
      </c>
      <c r="J1381">
        <v>1374.9658202999999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1005.557373</v>
      </c>
      <c r="B1382" s="1">
        <f>DATE(2013,1,30) + TIME(13,22,37)</f>
        <v>41304.557372685187</v>
      </c>
      <c r="C1382">
        <v>80</v>
      </c>
      <c r="D1382">
        <v>71.664794921999999</v>
      </c>
      <c r="E1382">
        <v>50</v>
      </c>
      <c r="F1382">
        <v>49.970905303999999</v>
      </c>
      <c r="G1382">
        <v>1297.3366699000001</v>
      </c>
      <c r="H1382">
        <v>1284.0604248</v>
      </c>
      <c r="I1382">
        <v>1394.5899658000001</v>
      </c>
      <c r="J1382">
        <v>1374.9210204999999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1007</v>
      </c>
      <c r="B1383" s="1">
        <f>DATE(2013,2,1) + TIME(0,0,0)</f>
        <v>41306</v>
      </c>
      <c r="C1383">
        <v>80</v>
      </c>
      <c r="D1383">
        <v>71.523719787999994</v>
      </c>
      <c r="E1383">
        <v>50</v>
      </c>
      <c r="F1383">
        <v>49.970943450999997</v>
      </c>
      <c r="G1383">
        <v>1297.1867675999999</v>
      </c>
      <c r="H1383">
        <v>1283.8571777</v>
      </c>
      <c r="I1383">
        <v>1394.5679932</v>
      </c>
      <c r="J1383">
        <v>1374.8970947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1009.102424</v>
      </c>
      <c r="B1384" s="1">
        <f>DATE(2013,2,3) + TIME(2,27,29)</f>
        <v>41308.102418981478</v>
      </c>
      <c r="C1384">
        <v>80</v>
      </c>
      <c r="D1384">
        <v>71.379379271999994</v>
      </c>
      <c r="E1384">
        <v>50</v>
      </c>
      <c r="F1384">
        <v>49.970996857000003</v>
      </c>
      <c r="G1384">
        <v>1297.0415039</v>
      </c>
      <c r="H1384">
        <v>1283.6595459</v>
      </c>
      <c r="I1384">
        <v>1394.5465088000001</v>
      </c>
      <c r="J1384">
        <v>1374.8741454999999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1011.904115</v>
      </c>
      <c r="B1385" s="1">
        <f>DATE(2013,2,5) + TIME(21,41,55)</f>
        <v>41310.904108796298</v>
      </c>
      <c r="C1385">
        <v>80</v>
      </c>
      <c r="D1385">
        <v>71.200256347999996</v>
      </c>
      <c r="E1385">
        <v>50</v>
      </c>
      <c r="F1385">
        <v>49.971069335999999</v>
      </c>
      <c r="G1385">
        <v>1296.8410644999999</v>
      </c>
      <c r="H1385">
        <v>1283.3930664</v>
      </c>
      <c r="I1385">
        <v>1394.5155029</v>
      </c>
      <c r="J1385">
        <v>1374.8414307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1014.7058050000001</v>
      </c>
      <c r="B1386" s="1">
        <f>DATE(2013,2,8) + TIME(16,56,21)</f>
        <v>41313.70579861111</v>
      </c>
      <c r="C1386">
        <v>80</v>
      </c>
      <c r="D1386">
        <v>70.977455139</v>
      </c>
      <c r="E1386">
        <v>50</v>
      </c>
      <c r="F1386">
        <v>49.971141815000003</v>
      </c>
      <c r="G1386">
        <v>1296.5734863</v>
      </c>
      <c r="H1386">
        <v>1283.0406493999999</v>
      </c>
      <c r="I1386">
        <v>1394.4746094</v>
      </c>
      <c r="J1386">
        <v>1374.7983397999999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1017.5074959999999</v>
      </c>
      <c r="B1387" s="1">
        <f>DATE(2013,2,11) + TIME(12,10,47)</f>
        <v>41316.507488425923</v>
      </c>
      <c r="C1387">
        <v>80</v>
      </c>
      <c r="D1387">
        <v>70.740531920999999</v>
      </c>
      <c r="E1387">
        <v>50</v>
      </c>
      <c r="F1387">
        <v>49.971214293999999</v>
      </c>
      <c r="G1387">
        <v>1296.2928466999999</v>
      </c>
      <c r="H1387">
        <v>1282.6665039</v>
      </c>
      <c r="I1387">
        <v>1394.4344481999999</v>
      </c>
      <c r="J1387">
        <v>1374.7557373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1020.309187</v>
      </c>
      <c r="B1388" s="1">
        <f>DATE(2013,2,14) + TIME(7,25,13)</f>
        <v>41319.309178240743</v>
      </c>
      <c r="C1388">
        <v>80</v>
      </c>
      <c r="D1388">
        <v>70.496147156000006</v>
      </c>
      <c r="E1388">
        <v>50</v>
      </c>
      <c r="F1388">
        <v>49.971282959</v>
      </c>
      <c r="G1388">
        <v>1296.0050048999999</v>
      </c>
      <c r="H1388">
        <v>1282.2803954999999</v>
      </c>
      <c r="I1388">
        <v>1394.3952637</v>
      </c>
      <c r="J1388">
        <v>1374.7137451000001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1023.110878</v>
      </c>
      <c r="B1389" s="1">
        <f>DATE(2013,2,17) + TIME(2,39,39)</f>
        <v>41322.110868055555</v>
      </c>
      <c r="C1389">
        <v>80</v>
      </c>
      <c r="D1389">
        <v>70.245529175000001</v>
      </c>
      <c r="E1389">
        <v>50</v>
      </c>
      <c r="F1389">
        <v>49.971355438000003</v>
      </c>
      <c r="G1389">
        <v>1295.7113036999999</v>
      </c>
      <c r="H1389">
        <v>1281.8850098</v>
      </c>
      <c r="I1389">
        <v>1394.3568115</v>
      </c>
      <c r="J1389">
        <v>1374.6724853999999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1025.9125690000001</v>
      </c>
      <c r="B1390" s="1">
        <f>DATE(2013,2,19) + TIME(21,54,5)</f>
        <v>41324.912557870368</v>
      </c>
      <c r="C1390">
        <v>80</v>
      </c>
      <c r="D1390">
        <v>69.988769531000003</v>
      </c>
      <c r="E1390">
        <v>50</v>
      </c>
      <c r="F1390">
        <v>49.971424102999997</v>
      </c>
      <c r="G1390">
        <v>1295.4124756000001</v>
      </c>
      <c r="H1390">
        <v>1281.480957</v>
      </c>
      <c r="I1390">
        <v>1394.3189697</v>
      </c>
      <c r="J1390">
        <v>1374.6318358999999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1028.987627</v>
      </c>
      <c r="B1391" s="1">
        <f>DATE(2013,2,22) + TIME(23,42,10)</f>
        <v>41327.987615740742</v>
      </c>
      <c r="C1391">
        <v>80</v>
      </c>
      <c r="D1391">
        <v>69.719573975000003</v>
      </c>
      <c r="E1391">
        <v>50</v>
      </c>
      <c r="F1391">
        <v>49.971504211000003</v>
      </c>
      <c r="G1391">
        <v>1295.1081543</v>
      </c>
      <c r="H1391">
        <v>1281.0664062000001</v>
      </c>
      <c r="I1391">
        <v>1394.2819824000001</v>
      </c>
      <c r="J1391">
        <v>1374.5917969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1032.062684</v>
      </c>
      <c r="B1392" s="1">
        <f>DATE(2013,2,26) + TIME(1,30,15)</f>
        <v>41331.062673611108</v>
      </c>
      <c r="C1392">
        <v>80</v>
      </c>
      <c r="D1392">
        <v>69.426681518999999</v>
      </c>
      <c r="E1392">
        <v>50</v>
      </c>
      <c r="F1392">
        <v>49.971576691000003</v>
      </c>
      <c r="G1392">
        <v>1294.7734375</v>
      </c>
      <c r="H1392">
        <v>1280.6113281</v>
      </c>
      <c r="I1392">
        <v>1394.2418213000001</v>
      </c>
      <c r="J1392">
        <v>1374.5485839999999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1035</v>
      </c>
      <c r="B1393" s="1">
        <f>DATE(2013,3,1) + TIME(0,0,0)</f>
        <v>41334</v>
      </c>
      <c r="C1393">
        <v>80</v>
      </c>
      <c r="D1393">
        <v>69.124366760000001</v>
      </c>
      <c r="E1393">
        <v>50</v>
      </c>
      <c r="F1393">
        <v>49.971649169999999</v>
      </c>
      <c r="G1393">
        <v>1294.4306641000001</v>
      </c>
      <c r="H1393">
        <v>1280.1431885</v>
      </c>
      <c r="I1393">
        <v>1394.2023925999999</v>
      </c>
      <c r="J1393">
        <v>1374.5058594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1038.075057</v>
      </c>
      <c r="B1394" s="1">
        <f>DATE(2013,3,4) + TIME(1,48,4)</f>
        <v>41337.075046296297</v>
      </c>
      <c r="C1394">
        <v>80</v>
      </c>
      <c r="D1394">
        <v>68.817474364999995</v>
      </c>
      <c r="E1394">
        <v>50</v>
      </c>
      <c r="F1394">
        <v>49.971725464000002</v>
      </c>
      <c r="G1394">
        <v>1294.0953368999999</v>
      </c>
      <c r="H1394">
        <v>1279.6809082</v>
      </c>
      <c r="I1394">
        <v>1394.1652832</v>
      </c>
      <c r="J1394">
        <v>1374.4655762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1041.1501149999999</v>
      </c>
      <c r="B1395" s="1">
        <f>DATE(2013,3,7) + TIME(3,36,9)</f>
        <v>41340.150104166663</v>
      </c>
      <c r="C1395">
        <v>80</v>
      </c>
      <c r="D1395">
        <v>68.493843079000001</v>
      </c>
      <c r="E1395">
        <v>50</v>
      </c>
      <c r="F1395">
        <v>49.971801757999998</v>
      </c>
      <c r="G1395">
        <v>1293.7437743999999</v>
      </c>
      <c r="H1395">
        <v>1279.1961670000001</v>
      </c>
      <c r="I1395">
        <v>1394.1269531</v>
      </c>
      <c r="J1395">
        <v>1374.4240723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1044.2251719999999</v>
      </c>
      <c r="B1396" s="1">
        <f>DATE(2013,3,10) + TIME(5,24,14)</f>
        <v>41343.225162037037</v>
      </c>
      <c r="C1396">
        <v>80</v>
      </c>
      <c r="D1396">
        <v>68.158348083000007</v>
      </c>
      <c r="E1396">
        <v>50</v>
      </c>
      <c r="F1396">
        <v>49.971874237000002</v>
      </c>
      <c r="G1396">
        <v>1293.3865966999999</v>
      </c>
      <c r="H1396">
        <v>1278.7012939000001</v>
      </c>
      <c r="I1396">
        <v>1394.0892334</v>
      </c>
      <c r="J1396">
        <v>1374.3829346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1047.3002300000001</v>
      </c>
      <c r="B1397" s="1">
        <f>DATE(2013,3,13) + TIME(7,12,19)</f>
        <v>41346.300219907411</v>
      </c>
      <c r="C1397">
        <v>80</v>
      </c>
      <c r="D1397">
        <v>67.811805724999999</v>
      </c>
      <c r="E1397">
        <v>50</v>
      </c>
      <c r="F1397">
        <v>49.971946715999998</v>
      </c>
      <c r="G1397">
        <v>1293.0252685999999</v>
      </c>
      <c r="H1397">
        <v>1278.1984863</v>
      </c>
      <c r="I1397">
        <v>1394.0517577999999</v>
      </c>
      <c r="J1397">
        <v>1374.3424072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1050.6547399999999</v>
      </c>
      <c r="B1398" s="1">
        <f>DATE(2013,3,16) + TIME(15,42,49)</f>
        <v>41349.654733796298</v>
      </c>
      <c r="C1398">
        <v>80</v>
      </c>
      <c r="D1398">
        <v>67.447830199999999</v>
      </c>
      <c r="E1398">
        <v>50</v>
      </c>
      <c r="F1398">
        <v>49.972026825</v>
      </c>
      <c r="G1398">
        <v>1292.6597899999999</v>
      </c>
      <c r="H1398">
        <v>1277.6860352000001</v>
      </c>
      <c r="I1398">
        <v>1394.0148925999999</v>
      </c>
      <c r="J1398">
        <v>1374.3023682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1054.0092500000001</v>
      </c>
      <c r="B1399" s="1">
        <f>DATE(2013,3,20) + TIME(0,13,19)</f>
        <v>41353.009247685186</v>
      </c>
      <c r="C1399">
        <v>80</v>
      </c>
      <c r="D1399">
        <v>67.050582886000001</v>
      </c>
      <c r="E1399">
        <v>50</v>
      </c>
      <c r="F1399">
        <v>49.972103119000003</v>
      </c>
      <c r="G1399">
        <v>1292.2624512</v>
      </c>
      <c r="H1399">
        <v>1277.1300048999999</v>
      </c>
      <c r="I1399">
        <v>1393.9749756000001</v>
      </c>
      <c r="J1399">
        <v>1374.2591553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1057.36376</v>
      </c>
      <c r="B1400" s="1">
        <f>DATE(2013,3,23) + TIME(8,43,48)</f>
        <v>41356.363749999997</v>
      </c>
      <c r="C1400">
        <v>80</v>
      </c>
      <c r="D1400">
        <v>66.635910034000005</v>
      </c>
      <c r="E1400">
        <v>50</v>
      </c>
      <c r="F1400">
        <v>49.972183227999999</v>
      </c>
      <c r="G1400">
        <v>1291.8583983999999</v>
      </c>
      <c r="H1400">
        <v>1276.5606689000001</v>
      </c>
      <c r="I1400">
        <v>1393.9354248</v>
      </c>
      <c r="J1400">
        <v>1374.2164307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1060.718271</v>
      </c>
      <c r="B1401" s="1">
        <f>DATE(2013,3,26) + TIME(17,14,18)</f>
        <v>41359.718263888892</v>
      </c>
      <c r="C1401">
        <v>80</v>
      </c>
      <c r="D1401">
        <v>66.207038878999995</v>
      </c>
      <c r="E1401">
        <v>50</v>
      </c>
      <c r="F1401">
        <v>49.972259520999998</v>
      </c>
      <c r="G1401">
        <v>1291.4509277</v>
      </c>
      <c r="H1401">
        <v>1275.9838867000001</v>
      </c>
      <c r="I1401">
        <v>1393.8961182</v>
      </c>
      <c r="J1401">
        <v>1374.1740723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1064.0727810000001</v>
      </c>
      <c r="B1402" s="1">
        <f>DATE(2013,3,30) + TIME(1,44,48)</f>
        <v>41363.072777777779</v>
      </c>
      <c r="C1402">
        <v>80</v>
      </c>
      <c r="D1402">
        <v>65.764610290999997</v>
      </c>
      <c r="E1402">
        <v>50</v>
      </c>
      <c r="F1402">
        <v>49.972335815000001</v>
      </c>
      <c r="G1402">
        <v>1291.0411377</v>
      </c>
      <c r="H1402">
        <v>1275.401001</v>
      </c>
      <c r="I1402">
        <v>1393.8571777</v>
      </c>
      <c r="J1402">
        <v>1374.1320800999999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1066</v>
      </c>
      <c r="B1403" s="1">
        <f>DATE(2013,4,1) + TIME(0,0,0)</f>
        <v>41365</v>
      </c>
      <c r="C1403">
        <v>80</v>
      </c>
      <c r="D1403">
        <v>65.365646362000007</v>
      </c>
      <c r="E1403">
        <v>50</v>
      </c>
      <c r="F1403">
        <v>49.972377776999998</v>
      </c>
      <c r="G1403">
        <v>1290.6351318</v>
      </c>
      <c r="H1403">
        <v>1274.8350829999999</v>
      </c>
      <c r="I1403">
        <v>1393.8179932</v>
      </c>
      <c r="J1403">
        <v>1374.090332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1069.3545099999999</v>
      </c>
      <c r="B1404" s="1">
        <f>DATE(2013,4,4) + TIME(8,30,29)</f>
        <v>41368.354502314818</v>
      </c>
      <c r="C1404">
        <v>80</v>
      </c>
      <c r="D1404">
        <v>65.012855529999996</v>
      </c>
      <c r="E1404">
        <v>50</v>
      </c>
      <c r="F1404">
        <v>49.972454071000001</v>
      </c>
      <c r="G1404">
        <v>1290.3737793</v>
      </c>
      <c r="H1404">
        <v>1274.4382324000001</v>
      </c>
      <c r="I1404">
        <v>1393.7962646000001</v>
      </c>
      <c r="J1404">
        <v>1374.0660399999999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1072.70902</v>
      </c>
      <c r="B1405" s="1">
        <f>DATE(2013,4,7) + TIME(17,0,59)</f>
        <v>41371.709016203706</v>
      </c>
      <c r="C1405">
        <v>80</v>
      </c>
      <c r="D1405">
        <v>64.558387756000002</v>
      </c>
      <c r="E1405">
        <v>50</v>
      </c>
      <c r="F1405">
        <v>49.972526549999998</v>
      </c>
      <c r="G1405">
        <v>1289.9761963000001</v>
      </c>
      <c r="H1405">
        <v>1273.8724365</v>
      </c>
      <c r="I1405">
        <v>1393.7578125</v>
      </c>
      <c r="J1405">
        <v>1374.0256348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1076.0635299999999</v>
      </c>
      <c r="B1406" s="1">
        <f>DATE(2013,4,11) + TIME(1,31,29)</f>
        <v>41375.063530092593</v>
      </c>
      <c r="C1406">
        <v>80</v>
      </c>
      <c r="D1406">
        <v>64.074348450000002</v>
      </c>
      <c r="E1406">
        <v>50</v>
      </c>
      <c r="F1406">
        <v>49.972599029999998</v>
      </c>
      <c r="G1406">
        <v>1289.5657959</v>
      </c>
      <c r="H1406">
        <v>1273.2802733999999</v>
      </c>
      <c r="I1406">
        <v>1393.7194824000001</v>
      </c>
      <c r="J1406">
        <v>1373.9849853999999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1079.4180409999999</v>
      </c>
      <c r="B1407" s="1">
        <f>DATE(2013,4,14) + TIME(10,1,58)</f>
        <v>41378.418032407404</v>
      </c>
      <c r="C1407">
        <v>80</v>
      </c>
      <c r="D1407">
        <v>63.575607300000001</v>
      </c>
      <c r="E1407">
        <v>50</v>
      </c>
      <c r="F1407">
        <v>49.972671509000001</v>
      </c>
      <c r="G1407">
        <v>1289.1531981999999</v>
      </c>
      <c r="H1407">
        <v>1272.6813964999999</v>
      </c>
      <c r="I1407">
        <v>1393.6812743999999</v>
      </c>
      <c r="J1407">
        <v>1373.9445800999999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1082.772551</v>
      </c>
      <c r="B1408" s="1">
        <f>DATE(2013,4,17) + TIME(18,32,28)</f>
        <v>41381.772546296299</v>
      </c>
      <c r="C1408">
        <v>80</v>
      </c>
      <c r="D1408">
        <v>63.065368651999997</v>
      </c>
      <c r="E1408">
        <v>50</v>
      </c>
      <c r="F1408">
        <v>49.972743987999998</v>
      </c>
      <c r="G1408">
        <v>1288.7407227000001</v>
      </c>
      <c r="H1408">
        <v>1272.0799560999999</v>
      </c>
      <c r="I1408">
        <v>1393.6431885</v>
      </c>
      <c r="J1408">
        <v>1373.9044189000001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1086.1270609999999</v>
      </c>
      <c r="B1409" s="1">
        <f>DATE(2013,4,21) + TIME(3,2,58)</f>
        <v>41385.127060185187</v>
      </c>
      <c r="C1409">
        <v>80</v>
      </c>
      <c r="D1409">
        <v>62.544963836999997</v>
      </c>
      <c r="E1409">
        <v>50</v>
      </c>
      <c r="F1409">
        <v>49.972812652999998</v>
      </c>
      <c r="G1409">
        <v>1288.3294678</v>
      </c>
      <c r="H1409">
        <v>1271.4774170000001</v>
      </c>
      <c r="I1409">
        <v>1393.6051024999999</v>
      </c>
      <c r="J1409">
        <v>1373.8643798999999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1089.481571</v>
      </c>
      <c r="B1410" s="1">
        <f>DATE(2013,4,24) + TIME(11,33,27)</f>
        <v>41388.481562499997</v>
      </c>
      <c r="C1410">
        <v>80</v>
      </c>
      <c r="D1410">
        <v>62.015331267999997</v>
      </c>
      <c r="E1410">
        <v>50</v>
      </c>
      <c r="F1410">
        <v>49.972885132000002</v>
      </c>
      <c r="G1410">
        <v>1287.9199219</v>
      </c>
      <c r="H1410">
        <v>1270.8746338000001</v>
      </c>
      <c r="I1410">
        <v>1393.5671387</v>
      </c>
      <c r="J1410">
        <v>1373.824707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1092.8360809999999</v>
      </c>
      <c r="B1411" s="1">
        <f>DATE(2013,4,27) + TIME(20,3,57)</f>
        <v>41391.836076388892</v>
      </c>
      <c r="C1411">
        <v>80</v>
      </c>
      <c r="D1411">
        <v>61.477466583000002</v>
      </c>
      <c r="E1411">
        <v>50</v>
      </c>
      <c r="F1411">
        <v>49.972953795999999</v>
      </c>
      <c r="G1411">
        <v>1287.5126952999999</v>
      </c>
      <c r="H1411">
        <v>1270.2724608999999</v>
      </c>
      <c r="I1411">
        <v>1393.5290527</v>
      </c>
      <c r="J1411">
        <v>1373.7851562000001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1096</v>
      </c>
      <c r="B1412" s="1">
        <f>DATE(2013,5,1) + TIME(0,0,0)</f>
        <v>41395</v>
      </c>
      <c r="C1412">
        <v>80</v>
      </c>
      <c r="D1412">
        <v>60.938529967999997</v>
      </c>
      <c r="E1412">
        <v>50</v>
      </c>
      <c r="F1412">
        <v>49.973014831999997</v>
      </c>
      <c r="G1412">
        <v>1287.1083983999999</v>
      </c>
      <c r="H1412">
        <v>1269.6739502</v>
      </c>
      <c r="I1412">
        <v>1393.4909668</v>
      </c>
      <c r="J1412">
        <v>1373.7457274999999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1096.0000010000001</v>
      </c>
      <c r="B1413" s="1">
        <f>DATE(2013,5,1) + TIME(0,0,0)</f>
        <v>41395</v>
      </c>
      <c r="C1413">
        <v>80</v>
      </c>
      <c r="D1413">
        <v>60.938682556000003</v>
      </c>
      <c r="E1413">
        <v>50</v>
      </c>
      <c r="F1413">
        <v>49.972908019999998</v>
      </c>
      <c r="G1413">
        <v>1306.8129882999999</v>
      </c>
      <c r="H1413">
        <v>1288.0819091999999</v>
      </c>
      <c r="I1413">
        <v>1372.8712158000001</v>
      </c>
      <c r="J1413">
        <v>1354.2755127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1096.000004</v>
      </c>
      <c r="B1414" s="1">
        <f>DATE(2013,5,1) + TIME(0,0,0)</f>
        <v>41395</v>
      </c>
      <c r="C1414">
        <v>80</v>
      </c>
      <c r="D1414">
        <v>60.939094543000003</v>
      </c>
      <c r="E1414">
        <v>50</v>
      </c>
      <c r="F1414">
        <v>49.972614288000003</v>
      </c>
      <c r="G1414">
        <v>1309.1563721</v>
      </c>
      <c r="H1414">
        <v>1290.6173096</v>
      </c>
      <c r="I1414">
        <v>1370.5388184000001</v>
      </c>
      <c r="J1414">
        <v>1351.9423827999999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1096.0000130000001</v>
      </c>
      <c r="B1415" s="1">
        <f>DATE(2013,5,1) + TIME(0,0,1)</f>
        <v>41395.000011574077</v>
      </c>
      <c r="C1415">
        <v>80</v>
      </c>
      <c r="D1415">
        <v>60.940044403000002</v>
      </c>
      <c r="E1415">
        <v>50</v>
      </c>
      <c r="F1415">
        <v>49.971954345999997</v>
      </c>
      <c r="G1415">
        <v>1314.333374</v>
      </c>
      <c r="H1415">
        <v>1296.0509033000001</v>
      </c>
      <c r="I1415">
        <v>1365.3066406</v>
      </c>
      <c r="J1415">
        <v>1346.7091064000001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1096.0000399999999</v>
      </c>
      <c r="B1416" s="1">
        <f>DATE(2013,5,1) + TIME(0,0,3)</f>
        <v>41395.000034722223</v>
      </c>
      <c r="C1416">
        <v>80</v>
      </c>
      <c r="D1416">
        <v>60.941875457999998</v>
      </c>
      <c r="E1416">
        <v>50</v>
      </c>
      <c r="F1416">
        <v>49.970848083</v>
      </c>
      <c r="G1416">
        <v>1322.8117675999999</v>
      </c>
      <c r="H1416">
        <v>1304.6328125</v>
      </c>
      <c r="I1416">
        <v>1356.5627440999999</v>
      </c>
      <c r="J1416">
        <v>1337.9660644999999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1096.000121</v>
      </c>
      <c r="B1417" s="1">
        <f>DATE(2013,5,1) + TIME(0,0,10)</f>
        <v>41395.000115740739</v>
      </c>
      <c r="C1417">
        <v>80</v>
      </c>
      <c r="D1417">
        <v>60.945320129000002</v>
      </c>
      <c r="E1417">
        <v>50</v>
      </c>
      <c r="F1417">
        <v>49.969497681</v>
      </c>
      <c r="G1417">
        <v>1333.0495605000001</v>
      </c>
      <c r="H1417">
        <v>1314.7825928</v>
      </c>
      <c r="I1417">
        <v>1345.8885498</v>
      </c>
      <c r="J1417">
        <v>1327.296875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1096.000364</v>
      </c>
      <c r="B1418" s="1">
        <f>DATE(2013,5,1) + TIME(0,0,31)</f>
        <v>41395.000358796293</v>
      </c>
      <c r="C1418">
        <v>80</v>
      </c>
      <c r="D1418">
        <v>60.953063964999998</v>
      </c>
      <c r="E1418">
        <v>50</v>
      </c>
      <c r="F1418">
        <v>49.968086243000002</v>
      </c>
      <c r="G1418">
        <v>1343.6838379000001</v>
      </c>
      <c r="H1418">
        <v>1325.2885742000001</v>
      </c>
      <c r="I1418">
        <v>1334.8989257999999</v>
      </c>
      <c r="J1418">
        <v>1316.3170166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1096.0010930000001</v>
      </c>
      <c r="B1419" s="1">
        <f>DATE(2013,5,1) + TIME(0,1,34)</f>
        <v>41395.001087962963</v>
      </c>
      <c r="C1419">
        <v>80</v>
      </c>
      <c r="D1419">
        <v>60.973682404000002</v>
      </c>
      <c r="E1419">
        <v>50</v>
      </c>
      <c r="F1419">
        <v>49.966613770000002</v>
      </c>
      <c r="G1419">
        <v>1354.6571045000001</v>
      </c>
      <c r="H1419">
        <v>1336.1268310999999</v>
      </c>
      <c r="I1419">
        <v>1323.9089355000001</v>
      </c>
      <c r="J1419">
        <v>1305.338501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1096.0032799999999</v>
      </c>
      <c r="B1420" s="1">
        <f>DATE(2013,5,1) + TIME(0,4,43)</f>
        <v>41395.003275462965</v>
      </c>
      <c r="C1420">
        <v>80</v>
      </c>
      <c r="D1420">
        <v>61.032981872999997</v>
      </c>
      <c r="E1420">
        <v>50</v>
      </c>
      <c r="F1420">
        <v>49.964950561999999</v>
      </c>
      <c r="G1420">
        <v>1366.3470459</v>
      </c>
      <c r="H1420">
        <v>1347.7095947</v>
      </c>
      <c r="I1420">
        <v>1312.7907714999999</v>
      </c>
      <c r="J1420">
        <v>1294.2075195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1096.0098410000001</v>
      </c>
      <c r="B1421" s="1">
        <f>DATE(2013,5,1) + TIME(0,14,10)</f>
        <v>41395.009837962964</v>
      </c>
      <c r="C1421">
        <v>80</v>
      </c>
      <c r="D1421">
        <v>61.206542968999997</v>
      </c>
      <c r="E1421">
        <v>50</v>
      </c>
      <c r="F1421">
        <v>49.962772369</v>
      </c>
      <c r="G1421">
        <v>1378.2379149999999</v>
      </c>
      <c r="H1421">
        <v>1359.6185303</v>
      </c>
      <c r="I1421">
        <v>1301.8288574000001</v>
      </c>
      <c r="J1421">
        <v>1283.1580810999999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1096.029524</v>
      </c>
      <c r="B1422" s="1">
        <f>DATE(2013,5,1) + TIME(0,42,30)</f>
        <v>41395.029513888891</v>
      </c>
      <c r="C1422">
        <v>80</v>
      </c>
      <c r="D1422">
        <v>61.707328795999999</v>
      </c>
      <c r="E1422">
        <v>50</v>
      </c>
      <c r="F1422">
        <v>49.959316254000001</v>
      </c>
      <c r="G1422">
        <v>1387.8360596</v>
      </c>
      <c r="H1422">
        <v>1369.4527588000001</v>
      </c>
      <c r="I1422">
        <v>1293.1573486</v>
      </c>
      <c r="J1422">
        <v>1274.3148193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1096.0568270000001</v>
      </c>
      <c r="B1423" s="1">
        <f>DATE(2013,5,1) + TIME(1,21,49)</f>
        <v>41395.056817129633</v>
      </c>
      <c r="C1423">
        <v>80</v>
      </c>
      <c r="D1423">
        <v>62.372665404999999</v>
      </c>
      <c r="E1423">
        <v>50</v>
      </c>
      <c r="F1423">
        <v>49.955638884999999</v>
      </c>
      <c r="G1423">
        <v>1391.7523193</v>
      </c>
      <c r="H1423">
        <v>1373.6260986</v>
      </c>
      <c r="I1423">
        <v>1289.9024658000001</v>
      </c>
      <c r="J1423">
        <v>1270.9426269999999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1096.0845890000001</v>
      </c>
      <c r="B1424" s="1">
        <f>DATE(2013,5,1) + TIME(2,1,48)</f>
        <v>41395.084583333337</v>
      </c>
      <c r="C1424">
        <v>80</v>
      </c>
      <c r="D1424">
        <v>63.022953033</v>
      </c>
      <c r="E1424">
        <v>50</v>
      </c>
      <c r="F1424">
        <v>49.952217101999999</v>
      </c>
      <c r="G1424">
        <v>1393.0764160000001</v>
      </c>
      <c r="H1424">
        <v>1375.1492920000001</v>
      </c>
      <c r="I1424">
        <v>1288.9719238</v>
      </c>
      <c r="J1424">
        <v>1269.9552002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1096.112881</v>
      </c>
      <c r="B1425" s="1">
        <f>DATE(2013,5,1) + TIME(2,42,32)</f>
        <v>41395.112870370373</v>
      </c>
      <c r="C1425">
        <v>80</v>
      </c>
      <c r="D1425">
        <v>63.660522460999999</v>
      </c>
      <c r="E1425">
        <v>50</v>
      </c>
      <c r="F1425">
        <v>49.948844909999998</v>
      </c>
      <c r="G1425">
        <v>1393.4925536999999</v>
      </c>
      <c r="H1425">
        <v>1375.7359618999999</v>
      </c>
      <c r="I1425">
        <v>1288.7407227000001</v>
      </c>
      <c r="J1425">
        <v>1269.6971435999999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1096.1417590000001</v>
      </c>
      <c r="B1426" s="1">
        <f>DATE(2013,5,1) + TIME(3,24,7)</f>
        <v>41395.141747685186</v>
      </c>
      <c r="C1426">
        <v>80</v>
      </c>
      <c r="D1426">
        <v>64.286529540999993</v>
      </c>
      <c r="E1426">
        <v>50</v>
      </c>
      <c r="F1426">
        <v>49.945461272999999</v>
      </c>
      <c r="G1426">
        <v>1393.5561522999999</v>
      </c>
      <c r="H1426">
        <v>1375.9538574000001</v>
      </c>
      <c r="I1426">
        <v>1288.7136230000001</v>
      </c>
      <c r="J1426">
        <v>1269.6577147999999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1096.1712769999999</v>
      </c>
      <c r="B1427" s="1">
        <f>DATE(2013,5,1) + TIME(4,6,38)</f>
        <v>41395.171273148146</v>
      </c>
      <c r="C1427">
        <v>80</v>
      </c>
      <c r="D1427">
        <v>64.901756286999998</v>
      </c>
      <c r="E1427">
        <v>50</v>
      </c>
      <c r="F1427">
        <v>49.942043304000002</v>
      </c>
      <c r="G1427">
        <v>1393.4741211</v>
      </c>
      <c r="H1427">
        <v>1376.0162353999999</v>
      </c>
      <c r="I1427">
        <v>1288.7357178</v>
      </c>
      <c r="J1427">
        <v>1269.6739502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1096.2014819999999</v>
      </c>
      <c r="B1428" s="1">
        <f>DATE(2013,5,1) + TIME(4,50,8)</f>
        <v>41395.201481481483</v>
      </c>
      <c r="C1428">
        <v>80</v>
      </c>
      <c r="D1428">
        <v>65.506629943999997</v>
      </c>
      <c r="E1428">
        <v>50</v>
      </c>
      <c r="F1428">
        <v>49.938579558999997</v>
      </c>
      <c r="G1428">
        <v>1393.3302002</v>
      </c>
      <c r="H1428">
        <v>1376.0096435999999</v>
      </c>
      <c r="I1428">
        <v>1288.7614745999999</v>
      </c>
      <c r="J1428">
        <v>1269.6970214999999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1096.2324160000001</v>
      </c>
      <c r="B1429" s="1">
        <f>DATE(2013,5,1) + TIME(5,34,40)</f>
        <v>41395.232407407406</v>
      </c>
      <c r="C1429">
        <v>80</v>
      </c>
      <c r="D1429">
        <v>66.101211547999995</v>
      </c>
      <c r="E1429">
        <v>50</v>
      </c>
      <c r="F1429">
        <v>49.935070037999999</v>
      </c>
      <c r="G1429">
        <v>1393.1602783000001</v>
      </c>
      <c r="H1429">
        <v>1375.9714355000001</v>
      </c>
      <c r="I1429">
        <v>1288.7806396000001</v>
      </c>
      <c r="J1429">
        <v>1269.7147216999999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1096.264124</v>
      </c>
      <c r="B1430" s="1">
        <f>DATE(2013,5,1) + TIME(6,20,20)</f>
        <v>41395.264120370368</v>
      </c>
      <c r="C1430">
        <v>80</v>
      </c>
      <c r="D1430">
        <v>66.685539246000005</v>
      </c>
      <c r="E1430">
        <v>50</v>
      </c>
      <c r="F1430">
        <v>49.931503296000002</v>
      </c>
      <c r="G1430">
        <v>1392.9807129000001</v>
      </c>
      <c r="H1430">
        <v>1375.9187012</v>
      </c>
      <c r="I1430">
        <v>1288.7929687999999</v>
      </c>
      <c r="J1430">
        <v>1269.7261963000001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1096.2966530000001</v>
      </c>
      <c r="B1431" s="1">
        <f>DATE(2013,5,1) + TIME(7,7,10)</f>
        <v>41395.296643518515</v>
      </c>
      <c r="C1431">
        <v>80</v>
      </c>
      <c r="D1431">
        <v>67.259628296000002</v>
      </c>
      <c r="E1431">
        <v>50</v>
      </c>
      <c r="F1431">
        <v>49.927883147999999</v>
      </c>
      <c r="G1431">
        <v>1392.7993164</v>
      </c>
      <c r="H1431">
        <v>1375.8596190999999</v>
      </c>
      <c r="I1431">
        <v>1288.800293</v>
      </c>
      <c r="J1431">
        <v>1269.7329102000001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1096.330054</v>
      </c>
      <c r="B1432" s="1">
        <f>DATE(2013,5,1) + TIME(7,55,16)</f>
        <v>41395.330046296294</v>
      </c>
      <c r="C1432">
        <v>80</v>
      </c>
      <c r="D1432">
        <v>67.823486328000001</v>
      </c>
      <c r="E1432">
        <v>50</v>
      </c>
      <c r="F1432">
        <v>49.924201965000002</v>
      </c>
      <c r="G1432">
        <v>1392.6195068</v>
      </c>
      <c r="H1432">
        <v>1375.7980957</v>
      </c>
      <c r="I1432">
        <v>1288.8045654</v>
      </c>
      <c r="J1432">
        <v>1269.7364502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1096.3643810000001</v>
      </c>
      <c r="B1433" s="1">
        <f>DATE(2013,5,1) + TIME(8,44,42)</f>
        <v>41395.364374999997</v>
      </c>
      <c r="C1433">
        <v>80</v>
      </c>
      <c r="D1433">
        <v>68.377082825000002</v>
      </c>
      <c r="E1433">
        <v>50</v>
      </c>
      <c r="F1433">
        <v>49.920455933</v>
      </c>
      <c r="G1433">
        <v>1392.4432373</v>
      </c>
      <c r="H1433">
        <v>1375.7360839999999</v>
      </c>
      <c r="I1433">
        <v>1288.8068848</v>
      </c>
      <c r="J1433">
        <v>1269.7381591999999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1096.399694</v>
      </c>
      <c r="B1434" s="1">
        <f>DATE(2013,5,1) + TIME(9,35,33)</f>
        <v>41395.399687500001</v>
      </c>
      <c r="C1434">
        <v>80</v>
      </c>
      <c r="D1434">
        <v>68.920402526999993</v>
      </c>
      <c r="E1434">
        <v>50</v>
      </c>
      <c r="F1434">
        <v>49.916641235</v>
      </c>
      <c r="G1434">
        <v>1392.2712402</v>
      </c>
      <c r="H1434">
        <v>1375.6745605000001</v>
      </c>
      <c r="I1434">
        <v>1288.8082274999999</v>
      </c>
      <c r="J1434">
        <v>1269.7388916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1096.436058</v>
      </c>
      <c r="B1435" s="1">
        <f>DATE(2013,5,1) + TIME(10,27,55)</f>
        <v>41395.436053240737</v>
      </c>
      <c r="C1435">
        <v>80</v>
      </c>
      <c r="D1435">
        <v>69.453384399000001</v>
      </c>
      <c r="E1435">
        <v>50</v>
      </c>
      <c r="F1435">
        <v>49.912754059000001</v>
      </c>
      <c r="G1435">
        <v>1392.1038818</v>
      </c>
      <c r="H1435">
        <v>1375.6138916</v>
      </c>
      <c r="I1435">
        <v>1288.8088379000001</v>
      </c>
      <c r="J1435">
        <v>1269.7388916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1096.473559</v>
      </c>
      <c r="B1436" s="1">
        <f>DATE(2013,5,1) + TIME(11,21,55)</f>
        <v>41395.473553240743</v>
      </c>
      <c r="C1436">
        <v>80</v>
      </c>
      <c r="D1436">
        <v>69.976165770999998</v>
      </c>
      <c r="E1436">
        <v>50</v>
      </c>
      <c r="F1436">
        <v>49.908782959</v>
      </c>
      <c r="G1436">
        <v>1391.9411620999999</v>
      </c>
      <c r="H1436">
        <v>1375.5544434000001</v>
      </c>
      <c r="I1436">
        <v>1288.8092041</v>
      </c>
      <c r="J1436">
        <v>1269.7385254000001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1096.512266</v>
      </c>
      <c r="B1437" s="1">
        <f>DATE(2013,5,1) + TIME(12,17,39)</f>
        <v>41395.512256944443</v>
      </c>
      <c r="C1437">
        <v>80</v>
      </c>
      <c r="D1437">
        <v>70.488189696999996</v>
      </c>
      <c r="E1437">
        <v>50</v>
      </c>
      <c r="F1437">
        <v>49.904731750000003</v>
      </c>
      <c r="G1437">
        <v>1391.7830810999999</v>
      </c>
      <c r="H1437">
        <v>1375.4959716999999</v>
      </c>
      <c r="I1437">
        <v>1288.8093262</v>
      </c>
      <c r="J1437">
        <v>1269.7379149999999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1096.552261</v>
      </c>
      <c r="B1438" s="1">
        <f>DATE(2013,5,1) + TIME(13,15,15)</f>
        <v>41395.552256944444</v>
      </c>
      <c r="C1438">
        <v>80</v>
      </c>
      <c r="D1438">
        <v>70.989646911999998</v>
      </c>
      <c r="E1438">
        <v>50</v>
      </c>
      <c r="F1438">
        <v>49.900585175000003</v>
      </c>
      <c r="G1438">
        <v>1391.6293945</v>
      </c>
      <c r="H1438">
        <v>1375.4387207</v>
      </c>
      <c r="I1438">
        <v>1288.8094481999999</v>
      </c>
      <c r="J1438">
        <v>1269.7371826000001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1096.5936409999999</v>
      </c>
      <c r="B1439" s="1">
        <f>DATE(2013,5,1) + TIME(14,14,50)</f>
        <v>41395.593634259261</v>
      </c>
      <c r="C1439">
        <v>80</v>
      </c>
      <c r="D1439">
        <v>71.48046875</v>
      </c>
      <c r="E1439">
        <v>50</v>
      </c>
      <c r="F1439">
        <v>49.896343231000003</v>
      </c>
      <c r="G1439">
        <v>1391.4799805</v>
      </c>
      <c r="H1439">
        <v>1375.3825684000001</v>
      </c>
      <c r="I1439">
        <v>1288.8093262</v>
      </c>
      <c r="J1439">
        <v>1269.7363281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1096.6365109999999</v>
      </c>
      <c r="B1440" s="1">
        <f>DATE(2013,5,1) + TIME(15,16,34)</f>
        <v>41395.636504629627</v>
      </c>
      <c r="C1440">
        <v>80</v>
      </c>
      <c r="D1440">
        <v>71.960548400999997</v>
      </c>
      <c r="E1440">
        <v>50</v>
      </c>
      <c r="F1440">
        <v>49.891990661999998</v>
      </c>
      <c r="G1440">
        <v>1391.3345947</v>
      </c>
      <c r="H1440">
        <v>1375.3272704999999</v>
      </c>
      <c r="I1440">
        <v>1288.8092041</v>
      </c>
      <c r="J1440">
        <v>1269.7354736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1096.6809900000001</v>
      </c>
      <c r="B1441" s="1">
        <f>DATE(2013,5,1) + TIME(16,20,37)</f>
        <v>41395.680983796294</v>
      </c>
      <c r="C1441">
        <v>80</v>
      </c>
      <c r="D1441">
        <v>72.429771423000005</v>
      </c>
      <c r="E1441">
        <v>50</v>
      </c>
      <c r="F1441">
        <v>49.887523651000002</v>
      </c>
      <c r="G1441">
        <v>1391.1929932</v>
      </c>
      <c r="H1441">
        <v>1375.2727050999999</v>
      </c>
      <c r="I1441">
        <v>1288.809082</v>
      </c>
      <c r="J1441">
        <v>1269.7344971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1096.727208</v>
      </c>
      <c r="B1442" s="1">
        <f>DATE(2013,5,1) + TIME(17,27,10)</f>
        <v>41395.727199074077</v>
      </c>
      <c r="C1442">
        <v>80</v>
      </c>
      <c r="D1442">
        <v>72.888000488000003</v>
      </c>
      <c r="E1442">
        <v>50</v>
      </c>
      <c r="F1442">
        <v>49.882930756</v>
      </c>
      <c r="G1442">
        <v>1391.0549315999999</v>
      </c>
      <c r="H1442">
        <v>1375.2188721</v>
      </c>
      <c r="I1442">
        <v>1288.8089600000001</v>
      </c>
      <c r="J1442">
        <v>1269.7333983999999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1096.775314</v>
      </c>
      <c r="B1443" s="1">
        <f>DATE(2013,5,1) + TIME(18,36,27)</f>
        <v>41395.775312500002</v>
      </c>
      <c r="C1443">
        <v>80</v>
      </c>
      <c r="D1443">
        <v>73.335098267000006</v>
      </c>
      <c r="E1443">
        <v>50</v>
      </c>
      <c r="F1443">
        <v>49.878204345999997</v>
      </c>
      <c r="G1443">
        <v>1390.9204102000001</v>
      </c>
      <c r="H1443">
        <v>1375.1655272999999</v>
      </c>
      <c r="I1443">
        <v>1288.8087158000001</v>
      </c>
      <c r="J1443">
        <v>1269.7322998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1096.825476</v>
      </c>
      <c r="B1444" s="1">
        <f>DATE(2013,5,1) + TIME(19,48,41)</f>
        <v>41395.825474537036</v>
      </c>
      <c r="C1444">
        <v>80</v>
      </c>
      <c r="D1444">
        <v>73.770904540999993</v>
      </c>
      <c r="E1444">
        <v>50</v>
      </c>
      <c r="F1444">
        <v>49.873329163000001</v>
      </c>
      <c r="G1444">
        <v>1390.7889404</v>
      </c>
      <c r="H1444">
        <v>1375.1125488</v>
      </c>
      <c r="I1444">
        <v>1288.8083495999999</v>
      </c>
      <c r="J1444">
        <v>1269.7310791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1096.877882</v>
      </c>
      <c r="B1445" s="1">
        <f>DATE(2013,5,1) + TIME(21,4,8)</f>
        <v>41395.877870370372</v>
      </c>
      <c r="C1445">
        <v>80</v>
      </c>
      <c r="D1445">
        <v>74.195236206000004</v>
      </c>
      <c r="E1445">
        <v>50</v>
      </c>
      <c r="F1445">
        <v>49.868289947999997</v>
      </c>
      <c r="G1445">
        <v>1390.6604004000001</v>
      </c>
      <c r="H1445">
        <v>1375.0598144999999</v>
      </c>
      <c r="I1445">
        <v>1288.8081055</v>
      </c>
      <c r="J1445">
        <v>1269.7298584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1096.932765</v>
      </c>
      <c r="B1446" s="1">
        <f>DATE(2013,5,1) + TIME(22,23,10)</f>
        <v>41395.932754629626</v>
      </c>
      <c r="C1446">
        <v>80</v>
      </c>
      <c r="D1446">
        <v>74.608024596999996</v>
      </c>
      <c r="E1446">
        <v>50</v>
      </c>
      <c r="F1446">
        <v>49.863071441999999</v>
      </c>
      <c r="G1446">
        <v>1390.534668</v>
      </c>
      <c r="H1446">
        <v>1375.0072021000001</v>
      </c>
      <c r="I1446">
        <v>1288.8076172000001</v>
      </c>
      <c r="J1446">
        <v>1269.7285156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1096.9903830000001</v>
      </c>
      <c r="B1447" s="1">
        <f>DATE(2013,5,1) + TIME(23,46,9)</f>
        <v>41395.990381944444</v>
      </c>
      <c r="C1447">
        <v>80</v>
      </c>
      <c r="D1447">
        <v>75.009094238000003</v>
      </c>
      <c r="E1447">
        <v>50</v>
      </c>
      <c r="F1447">
        <v>49.857654572000001</v>
      </c>
      <c r="G1447">
        <v>1390.4112548999999</v>
      </c>
      <c r="H1447">
        <v>1374.9544678</v>
      </c>
      <c r="I1447">
        <v>1288.8071289</v>
      </c>
      <c r="J1447">
        <v>1269.7271728999999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1097.051003</v>
      </c>
      <c r="B1448" s="1">
        <f>DATE(2013,5,2) + TIME(1,13,26)</f>
        <v>41396.050995370373</v>
      </c>
      <c r="C1448">
        <v>80</v>
      </c>
      <c r="D1448">
        <v>75.397773743000002</v>
      </c>
      <c r="E1448">
        <v>50</v>
      </c>
      <c r="F1448">
        <v>49.852024077999999</v>
      </c>
      <c r="G1448">
        <v>1390.2902832</v>
      </c>
      <c r="H1448">
        <v>1374.9016113</v>
      </c>
      <c r="I1448">
        <v>1288.8066406</v>
      </c>
      <c r="J1448">
        <v>1269.7257079999999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1097.1149579999999</v>
      </c>
      <c r="B1449" s="1">
        <f>DATE(2013,5,2) + TIME(2,45,32)</f>
        <v>41396.114953703705</v>
      </c>
      <c r="C1449">
        <v>80</v>
      </c>
      <c r="D1449">
        <v>75.774078368999994</v>
      </c>
      <c r="E1449">
        <v>50</v>
      </c>
      <c r="F1449">
        <v>49.846149445000002</v>
      </c>
      <c r="G1449">
        <v>1390.1712646000001</v>
      </c>
      <c r="H1449">
        <v>1374.8481445</v>
      </c>
      <c r="I1449">
        <v>1288.8060303</v>
      </c>
      <c r="J1449">
        <v>1269.7241211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1097.1826370000001</v>
      </c>
      <c r="B1450" s="1">
        <f>DATE(2013,5,2) + TIME(4,22,59)</f>
        <v>41396.182627314818</v>
      </c>
      <c r="C1450">
        <v>80</v>
      </c>
      <c r="D1450">
        <v>76.137748717999997</v>
      </c>
      <c r="E1450">
        <v>50</v>
      </c>
      <c r="F1450">
        <v>49.840007782000001</v>
      </c>
      <c r="G1450">
        <v>1390.0540771000001</v>
      </c>
      <c r="H1450">
        <v>1374.7941894999999</v>
      </c>
      <c r="I1450">
        <v>1288.8052978999999</v>
      </c>
      <c r="J1450">
        <v>1269.7225341999999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1097.2545009999999</v>
      </c>
      <c r="B1451" s="1">
        <f>DATE(2013,5,2) + TIME(6,6,28)</f>
        <v>41396.254490740743</v>
      </c>
      <c r="C1451">
        <v>80</v>
      </c>
      <c r="D1451">
        <v>76.488456725999995</v>
      </c>
      <c r="E1451">
        <v>50</v>
      </c>
      <c r="F1451">
        <v>49.833564758000001</v>
      </c>
      <c r="G1451">
        <v>1389.9384766000001</v>
      </c>
      <c r="H1451">
        <v>1374.7395019999999</v>
      </c>
      <c r="I1451">
        <v>1288.8045654</v>
      </c>
      <c r="J1451">
        <v>1269.7208252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1097.3310839999999</v>
      </c>
      <c r="B1452" s="1">
        <f>DATE(2013,5,2) + TIME(7,56,45)</f>
        <v>41396.331076388888</v>
      </c>
      <c r="C1452">
        <v>80</v>
      </c>
      <c r="D1452">
        <v>76.825828552000004</v>
      </c>
      <c r="E1452">
        <v>50</v>
      </c>
      <c r="F1452">
        <v>49.826782227000002</v>
      </c>
      <c r="G1452">
        <v>1389.8242187999999</v>
      </c>
      <c r="H1452">
        <v>1374.6837158000001</v>
      </c>
      <c r="I1452">
        <v>1288.8037108999999</v>
      </c>
      <c r="J1452">
        <v>1269.7189940999999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1097.413063</v>
      </c>
      <c r="B1453" s="1">
        <f>DATE(2013,5,2) + TIME(9,54,48)</f>
        <v>41396.413055555553</v>
      </c>
      <c r="C1453">
        <v>80</v>
      </c>
      <c r="D1453">
        <v>77.149574279999996</v>
      </c>
      <c r="E1453">
        <v>50</v>
      </c>
      <c r="F1453">
        <v>49.819618224999999</v>
      </c>
      <c r="G1453">
        <v>1389.7109375</v>
      </c>
      <c r="H1453">
        <v>1374.6265868999999</v>
      </c>
      <c r="I1453">
        <v>1288.8026123</v>
      </c>
      <c r="J1453">
        <v>1269.7170410000001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1097.5012429999999</v>
      </c>
      <c r="B1454" s="1">
        <f>DATE(2013,5,2) + TIME(12,1,47)</f>
        <v>41396.501238425924</v>
      </c>
      <c r="C1454">
        <v>80</v>
      </c>
      <c r="D1454">
        <v>77.459281920999999</v>
      </c>
      <c r="E1454">
        <v>50</v>
      </c>
      <c r="F1454">
        <v>49.812015533</v>
      </c>
      <c r="G1454">
        <v>1389.5982666</v>
      </c>
      <c r="H1454">
        <v>1374.5679932</v>
      </c>
      <c r="I1454">
        <v>1288.8015137</v>
      </c>
      <c r="J1454">
        <v>1269.7149658000001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1097.5966229999999</v>
      </c>
      <c r="B1455" s="1">
        <f>DATE(2013,5,2) + TIME(14,19,8)</f>
        <v>41396.596620370372</v>
      </c>
      <c r="C1455">
        <v>80</v>
      </c>
      <c r="D1455">
        <v>77.754524231000005</v>
      </c>
      <c r="E1455">
        <v>50</v>
      </c>
      <c r="F1455">
        <v>49.803901672000002</v>
      </c>
      <c r="G1455">
        <v>1389.4859618999999</v>
      </c>
      <c r="H1455">
        <v>1374.5074463000001</v>
      </c>
      <c r="I1455">
        <v>1288.8001709</v>
      </c>
      <c r="J1455">
        <v>1269.7127685999999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1097.7004529999999</v>
      </c>
      <c r="B1456" s="1">
        <f>DATE(2013,5,2) + TIME(16,48,39)</f>
        <v>41396.70045138889</v>
      </c>
      <c r="C1456">
        <v>80</v>
      </c>
      <c r="D1456">
        <v>78.034812927000004</v>
      </c>
      <c r="E1456">
        <v>50</v>
      </c>
      <c r="F1456">
        <v>49.795200348000002</v>
      </c>
      <c r="G1456">
        <v>1389.3734131000001</v>
      </c>
      <c r="H1456">
        <v>1374.4445800999999</v>
      </c>
      <c r="I1456">
        <v>1288.7987060999999</v>
      </c>
      <c r="J1456">
        <v>1269.7103271000001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1097.814392</v>
      </c>
      <c r="B1457" s="1">
        <f>DATE(2013,5,2) + TIME(19,32,43)</f>
        <v>41396.814386574071</v>
      </c>
      <c r="C1457">
        <v>80</v>
      </c>
      <c r="D1457">
        <v>78.299728393999999</v>
      </c>
      <c r="E1457">
        <v>50</v>
      </c>
      <c r="F1457">
        <v>49.785793304000002</v>
      </c>
      <c r="G1457">
        <v>1389.260376</v>
      </c>
      <c r="H1457">
        <v>1374.3791504000001</v>
      </c>
      <c r="I1457">
        <v>1288.7969971</v>
      </c>
      <c r="J1457">
        <v>1269.7077637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1097.9289550000001</v>
      </c>
      <c r="B1458" s="1">
        <f>DATE(2013,5,2) + TIME(22,17,41)</f>
        <v>41396.928946759261</v>
      </c>
      <c r="C1458">
        <v>80</v>
      </c>
      <c r="D1458">
        <v>78.528984070000007</v>
      </c>
      <c r="E1458">
        <v>50</v>
      </c>
      <c r="F1458">
        <v>49.776382446</v>
      </c>
      <c r="G1458">
        <v>1389.1545410000001</v>
      </c>
      <c r="H1458">
        <v>1374.3143310999999</v>
      </c>
      <c r="I1458">
        <v>1288.7951660000001</v>
      </c>
      <c r="J1458">
        <v>1269.7049560999999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1098.044065</v>
      </c>
      <c r="B1459" s="1">
        <f>DATE(2013,5,3) + TIME(1,3,27)</f>
        <v>41397.044062499997</v>
      </c>
      <c r="C1459">
        <v>80</v>
      </c>
      <c r="D1459">
        <v>78.727096558</v>
      </c>
      <c r="E1459">
        <v>50</v>
      </c>
      <c r="F1459">
        <v>49.766963959000002</v>
      </c>
      <c r="G1459">
        <v>1389.0554199000001</v>
      </c>
      <c r="H1459">
        <v>1374.2515868999999</v>
      </c>
      <c r="I1459">
        <v>1288.7930908000001</v>
      </c>
      <c r="J1459">
        <v>1269.7021483999999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1098.1600960000001</v>
      </c>
      <c r="B1460" s="1">
        <f>DATE(2013,5,3) + TIME(3,50,32)</f>
        <v>41397.160092592596</v>
      </c>
      <c r="C1460">
        <v>80</v>
      </c>
      <c r="D1460">
        <v>78.898658752000003</v>
      </c>
      <c r="E1460">
        <v>50</v>
      </c>
      <c r="F1460">
        <v>49.757514954000001</v>
      </c>
      <c r="G1460">
        <v>1388.9620361</v>
      </c>
      <c r="H1460">
        <v>1374.1905518000001</v>
      </c>
      <c r="I1460">
        <v>1288.7910156</v>
      </c>
      <c r="J1460">
        <v>1269.6993408000001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1098.277388</v>
      </c>
      <c r="B1461" s="1">
        <f>DATE(2013,5,3) + TIME(6,39,26)</f>
        <v>41397.277384259258</v>
      </c>
      <c r="C1461">
        <v>80</v>
      </c>
      <c r="D1461">
        <v>79.047431946000003</v>
      </c>
      <c r="E1461">
        <v>50</v>
      </c>
      <c r="F1461">
        <v>49.748012543000002</v>
      </c>
      <c r="G1461">
        <v>1388.8735352000001</v>
      </c>
      <c r="H1461">
        <v>1374.1309814000001</v>
      </c>
      <c r="I1461">
        <v>1288.7889404</v>
      </c>
      <c r="J1461">
        <v>1269.6964111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1098.396311</v>
      </c>
      <c r="B1462" s="1">
        <f>DATE(2013,5,3) + TIME(9,30,41)</f>
        <v>41397.396307870367</v>
      </c>
      <c r="C1462">
        <v>80</v>
      </c>
      <c r="D1462">
        <v>79.176574707</v>
      </c>
      <c r="E1462">
        <v>50</v>
      </c>
      <c r="F1462">
        <v>49.738426208</v>
      </c>
      <c r="G1462">
        <v>1388.7891846</v>
      </c>
      <c r="H1462">
        <v>1374.0727539</v>
      </c>
      <c r="I1462">
        <v>1288.7866211</v>
      </c>
      <c r="J1462">
        <v>1269.6936035000001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1098.517139</v>
      </c>
      <c r="B1463" s="1">
        <f>DATE(2013,5,3) + TIME(12,24,40)</f>
        <v>41397.517129629632</v>
      </c>
      <c r="C1463">
        <v>80</v>
      </c>
      <c r="D1463">
        <v>79.288665770999998</v>
      </c>
      <c r="E1463">
        <v>50</v>
      </c>
      <c r="F1463">
        <v>49.728736877000003</v>
      </c>
      <c r="G1463">
        <v>1388.708374</v>
      </c>
      <c r="H1463">
        <v>1374.0155029</v>
      </c>
      <c r="I1463">
        <v>1288.7844238</v>
      </c>
      <c r="J1463">
        <v>1269.6906738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1098.6401969999999</v>
      </c>
      <c r="B1464" s="1">
        <f>DATE(2013,5,3) + TIME(15,21,53)</f>
        <v>41397.640196759261</v>
      </c>
      <c r="C1464">
        <v>80</v>
      </c>
      <c r="D1464">
        <v>79.385948181000003</v>
      </c>
      <c r="E1464">
        <v>50</v>
      </c>
      <c r="F1464">
        <v>49.718925476000003</v>
      </c>
      <c r="G1464">
        <v>1388.6307373</v>
      </c>
      <c r="H1464">
        <v>1373.9592285000001</v>
      </c>
      <c r="I1464">
        <v>1288.7819824000001</v>
      </c>
      <c r="J1464">
        <v>1269.6876221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1098.765821</v>
      </c>
      <c r="B1465" s="1">
        <f>DATE(2013,5,3) + TIME(18,22,46)</f>
        <v>41397.765810185185</v>
      </c>
      <c r="C1465">
        <v>80</v>
      </c>
      <c r="D1465">
        <v>79.470314025999997</v>
      </c>
      <c r="E1465">
        <v>50</v>
      </c>
      <c r="F1465">
        <v>49.708961487000003</v>
      </c>
      <c r="G1465">
        <v>1388.5557861</v>
      </c>
      <c r="H1465">
        <v>1373.9035644999999</v>
      </c>
      <c r="I1465">
        <v>1288.7795410000001</v>
      </c>
      <c r="J1465">
        <v>1269.6845702999999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1098.89436</v>
      </c>
      <c r="B1466" s="1">
        <f>DATE(2013,5,3) + TIME(21,27,52)</f>
        <v>41397.89435185185</v>
      </c>
      <c r="C1466">
        <v>80</v>
      </c>
      <c r="D1466">
        <v>79.543426514000004</v>
      </c>
      <c r="E1466">
        <v>50</v>
      </c>
      <c r="F1466">
        <v>49.698825835999997</v>
      </c>
      <c r="G1466">
        <v>1388.4830322</v>
      </c>
      <c r="H1466">
        <v>1373.8486327999999</v>
      </c>
      <c r="I1466">
        <v>1288.7770995999999</v>
      </c>
      <c r="J1466">
        <v>1269.6815185999999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1099.0261869999999</v>
      </c>
      <c r="B1467" s="1">
        <f>DATE(2013,5,4) + TIME(0,37,42)</f>
        <v>41398.026180555556</v>
      </c>
      <c r="C1467">
        <v>80</v>
      </c>
      <c r="D1467">
        <v>79.606681824000006</v>
      </c>
      <c r="E1467">
        <v>50</v>
      </c>
      <c r="F1467">
        <v>49.688491821</v>
      </c>
      <c r="G1467">
        <v>1388.4122314000001</v>
      </c>
      <c r="H1467">
        <v>1373.7941894999999</v>
      </c>
      <c r="I1467">
        <v>1288.7744141000001</v>
      </c>
      <c r="J1467">
        <v>1269.6783447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1099.1617020000001</v>
      </c>
      <c r="B1468" s="1">
        <f>DATE(2013,5,4) + TIME(3,52,51)</f>
        <v>41398.16170138889</v>
      </c>
      <c r="C1468">
        <v>80</v>
      </c>
      <c r="D1468">
        <v>79.661323546999995</v>
      </c>
      <c r="E1468">
        <v>50</v>
      </c>
      <c r="F1468">
        <v>49.677928925000003</v>
      </c>
      <c r="G1468">
        <v>1388.3428954999999</v>
      </c>
      <c r="H1468">
        <v>1373.7401123</v>
      </c>
      <c r="I1468">
        <v>1288.7717285000001</v>
      </c>
      <c r="J1468">
        <v>1269.6750488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1099.3013410000001</v>
      </c>
      <c r="B1469" s="1">
        <f>DATE(2013,5,4) + TIME(7,13,55)</f>
        <v>41398.30133101852</v>
      </c>
      <c r="C1469">
        <v>80</v>
      </c>
      <c r="D1469">
        <v>79.708419800000001</v>
      </c>
      <c r="E1469">
        <v>50</v>
      </c>
      <c r="F1469">
        <v>49.667114257999998</v>
      </c>
      <c r="G1469">
        <v>1388.2750243999999</v>
      </c>
      <c r="H1469">
        <v>1373.6862793</v>
      </c>
      <c r="I1469">
        <v>1288.769043</v>
      </c>
      <c r="J1469">
        <v>1269.6717529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1099.4455809999999</v>
      </c>
      <c r="B1470" s="1">
        <f>DATE(2013,5,4) + TIME(10,41,38)</f>
        <v>41398.4455787037</v>
      </c>
      <c r="C1470">
        <v>80</v>
      </c>
      <c r="D1470">
        <v>79.748908997000001</v>
      </c>
      <c r="E1470">
        <v>50</v>
      </c>
      <c r="F1470">
        <v>49.656013489000003</v>
      </c>
      <c r="G1470">
        <v>1388.2081298999999</v>
      </c>
      <c r="H1470">
        <v>1373.6325684000001</v>
      </c>
      <c r="I1470">
        <v>1288.7661132999999</v>
      </c>
      <c r="J1470">
        <v>1269.6683350000001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1099.5949539999999</v>
      </c>
      <c r="B1471" s="1">
        <f>DATE(2013,5,4) + TIME(14,16,44)</f>
        <v>41398.594953703701</v>
      </c>
      <c r="C1471">
        <v>80</v>
      </c>
      <c r="D1471">
        <v>79.783615112000007</v>
      </c>
      <c r="E1471">
        <v>50</v>
      </c>
      <c r="F1471">
        <v>49.644588470000002</v>
      </c>
      <c r="G1471">
        <v>1388.1419678</v>
      </c>
      <c r="H1471">
        <v>1373.5787353999999</v>
      </c>
      <c r="I1471">
        <v>1288.7631836</v>
      </c>
      <c r="J1471">
        <v>1269.6646728999999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1099.750147</v>
      </c>
      <c r="B1472" s="1">
        <f>DATE(2013,5,4) + TIME(18,0,12)</f>
        <v>41398.750138888892</v>
      </c>
      <c r="C1472">
        <v>80</v>
      </c>
      <c r="D1472">
        <v>79.813278198000006</v>
      </c>
      <c r="E1472">
        <v>50</v>
      </c>
      <c r="F1472">
        <v>49.632797240999999</v>
      </c>
      <c r="G1472">
        <v>1388.0764160000001</v>
      </c>
      <c r="H1472">
        <v>1373.5249022999999</v>
      </c>
      <c r="I1472">
        <v>1288.7600098</v>
      </c>
      <c r="J1472">
        <v>1269.6610106999999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1099.9117699999999</v>
      </c>
      <c r="B1473" s="1">
        <f>DATE(2013,5,4) + TIME(21,52,56)</f>
        <v>41398.911759259259</v>
      </c>
      <c r="C1473">
        <v>80</v>
      </c>
      <c r="D1473">
        <v>79.838523864999999</v>
      </c>
      <c r="E1473">
        <v>50</v>
      </c>
      <c r="F1473">
        <v>49.620601653999998</v>
      </c>
      <c r="G1473">
        <v>1388.0111084</v>
      </c>
      <c r="H1473">
        <v>1373.4707031</v>
      </c>
      <c r="I1473">
        <v>1288.7568358999999</v>
      </c>
      <c r="J1473">
        <v>1269.6572266000001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1100.0805829999999</v>
      </c>
      <c r="B1474" s="1">
        <f>DATE(2013,5,5) + TIME(1,56,2)</f>
        <v>41399.080578703702</v>
      </c>
      <c r="C1474">
        <v>80</v>
      </c>
      <c r="D1474">
        <v>79.859916686999995</v>
      </c>
      <c r="E1474">
        <v>50</v>
      </c>
      <c r="F1474">
        <v>49.607952118</v>
      </c>
      <c r="G1474">
        <v>1387.9459228999999</v>
      </c>
      <c r="H1474">
        <v>1373.4161377</v>
      </c>
      <c r="I1474">
        <v>1288.7535399999999</v>
      </c>
      <c r="J1474">
        <v>1269.6531981999999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1100.2573640000001</v>
      </c>
      <c r="B1475" s="1">
        <f>DATE(2013,5,5) + TIME(6,10,36)</f>
        <v>41399.257361111115</v>
      </c>
      <c r="C1475">
        <v>80</v>
      </c>
      <c r="D1475">
        <v>79.877944946</v>
      </c>
      <c r="E1475">
        <v>50</v>
      </c>
      <c r="F1475">
        <v>49.594799041999998</v>
      </c>
      <c r="G1475">
        <v>1387.8804932</v>
      </c>
      <c r="H1475">
        <v>1373.3610839999999</v>
      </c>
      <c r="I1475">
        <v>1288.75</v>
      </c>
      <c r="J1475">
        <v>1269.6490478999999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1100.4406770000001</v>
      </c>
      <c r="B1476" s="1">
        <f>DATE(2013,5,5) + TIME(10,34,34)</f>
        <v>41399.440671296295</v>
      </c>
      <c r="C1476">
        <v>80</v>
      </c>
      <c r="D1476">
        <v>79.892898560000006</v>
      </c>
      <c r="E1476">
        <v>50</v>
      </c>
      <c r="F1476">
        <v>49.581230163999997</v>
      </c>
      <c r="G1476">
        <v>1387.8148193</v>
      </c>
      <c r="H1476">
        <v>1373.3052978999999</v>
      </c>
      <c r="I1476">
        <v>1288.7463379000001</v>
      </c>
      <c r="J1476">
        <v>1269.6446533000001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1100.6314239999999</v>
      </c>
      <c r="B1477" s="1">
        <f>DATE(2013,5,5) + TIME(15,9,15)</f>
        <v>41399.631423611114</v>
      </c>
      <c r="C1477">
        <v>80</v>
      </c>
      <c r="D1477">
        <v>79.905258179</v>
      </c>
      <c r="E1477">
        <v>50</v>
      </c>
      <c r="F1477">
        <v>49.567188262999998</v>
      </c>
      <c r="G1477">
        <v>1387.7492675999999</v>
      </c>
      <c r="H1477">
        <v>1373.2495117000001</v>
      </c>
      <c r="I1477">
        <v>1288.7425536999999</v>
      </c>
      <c r="J1477">
        <v>1269.6400146000001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1100.830379</v>
      </c>
      <c r="B1478" s="1">
        <f>DATE(2013,5,5) + TIME(19,55,44)</f>
        <v>41399.830370370371</v>
      </c>
      <c r="C1478">
        <v>80</v>
      </c>
      <c r="D1478">
        <v>79.915428161999998</v>
      </c>
      <c r="E1478">
        <v>50</v>
      </c>
      <c r="F1478">
        <v>49.552631378000001</v>
      </c>
      <c r="G1478">
        <v>1387.6835937999999</v>
      </c>
      <c r="H1478">
        <v>1373.1932373</v>
      </c>
      <c r="I1478">
        <v>1288.7386475000001</v>
      </c>
      <c r="J1478">
        <v>1269.635376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1101.03844</v>
      </c>
      <c r="B1479" s="1">
        <f>DATE(2013,5,6) + TIME(0,55,21)</f>
        <v>41400.038437499999</v>
      </c>
      <c r="C1479">
        <v>80</v>
      </c>
      <c r="D1479">
        <v>79.923751831000004</v>
      </c>
      <c r="E1479">
        <v>50</v>
      </c>
      <c r="F1479">
        <v>49.537502289000003</v>
      </c>
      <c r="G1479">
        <v>1387.6176757999999</v>
      </c>
      <c r="H1479">
        <v>1373.1365966999999</v>
      </c>
      <c r="I1479">
        <v>1288.7344971</v>
      </c>
      <c r="J1479">
        <v>1269.6303711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1101.2566850000001</v>
      </c>
      <c r="B1480" s="1">
        <f>DATE(2013,5,6) + TIME(6,9,37)</f>
        <v>41400.256678240738</v>
      </c>
      <c r="C1480">
        <v>80</v>
      </c>
      <c r="D1480">
        <v>79.930526732999994</v>
      </c>
      <c r="E1480">
        <v>50</v>
      </c>
      <c r="F1480">
        <v>49.521736144999998</v>
      </c>
      <c r="G1480">
        <v>1387.5512695</v>
      </c>
      <c r="H1480">
        <v>1373.0793457</v>
      </c>
      <c r="I1480">
        <v>1288.7302245999999</v>
      </c>
      <c r="J1480">
        <v>1269.6252440999999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1101.4863680000001</v>
      </c>
      <c r="B1481" s="1">
        <f>DATE(2013,5,6) + TIME(11,40,22)</f>
        <v>41400.48636574074</v>
      </c>
      <c r="C1481">
        <v>80</v>
      </c>
      <c r="D1481">
        <v>79.936019896999994</v>
      </c>
      <c r="E1481">
        <v>50</v>
      </c>
      <c r="F1481">
        <v>49.505260468000003</v>
      </c>
      <c r="G1481">
        <v>1387.4841309000001</v>
      </c>
      <c r="H1481">
        <v>1373.0213623</v>
      </c>
      <c r="I1481">
        <v>1288.7257079999999</v>
      </c>
      <c r="J1481">
        <v>1269.619751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1101.7226889999999</v>
      </c>
      <c r="B1482" s="1">
        <f>DATE(2013,5,6) + TIME(17,20,40)</f>
        <v>41400.722685185188</v>
      </c>
      <c r="C1482">
        <v>80</v>
      </c>
      <c r="D1482">
        <v>79.940345764</v>
      </c>
      <c r="E1482">
        <v>50</v>
      </c>
      <c r="F1482">
        <v>49.488338470000002</v>
      </c>
      <c r="G1482">
        <v>1387.4161377</v>
      </c>
      <c r="H1482">
        <v>1372.9624022999999</v>
      </c>
      <c r="I1482">
        <v>1288.7209473</v>
      </c>
      <c r="J1482">
        <v>1269.6141356999999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1101.9604220000001</v>
      </c>
      <c r="B1483" s="1">
        <f>DATE(2013,5,6) + TIME(23,3,0)</f>
        <v>41400.960416666669</v>
      </c>
      <c r="C1483">
        <v>80</v>
      </c>
      <c r="D1483">
        <v>79.943695067999997</v>
      </c>
      <c r="E1483">
        <v>50</v>
      </c>
      <c r="F1483">
        <v>49.471271514999998</v>
      </c>
      <c r="G1483">
        <v>1387.3486327999999</v>
      </c>
      <c r="H1483">
        <v>1372.9038086</v>
      </c>
      <c r="I1483">
        <v>1288.7160644999999</v>
      </c>
      <c r="J1483">
        <v>1269.6082764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1102.2003669999999</v>
      </c>
      <c r="B1484" s="1">
        <f>DATE(2013,5,7) + TIME(4,48,31)</f>
        <v>41401.200358796297</v>
      </c>
      <c r="C1484">
        <v>80</v>
      </c>
      <c r="D1484">
        <v>79.946304321</v>
      </c>
      <c r="E1484">
        <v>50</v>
      </c>
      <c r="F1484">
        <v>49.454036713000001</v>
      </c>
      <c r="G1484">
        <v>1387.2829589999999</v>
      </c>
      <c r="H1484">
        <v>1372.8469238</v>
      </c>
      <c r="I1484">
        <v>1288.7111815999999</v>
      </c>
      <c r="J1484">
        <v>1269.6022949000001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1102.4432850000001</v>
      </c>
      <c r="B1485" s="1">
        <f>DATE(2013,5,7) + TIME(10,38,19)</f>
        <v>41401.44327546296</v>
      </c>
      <c r="C1485">
        <v>80</v>
      </c>
      <c r="D1485">
        <v>79.948333739999995</v>
      </c>
      <c r="E1485">
        <v>50</v>
      </c>
      <c r="F1485">
        <v>49.436611176</v>
      </c>
      <c r="G1485">
        <v>1387.2189940999999</v>
      </c>
      <c r="H1485">
        <v>1372.7912598</v>
      </c>
      <c r="I1485">
        <v>1288.7061768000001</v>
      </c>
      <c r="J1485">
        <v>1269.5963135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1102.6899309999999</v>
      </c>
      <c r="B1486" s="1">
        <f>DATE(2013,5,7) + TIME(16,33,30)</f>
        <v>41401.689930555556</v>
      </c>
      <c r="C1486">
        <v>80</v>
      </c>
      <c r="D1486">
        <v>79.949935913000004</v>
      </c>
      <c r="E1486">
        <v>50</v>
      </c>
      <c r="F1486">
        <v>49.418964385999999</v>
      </c>
      <c r="G1486">
        <v>1387.1561279</v>
      </c>
      <c r="H1486">
        <v>1372.7366943</v>
      </c>
      <c r="I1486">
        <v>1288.7011719</v>
      </c>
      <c r="J1486">
        <v>1269.590332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1102.941071</v>
      </c>
      <c r="B1487" s="1">
        <f>DATE(2013,5,7) + TIME(22,35,8)</f>
        <v>41401.941064814811</v>
      </c>
      <c r="C1487">
        <v>80</v>
      </c>
      <c r="D1487">
        <v>79.951194763000004</v>
      </c>
      <c r="E1487">
        <v>50</v>
      </c>
      <c r="F1487">
        <v>49.401058196999998</v>
      </c>
      <c r="G1487">
        <v>1387.0943603999999</v>
      </c>
      <c r="H1487">
        <v>1372.6829834</v>
      </c>
      <c r="I1487">
        <v>1288.6961670000001</v>
      </c>
      <c r="J1487">
        <v>1269.5841064000001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1103.1975010000001</v>
      </c>
      <c r="B1488" s="1">
        <f>DATE(2013,5,8) + TIME(4,44,24)</f>
        <v>41402.197500000002</v>
      </c>
      <c r="C1488">
        <v>80</v>
      </c>
      <c r="D1488">
        <v>79.952194214000002</v>
      </c>
      <c r="E1488">
        <v>50</v>
      </c>
      <c r="F1488">
        <v>49.382854461999997</v>
      </c>
      <c r="G1488">
        <v>1387.0333252</v>
      </c>
      <c r="H1488">
        <v>1372.6298827999999</v>
      </c>
      <c r="I1488">
        <v>1288.6910399999999</v>
      </c>
      <c r="J1488">
        <v>1269.5778809000001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1103.460061</v>
      </c>
      <c r="B1489" s="1">
        <f>DATE(2013,5,8) + TIME(11,2,29)</f>
        <v>41402.460057870368</v>
      </c>
      <c r="C1489">
        <v>80</v>
      </c>
      <c r="D1489">
        <v>79.952987671000002</v>
      </c>
      <c r="E1489">
        <v>50</v>
      </c>
      <c r="F1489">
        <v>49.364307404000002</v>
      </c>
      <c r="G1489">
        <v>1386.9729004000001</v>
      </c>
      <c r="H1489">
        <v>1372.5773925999999</v>
      </c>
      <c r="I1489">
        <v>1288.6857910000001</v>
      </c>
      <c r="J1489">
        <v>1269.5714111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1103.7296590000001</v>
      </c>
      <c r="B1490" s="1">
        <f>DATE(2013,5,8) + TIME(17,30,42)</f>
        <v>41402.72965277778</v>
      </c>
      <c r="C1490">
        <v>80</v>
      </c>
      <c r="D1490">
        <v>79.953628539999997</v>
      </c>
      <c r="E1490">
        <v>50</v>
      </c>
      <c r="F1490">
        <v>49.345367432000003</v>
      </c>
      <c r="G1490">
        <v>1386.9127197</v>
      </c>
      <c r="H1490">
        <v>1372.5251464999999</v>
      </c>
      <c r="I1490">
        <v>1288.6804199000001</v>
      </c>
      <c r="J1490">
        <v>1269.5648193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1104.0074090000001</v>
      </c>
      <c r="B1491" s="1">
        <f>DATE(2013,5,9) + TIME(0,10,40)</f>
        <v>41403.007407407407</v>
      </c>
      <c r="C1491">
        <v>80</v>
      </c>
      <c r="D1491">
        <v>79.954139709000003</v>
      </c>
      <c r="E1491">
        <v>50</v>
      </c>
      <c r="F1491">
        <v>49.325973511000001</v>
      </c>
      <c r="G1491">
        <v>1386.8527832</v>
      </c>
      <c r="H1491">
        <v>1372.4730225000001</v>
      </c>
      <c r="I1491">
        <v>1288.6749268000001</v>
      </c>
      <c r="J1491">
        <v>1269.5581055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1104.294367</v>
      </c>
      <c r="B1492" s="1">
        <f>DATE(2013,5,9) + TIME(7,3,53)</f>
        <v>41403.294363425928</v>
      </c>
      <c r="C1492">
        <v>80</v>
      </c>
      <c r="D1492">
        <v>79.954559325999995</v>
      </c>
      <c r="E1492">
        <v>50</v>
      </c>
      <c r="F1492">
        <v>49.306064606</v>
      </c>
      <c r="G1492">
        <v>1386.7927245999999</v>
      </c>
      <c r="H1492">
        <v>1372.4207764</v>
      </c>
      <c r="I1492">
        <v>1288.6693115</v>
      </c>
      <c r="J1492">
        <v>1269.5511475000001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1104.5895760000001</v>
      </c>
      <c r="B1493" s="1">
        <f>DATE(2013,5,9) + TIME(14,8,59)</f>
        <v>41403.589571759258</v>
      </c>
      <c r="C1493">
        <v>80</v>
      </c>
      <c r="D1493">
        <v>79.954895019999995</v>
      </c>
      <c r="E1493">
        <v>50</v>
      </c>
      <c r="F1493">
        <v>49.285678863999998</v>
      </c>
      <c r="G1493">
        <v>1386.7324219</v>
      </c>
      <c r="H1493">
        <v>1372.3684082</v>
      </c>
      <c r="I1493">
        <v>1288.6634521000001</v>
      </c>
      <c r="J1493">
        <v>1269.5439452999999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1104.8915890000001</v>
      </c>
      <c r="B1494" s="1">
        <f>DATE(2013,5,9) + TIME(21,23,53)</f>
        <v>41403.891585648147</v>
      </c>
      <c r="C1494">
        <v>80</v>
      </c>
      <c r="D1494">
        <v>79.955162048000005</v>
      </c>
      <c r="E1494">
        <v>50</v>
      </c>
      <c r="F1494">
        <v>49.264892578000001</v>
      </c>
      <c r="G1494">
        <v>1386.6721190999999</v>
      </c>
      <c r="H1494">
        <v>1372.315918</v>
      </c>
      <c r="I1494">
        <v>1288.6573486</v>
      </c>
      <c r="J1494">
        <v>1269.536499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1105.2013380000001</v>
      </c>
      <c r="B1495" s="1">
        <f>DATE(2013,5,10) + TIME(4,49,55)</f>
        <v>41404.201331018521</v>
      </c>
      <c r="C1495">
        <v>80</v>
      </c>
      <c r="D1495">
        <v>79.955383300999998</v>
      </c>
      <c r="E1495">
        <v>50</v>
      </c>
      <c r="F1495">
        <v>49.243663787999999</v>
      </c>
      <c r="G1495">
        <v>1386.6121826000001</v>
      </c>
      <c r="H1495">
        <v>1372.2637939000001</v>
      </c>
      <c r="I1495">
        <v>1288.6512451000001</v>
      </c>
      <c r="J1495">
        <v>1269.5289307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1105.5197889999999</v>
      </c>
      <c r="B1496" s="1">
        <f>DATE(2013,5,10) + TIME(12,28,29)</f>
        <v>41404.519780092596</v>
      </c>
      <c r="C1496">
        <v>80</v>
      </c>
      <c r="D1496">
        <v>79.955566406000003</v>
      </c>
      <c r="E1496">
        <v>50</v>
      </c>
      <c r="F1496">
        <v>49.221942902000002</v>
      </c>
      <c r="G1496">
        <v>1386.5522461</v>
      </c>
      <c r="H1496">
        <v>1372.2117920000001</v>
      </c>
      <c r="I1496">
        <v>1288.6448975000001</v>
      </c>
      <c r="J1496">
        <v>1269.5211182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1105.848011</v>
      </c>
      <c r="B1497" s="1">
        <f>DATE(2013,5,10) + TIME(20,21,8)</f>
        <v>41404.848009259258</v>
      </c>
      <c r="C1497">
        <v>80</v>
      </c>
      <c r="D1497">
        <v>79.955718993999994</v>
      </c>
      <c r="E1497">
        <v>50</v>
      </c>
      <c r="F1497">
        <v>49.199676513999997</v>
      </c>
      <c r="G1497">
        <v>1386.4924315999999</v>
      </c>
      <c r="H1497">
        <v>1372.1597899999999</v>
      </c>
      <c r="I1497">
        <v>1288.6384277</v>
      </c>
      <c r="J1497">
        <v>1269.5131836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1106.187365</v>
      </c>
      <c r="B1498" s="1">
        <f>DATE(2013,5,11) + TIME(4,29,48)</f>
        <v>41405.187361111108</v>
      </c>
      <c r="C1498">
        <v>80</v>
      </c>
      <c r="D1498">
        <v>79.955841063999998</v>
      </c>
      <c r="E1498">
        <v>50</v>
      </c>
      <c r="F1498">
        <v>49.176792145</v>
      </c>
      <c r="G1498">
        <v>1386.4323730000001</v>
      </c>
      <c r="H1498">
        <v>1372.1075439000001</v>
      </c>
      <c r="I1498">
        <v>1288.6318358999999</v>
      </c>
      <c r="J1498">
        <v>1269.5048827999999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1106.5391090000001</v>
      </c>
      <c r="B1499" s="1">
        <f>DATE(2013,5,11) + TIME(12,56,19)</f>
        <v>41405.5391087963</v>
      </c>
      <c r="C1499">
        <v>80</v>
      </c>
      <c r="D1499">
        <v>79.955940247000001</v>
      </c>
      <c r="E1499">
        <v>50</v>
      </c>
      <c r="F1499">
        <v>49.153228759999998</v>
      </c>
      <c r="G1499">
        <v>1386.3718262</v>
      </c>
      <c r="H1499">
        <v>1372.0550536999999</v>
      </c>
      <c r="I1499">
        <v>1288.6248779</v>
      </c>
      <c r="J1499">
        <v>1269.4963379000001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1106.90473</v>
      </c>
      <c r="B1500" s="1">
        <f>DATE(2013,5,11) + TIME(21,42,48)</f>
        <v>41405.904722222222</v>
      </c>
      <c r="C1500">
        <v>80</v>
      </c>
      <c r="D1500">
        <v>79.956024170000006</v>
      </c>
      <c r="E1500">
        <v>50</v>
      </c>
      <c r="F1500">
        <v>49.128894805999998</v>
      </c>
      <c r="G1500">
        <v>1386.3109131000001</v>
      </c>
      <c r="H1500">
        <v>1372.0020752</v>
      </c>
      <c r="I1500">
        <v>1288.6177978999999</v>
      </c>
      <c r="J1500">
        <v>1269.4874268000001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1107.2833989999999</v>
      </c>
      <c r="B1501" s="1">
        <f>DATE(2013,5,12) + TIME(6,48,5)</f>
        <v>41406.283391203702</v>
      </c>
      <c r="C1501">
        <v>80</v>
      </c>
      <c r="D1501">
        <v>79.956092834000003</v>
      </c>
      <c r="E1501">
        <v>50</v>
      </c>
      <c r="F1501">
        <v>49.103824615000001</v>
      </c>
      <c r="G1501">
        <v>1386.2491454999999</v>
      </c>
      <c r="H1501">
        <v>1371.9484863</v>
      </c>
      <c r="I1501">
        <v>1288.6103516000001</v>
      </c>
      <c r="J1501">
        <v>1269.4781493999999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1107.664456</v>
      </c>
      <c r="B1502" s="1">
        <f>DATE(2013,5,12) + TIME(15,56,49)</f>
        <v>41406.664456018516</v>
      </c>
      <c r="C1502">
        <v>80</v>
      </c>
      <c r="D1502">
        <v>79.956146239999995</v>
      </c>
      <c r="E1502">
        <v>50</v>
      </c>
      <c r="F1502">
        <v>49.078491210999999</v>
      </c>
      <c r="G1502">
        <v>1386.1870117000001</v>
      </c>
      <c r="H1502">
        <v>1371.8944091999999</v>
      </c>
      <c r="I1502">
        <v>1288.6025391000001</v>
      </c>
      <c r="J1502">
        <v>1269.4686279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1108.0491179999999</v>
      </c>
      <c r="B1503" s="1">
        <f>DATE(2013,5,13) + TIME(1,10,43)</f>
        <v>41407.049108796295</v>
      </c>
      <c r="C1503">
        <v>80</v>
      </c>
      <c r="D1503">
        <v>79.956192017000006</v>
      </c>
      <c r="E1503">
        <v>50</v>
      </c>
      <c r="F1503">
        <v>49.052906036000003</v>
      </c>
      <c r="G1503">
        <v>1386.1260986</v>
      </c>
      <c r="H1503">
        <v>1371.8414307</v>
      </c>
      <c r="I1503">
        <v>1288.5947266000001</v>
      </c>
      <c r="J1503">
        <v>1269.4589844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1108.4385520000001</v>
      </c>
      <c r="B1504" s="1">
        <f>DATE(2013,5,13) + TIME(10,31,30)</f>
        <v>41407.43854166667</v>
      </c>
      <c r="C1504">
        <v>80</v>
      </c>
      <c r="D1504">
        <v>79.956230164000004</v>
      </c>
      <c r="E1504">
        <v>50</v>
      </c>
      <c r="F1504">
        <v>49.027057648000003</v>
      </c>
      <c r="G1504">
        <v>1386.0661620999999</v>
      </c>
      <c r="H1504">
        <v>1371.7893065999999</v>
      </c>
      <c r="I1504">
        <v>1288.5869141000001</v>
      </c>
      <c r="J1504">
        <v>1269.4492187999999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1108.83394</v>
      </c>
      <c r="B1505" s="1">
        <f>DATE(2013,5,13) + TIME(20,0,52)</f>
        <v>41407.833935185183</v>
      </c>
      <c r="C1505">
        <v>80</v>
      </c>
      <c r="D1505">
        <v>79.956253051999994</v>
      </c>
      <c r="E1505">
        <v>50</v>
      </c>
      <c r="F1505">
        <v>49.000904083000002</v>
      </c>
      <c r="G1505">
        <v>1386.0069579999999</v>
      </c>
      <c r="H1505">
        <v>1371.7379149999999</v>
      </c>
      <c r="I1505">
        <v>1288.5789795000001</v>
      </c>
      <c r="J1505">
        <v>1269.4392089999999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1109.2364990000001</v>
      </c>
      <c r="B1506" s="1">
        <f>DATE(2013,5,14) + TIME(5,40,33)</f>
        <v>41408.236493055556</v>
      </c>
      <c r="C1506">
        <v>80</v>
      </c>
      <c r="D1506">
        <v>79.956275939999998</v>
      </c>
      <c r="E1506">
        <v>50</v>
      </c>
      <c r="F1506">
        <v>48.974407196000001</v>
      </c>
      <c r="G1506">
        <v>1385.9483643000001</v>
      </c>
      <c r="H1506">
        <v>1371.6868896000001</v>
      </c>
      <c r="I1506">
        <v>1288.5708007999999</v>
      </c>
      <c r="J1506">
        <v>1269.4291992000001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1109.6475069999999</v>
      </c>
      <c r="B1507" s="1">
        <f>DATE(2013,5,14) + TIME(15,32,24)</f>
        <v>41408.647499999999</v>
      </c>
      <c r="C1507">
        <v>80</v>
      </c>
      <c r="D1507">
        <v>79.956291199000006</v>
      </c>
      <c r="E1507">
        <v>50</v>
      </c>
      <c r="F1507">
        <v>48.947498322000001</v>
      </c>
      <c r="G1507">
        <v>1385.8902588000001</v>
      </c>
      <c r="H1507">
        <v>1371.6363524999999</v>
      </c>
      <c r="I1507">
        <v>1288.5626221</v>
      </c>
      <c r="J1507">
        <v>1269.4188231999999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1110.068323</v>
      </c>
      <c r="B1508" s="1">
        <f>DATE(2013,5,15) + TIME(1,38,23)</f>
        <v>41409.06832175926</v>
      </c>
      <c r="C1508">
        <v>80</v>
      </c>
      <c r="D1508">
        <v>79.956306458</v>
      </c>
      <c r="E1508">
        <v>50</v>
      </c>
      <c r="F1508">
        <v>48.920120238999999</v>
      </c>
      <c r="G1508">
        <v>1385.8322754000001</v>
      </c>
      <c r="H1508">
        <v>1371.5858154</v>
      </c>
      <c r="I1508">
        <v>1288.5541992000001</v>
      </c>
      <c r="J1508">
        <v>1269.4083252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1110.500421</v>
      </c>
      <c r="B1509" s="1">
        <f>DATE(2013,5,15) + TIME(12,0,36)</f>
        <v>41409.500416666669</v>
      </c>
      <c r="C1509">
        <v>80</v>
      </c>
      <c r="D1509">
        <v>79.956314086999996</v>
      </c>
      <c r="E1509">
        <v>50</v>
      </c>
      <c r="F1509">
        <v>48.892192841000004</v>
      </c>
      <c r="G1509">
        <v>1385.7742920000001</v>
      </c>
      <c r="H1509">
        <v>1371.5352783000001</v>
      </c>
      <c r="I1509">
        <v>1288.5455322</v>
      </c>
      <c r="J1509">
        <v>1269.3974608999999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1110.9456740000001</v>
      </c>
      <c r="B1510" s="1">
        <f>DATE(2013,5,15) + TIME(22,41,46)</f>
        <v>41409.945671296293</v>
      </c>
      <c r="C1510">
        <v>80</v>
      </c>
      <c r="D1510">
        <v>79.956321716000005</v>
      </c>
      <c r="E1510">
        <v>50</v>
      </c>
      <c r="F1510">
        <v>48.863616942999997</v>
      </c>
      <c r="G1510">
        <v>1385.7161865</v>
      </c>
      <c r="H1510">
        <v>1371.4847411999999</v>
      </c>
      <c r="I1510">
        <v>1288.5367432</v>
      </c>
      <c r="J1510">
        <v>1269.3863524999999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1111.405755</v>
      </c>
      <c r="B1511" s="1">
        <f>DATE(2013,5,16) + TIME(9,44,17)</f>
        <v>41410.405752314815</v>
      </c>
      <c r="C1511">
        <v>80</v>
      </c>
      <c r="D1511">
        <v>79.956329346000004</v>
      </c>
      <c r="E1511">
        <v>50</v>
      </c>
      <c r="F1511">
        <v>48.834304809999999</v>
      </c>
      <c r="G1511">
        <v>1385.6575928</v>
      </c>
      <c r="H1511">
        <v>1371.4337158000001</v>
      </c>
      <c r="I1511">
        <v>1288.5275879000001</v>
      </c>
      <c r="J1511">
        <v>1269.3747559000001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1111.877232</v>
      </c>
      <c r="B1512" s="1">
        <f>DATE(2013,5,16) + TIME(21,3,12)</f>
        <v>41410.877222222225</v>
      </c>
      <c r="C1512">
        <v>80</v>
      </c>
      <c r="D1512">
        <v>79.956329346000004</v>
      </c>
      <c r="E1512">
        <v>50</v>
      </c>
      <c r="F1512">
        <v>48.804374695</v>
      </c>
      <c r="G1512">
        <v>1385.5986327999999</v>
      </c>
      <c r="H1512">
        <v>1371.3822021000001</v>
      </c>
      <c r="I1512">
        <v>1288.5180664</v>
      </c>
      <c r="J1512">
        <v>1269.3629149999999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1112.356401</v>
      </c>
      <c r="B1513" s="1">
        <f>DATE(2013,5,17) + TIME(8,33,13)</f>
        <v>41411.356400462966</v>
      </c>
      <c r="C1513">
        <v>80</v>
      </c>
      <c r="D1513">
        <v>79.956336974999999</v>
      </c>
      <c r="E1513">
        <v>50</v>
      </c>
      <c r="F1513">
        <v>48.773979187000002</v>
      </c>
      <c r="G1513">
        <v>1385.5395507999999</v>
      </c>
      <c r="H1513">
        <v>1371.3306885</v>
      </c>
      <c r="I1513">
        <v>1288.5083007999999</v>
      </c>
      <c r="J1513">
        <v>1269.3507079999999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1112.8446200000001</v>
      </c>
      <c r="B1514" s="1">
        <f>DATE(2013,5,17) + TIME(20,16,15)</f>
        <v>41411.844618055555</v>
      </c>
      <c r="C1514">
        <v>80</v>
      </c>
      <c r="D1514">
        <v>79.956336974999999</v>
      </c>
      <c r="E1514">
        <v>50</v>
      </c>
      <c r="F1514">
        <v>48.743110657000003</v>
      </c>
      <c r="G1514">
        <v>1385.4808350000001</v>
      </c>
      <c r="H1514">
        <v>1371.2794189000001</v>
      </c>
      <c r="I1514">
        <v>1288.4984131000001</v>
      </c>
      <c r="J1514">
        <v>1269.3381348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1113.343257</v>
      </c>
      <c r="B1515" s="1">
        <f>DATE(2013,5,18) + TIME(8,14,17)</f>
        <v>41412.343252314815</v>
      </c>
      <c r="C1515">
        <v>80</v>
      </c>
      <c r="D1515">
        <v>79.956336974999999</v>
      </c>
      <c r="E1515">
        <v>50</v>
      </c>
      <c r="F1515">
        <v>48.711723327999998</v>
      </c>
      <c r="G1515">
        <v>1385.4224853999999</v>
      </c>
      <c r="H1515">
        <v>1371.2283935999999</v>
      </c>
      <c r="I1515">
        <v>1288.4882812000001</v>
      </c>
      <c r="J1515">
        <v>1269.3254394999999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1113.8537879999999</v>
      </c>
      <c r="B1516" s="1">
        <f>DATE(2013,5,18) + TIME(20,29,27)</f>
        <v>41412.853784722225</v>
      </c>
      <c r="C1516">
        <v>80</v>
      </c>
      <c r="D1516">
        <v>79.956329346000004</v>
      </c>
      <c r="E1516">
        <v>50</v>
      </c>
      <c r="F1516">
        <v>48.679767609000002</v>
      </c>
      <c r="G1516">
        <v>1385.3641356999999</v>
      </c>
      <c r="H1516">
        <v>1371.1773682</v>
      </c>
      <c r="I1516">
        <v>1288.4779053</v>
      </c>
      <c r="J1516">
        <v>1269.3123779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1114.374243</v>
      </c>
      <c r="B1517" s="1">
        <f>DATE(2013,5,19) + TIME(8,58,54)</f>
        <v>41413.374236111114</v>
      </c>
      <c r="C1517">
        <v>80</v>
      </c>
      <c r="D1517">
        <v>79.956329346000004</v>
      </c>
      <c r="E1517">
        <v>50</v>
      </c>
      <c r="F1517">
        <v>48.647308350000003</v>
      </c>
      <c r="G1517">
        <v>1385.3057861</v>
      </c>
      <c r="H1517">
        <v>1371.1263428</v>
      </c>
      <c r="I1517">
        <v>1288.4671631000001</v>
      </c>
      <c r="J1517">
        <v>1269.2988281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1114.89985</v>
      </c>
      <c r="B1518" s="1">
        <f>DATE(2013,5,19) + TIME(21,35,47)</f>
        <v>41413.89984953704</v>
      </c>
      <c r="C1518">
        <v>80</v>
      </c>
      <c r="D1518">
        <v>79.956329346000004</v>
      </c>
      <c r="E1518">
        <v>50</v>
      </c>
      <c r="F1518">
        <v>48.614543914999999</v>
      </c>
      <c r="G1518">
        <v>1385.2475586</v>
      </c>
      <c r="H1518">
        <v>1371.0753173999999</v>
      </c>
      <c r="I1518">
        <v>1288.4562988</v>
      </c>
      <c r="J1518">
        <v>1269.2851562000001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1115.432288</v>
      </c>
      <c r="B1519" s="1">
        <f>DATE(2013,5,20) + TIME(10,22,29)</f>
        <v>41414.432280092595</v>
      </c>
      <c r="C1519">
        <v>80</v>
      </c>
      <c r="D1519">
        <v>79.956329346000004</v>
      </c>
      <c r="E1519">
        <v>50</v>
      </c>
      <c r="F1519">
        <v>48.581455231</v>
      </c>
      <c r="G1519">
        <v>1385.1900635</v>
      </c>
      <c r="H1519">
        <v>1371.0250243999999</v>
      </c>
      <c r="I1519">
        <v>1288.4453125</v>
      </c>
      <c r="J1519">
        <v>1269.2712402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1115.9732349999999</v>
      </c>
      <c r="B1520" s="1">
        <f>DATE(2013,5,20) + TIME(23,21,27)</f>
        <v>41414.973229166666</v>
      </c>
      <c r="C1520">
        <v>80</v>
      </c>
      <c r="D1520">
        <v>79.956329346000004</v>
      </c>
      <c r="E1520">
        <v>50</v>
      </c>
      <c r="F1520">
        <v>48.548004149999997</v>
      </c>
      <c r="G1520">
        <v>1385.1330565999999</v>
      </c>
      <c r="H1520">
        <v>1370.9749756000001</v>
      </c>
      <c r="I1520">
        <v>1288.434082</v>
      </c>
      <c r="J1520">
        <v>1269.2569579999999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1116.524459</v>
      </c>
      <c r="B1521" s="1">
        <f>DATE(2013,5,21) + TIME(12,35,13)</f>
        <v>41415.524456018517</v>
      </c>
      <c r="C1521">
        <v>80</v>
      </c>
      <c r="D1521">
        <v>79.956321716000005</v>
      </c>
      <c r="E1521">
        <v>50</v>
      </c>
      <c r="F1521">
        <v>48.514122008999998</v>
      </c>
      <c r="G1521">
        <v>1385.0762939000001</v>
      </c>
      <c r="H1521">
        <v>1370.925293</v>
      </c>
      <c r="I1521">
        <v>1288.4226074000001</v>
      </c>
      <c r="J1521">
        <v>1269.2425536999999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1117.0878399999999</v>
      </c>
      <c r="B1522" s="1">
        <f>DATE(2013,5,22) + TIME(2,6,29)</f>
        <v>41416.087835648148</v>
      </c>
      <c r="C1522">
        <v>80</v>
      </c>
      <c r="D1522">
        <v>79.956321716000005</v>
      </c>
      <c r="E1522">
        <v>50</v>
      </c>
      <c r="F1522">
        <v>48.479717254999997</v>
      </c>
      <c r="G1522">
        <v>1385.0197754000001</v>
      </c>
      <c r="H1522">
        <v>1370.8756103999999</v>
      </c>
      <c r="I1522">
        <v>1288.4108887</v>
      </c>
      <c r="J1522">
        <v>1269.2276611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1117.66552</v>
      </c>
      <c r="B1523" s="1">
        <f>DATE(2013,5,22) + TIME(15,58,20)</f>
        <v>41416.665509259263</v>
      </c>
      <c r="C1523">
        <v>80</v>
      </c>
      <c r="D1523">
        <v>79.956321716000005</v>
      </c>
      <c r="E1523">
        <v>50</v>
      </c>
      <c r="F1523">
        <v>48.444698334000002</v>
      </c>
      <c r="G1523">
        <v>1384.9631348</v>
      </c>
      <c r="H1523">
        <v>1370.8258057</v>
      </c>
      <c r="I1523">
        <v>1288.3989257999999</v>
      </c>
      <c r="J1523">
        <v>1269.2125243999999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1118.2599740000001</v>
      </c>
      <c r="B1524" s="1">
        <f>DATE(2013,5,23) + TIME(6,14,21)</f>
        <v>41417.259965277779</v>
      </c>
      <c r="C1524">
        <v>80</v>
      </c>
      <c r="D1524">
        <v>79.956321716000005</v>
      </c>
      <c r="E1524">
        <v>50</v>
      </c>
      <c r="F1524">
        <v>48.408935546999999</v>
      </c>
      <c r="G1524">
        <v>1384.90625</v>
      </c>
      <c r="H1524">
        <v>1370.7757568</v>
      </c>
      <c r="I1524">
        <v>1288.3865966999999</v>
      </c>
      <c r="J1524">
        <v>1269.1967772999999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1118.8734690000001</v>
      </c>
      <c r="B1525" s="1">
        <f>DATE(2013,5,23) + TIME(20,57,47)</f>
        <v>41417.873460648145</v>
      </c>
      <c r="C1525">
        <v>80</v>
      </c>
      <c r="D1525">
        <v>79.956321716000005</v>
      </c>
      <c r="E1525">
        <v>50</v>
      </c>
      <c r="F1525">
        <v>48.372314453000001</v>
      </c>
      <c r="G1525">
        <v>1384.8488769999999</v>
      </c>
      <c r="H1525">
        <v>1370.7253418</v>
      </c>
      <c r="I1525">
        <v>1288.3739014</v>
      </c>
      <c r="J1525">
        <v>1269.1805420000001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1119.5088940000001</v>
      </c>
      <c r="B1526" s="1">
        <f>DATE(2013,5,24) + TIME(12,12,48)</f>
        <v>41418.508888888886</v>
      </c>
      <c r="C1526">
        <v>80</v>
      </c>
      <c r="D1526">
        <v>79.956321716000005</v>
      </c>
      <c r="E1526">
        <v>50</v>
      </c>
      <c r="F1526">
        <v>48.334690094000003</v>
      </c>
      <c r="G1526">
        <v>1384.7910156</v>
      </c>
      <c r="H1526">
        <v>1370.6741943</v>
      </c>
      <c r="I1526">
        <v>1288.3607178</v>
      </c>
      <c r="J1526">
        <v>1269.1636963000001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1120.169564</v>
      </c>
      <c r="B1527" s="1">
        <f>DATE(2013,5,25) + TIME(4,4,10)</f>
        <v>41419.169560185182</v>
      </c>
      <c r="C1527">
        <v>80</v>
      </c>
      <c r="D1527">
        <v>79.956321716000005</v>
      </c>
      <c r="E1527">
        <v>50</v>
      </c>
      <c r="F1527">
        <v>48.295902251999998</v>
      </c>
      <c r="G1527">
        <v>1384.7321777</v>
      </c>
      <c r="H1527">
        <v>1370.6224365</v>
      </c>
      <c r="I1527">
        <v>1288.3469238</v>
      </c>
      <c r="J1527">
        <v>1269.1461182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1120.8450150000001</v>
      </c>
      <c r="B1528" s="1">
        <f>DATE(2013,5,25) + TIME(20,16,49)</f>
        <v>41419.845011574071</v>
      </c>
      <c r="C1528">
        <v>80</v>
      </c>
      <c r="D1528">
        <v>79.956321716000005</v>
      </c>
      <c r="E1528">
        <v>50</v>
      </c>
      <c r="F1528">
        <v>48.256233215000002</v>
      </c>
      <c r="G1528">
        <v>1384.6722411999999</v>
      </c>
      <c r="H1528">
        <v>1370.5694579999999</v>
      </c>
      <c r="I1528">
        <v>1288.3325195</v>
      </c>
      <c r="J1528">
        <v>1269.1278076000001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1121.5236930000001</v>
      </c>
      <c r="B1529" s="1">
        <f>DATE(2013,5,26) + TIME(12,34,7)</f>
        <v>41420.523692129631</v>
      </c>
      <c r="C1529">
        <v>80</v>
      </c>
      <c r="D1529">
        <v>79.956329346000004</v>
      </c>
      <c r="E1529">
        <v>50</v>
      </c>
      <c r="F1529">
        <v>48.216148376</v>
      </c>
      <c r="G1529">
        <v>1384.6123047000001</v>
      </c>
      <c r="H1529">
        <v>1370.5164795000001</v>
      </c>
      <c r="I1529">
        <v>1288.3176269999999</v>
      </c>
      <c r="J1529">
        <v>1269.1090088000001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1122.20607</v>
      </c>
      <c r="B1530" s="1">
        <f>DATE(2013,5,27) + TIME(4,56,44)</f>
        <v>41421.206064814818</v>
      </c>
      <c r="C1530">
        <v>80</v>
      </c>
      <c r="D1530">
        <v>79.956329346000004</v>
      </c>
      <c r="E1530">
        <v>50</v>
      </c>
      <c r="F1530">
        <v>48.175811768000003</v>
      </c>
      <c r="G1530">
        <v>1384.5533447</v>
      </c>
      <c r="H1530">
        <v>1370.4643555</v>
      </c>
      <c r="I1530">
        <v>1288.3027344</v>
      </c>
      <c r="J1530">
        <v>1269.0898437999999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1122.8943959999999</v>
      </c>
      <c r="B1531" s="1">
        <f>DATE(2013,5,27) + TIME(21,27,55)</f>
        <v>41421.894386574073</v>
      </c>
      <c r="C1531">
        <v>80</v>
      </c>
      <c r="D1531">
        <v>79.956329346000004</v>
      </c>
      <c r="E1531">
        <v>50</v>
      </c>
      <c r="F1531">
        <v>48.135253906000003</v>
      </c>
      <c r="G1531">
        <v>1384.4951172000001</v>
      </c>
      <c r="H1531">
        <v>1370.4128418</v>
      </c>
      <c r="I1531">
        <v>1288.2874756000001</v>
      </c>
      <c r="J1531">
        <v>1269.0705565999999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1123.590923</v>
      </c>
      <c r="B1532" s="1">
        <f>DATE(2013,5,28) + TIME(14,10,55)</f>
        <v>41422.590914351851</v>
      </c>
      <c r="C1532">
        <v>80</v>
      </c>
      <c r="D1532">
        <v>79.956336974999999</v>
      </c>
      <c r="E1532">
        <v>50</v>
      </c>
      <c r="F1532">
        <v>48.094421386999997</v>
      </c>
      <c r="G1532">
        <v>1384.4376221</v>
      </c>
      <c r="H1532">
        <v>1370.3618164</v>
      </c>
      <c r="I1532">
        <v>1288.2720947</v>
      </c>
      <c r="J1532">
        <v>1269.0507812000001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1124.2979560000001</v>
      </c>
      <c r="B1533" s="1">
        <f>DATE(2013,5,29) + TIME(7,9,3)</f>
        <v>41423.297951388886</v>
      </c>
      <c r="C1533">
        <v>80</v>
      </c>
      <c r="D1533">
        <v>79.956336974999999</v>
      </c>
      <c r="E1533">
        <v>50</v>
      </c>
      <c r="F1533">
        <v>48.053241730000003</v>
      </c>
      <c r="G1533">
        <v>1384.3806152</v>
      </c>
      <c r="H1533">
        <v>1370.3111572</v>
      </c>
      <c r="I1533">
        <v>1288.2564697</v>
      </c>
      <c r="J1533">
        <v>1269.0306396000001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1125.0179089999999</v>
      </c>
      <c r="B1534" s="1">
        <f>DATE(2013,5,30) + TIME(0,25,47)</f>
        <v>41424.017905092594</v>
      </c>
      <c r="C1534">
        <v>80</v>
      </c>
      <c r="D1534">
        <v>79.956344603999995</v>
      </c>
      <c r="E1534">
        <v>50</v>
      </c>
      <c r="F1534">
        <v>48.011600494</v>
      </c>
      <c r="G1534">
        <v>1384.3237305</v>
      </c>
      <c r="H1534">
        <v>1370.2607422000001</v>
      </c>
      <c r="I1534">
        <v>1288.2404785000001</v>
      </c>
      <c r="J1534">
        <v>1269.0101318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1125.7533510000001</v>
      </c>
      <c r="B1535" s="1">
        <f>DATE(2013,5,30) + TIME(18,4,49)</f>
        <v>41424.753344907411</v>
      </c>
      <c r="C1535">
        <v>80</v>
      </c>
      <c r="D1535">
        <v>79.956344603999995</v>
      </c>
      <c r="E1535">
        <v>50</v>
      </c>
      <c r="F1535">
        <v>47.969379425</v>
      </c>
      <c r="G1535">
        <v>1384.2669678</v>
      </c>
      <c r="H1535">
        <v>1370.2102050999999</v>
      </c>
      <c r="I1535">
        <v>1288.2241211</v>
      </c>
      <c r="J1535">
        <v>1268.9888916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1126.505549</v>
      </c>
      <c r="B1536" s="1">
        <f>DATE(2013,5,31) + TIME(12,7,59)</f>
        <v>41425.505543981482</v>
      </c>
      <c r="C1536">
        <v>80</v>
      </c>
      <c r="D1536">
        <v>79.956352233999993</v>
      </c>
      <c r="E1536">
        <v>50</v>
      </c>
      <c r="F1536">
        <v>47.926483154000003</v>
      </c>
      <c r="G1536">
        <v>1384.2100829999999</v>
      </c>
      <c r="H1536">
        <v>1370.1595459</v>
      </c>
      <c r="I1536">
        <v>1288.2071533000001</v>
      </c>
      <c r="J1536">
        <v>1268.9671631000001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1127</v>
      </c>
      <c r="B1537" s="1">
        <f>DATE(2013,6,1) + TIME(0,0,0)</f>
        <v>41426</v>
      </c>
      <c r="C1537">
        <v>80</v>
      </c>
      <c r="D1537">
        <v>79.956352233999993</v>
      </c>
      <c r="E1537">
        <v>50</v>
      </c>
      <c r="F1537">
        <v>47.892776488999999</v>
      </c>
      <c r="G1537">
        <v>1384.152832</v>
      </c>
      <c r="H1537">
        <v>1370.1085204999999</v>
      </c>
      <c r="I1537">
        <v>1288.1887207</v>
      </c>
      <c r="J1537">
        <v>1268.9455565999999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1127.767836</v>
      </c>
      <c r="B1538" s="1">
        <f>DATE(2013,6,1) + TIME(18,25,41)</f>
        <v>41426.767835648148</v>
      </c>
      <c r="C1538">
        <v>80</v>
      </c>
      <c r="D1538">
        <v>79.956359863000003</v>
      </c>
      <c r="E1538">
        <v>50</v>
      </c>
      <c r="F1538">
        <v>47.851703643999997</v>
      </c>
      <c r="G1538">
        <v>1384.1158447</v>
      </c>
      <c r="H1538">
        <v>1370.0754394999999</v>
      </c>
      <c r="I1538">
        <v>1288.1783447</v>
      </c>
      <c r="J1538">
        <v>1268.9291992000001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1128.567675</v>
      </c>
      <c r="B1539" s="1">
        <f>DATE(2013,6,2) + TIME(13,37,27)</f>
        <v>41427.567673611113</v>
      </c>
      <c r="C1539">
        <v>80</v>
      </c>
      <c r="D1539">
        <v>79.956367493000002</v>
      </c>
      <c r="E1539">
        <v>50</v>
      </c>
      <c r="F1539">
        <v>47.808364867999998</v>
      </c>
      <c r="G1539">
        <v>1384.0593262</v>
      </c>
      <c r="H1539">
        <v>1370.0250243999999</v>
      </c>
      <c r="I1539">
        <v>1288.1602783000001</v>
      </c>
      <c r="J1539">
        <v>1268.9060059000001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1129.3910550000001</v>
      </c>
      <c r="B1540" s="1">
        <f>DATE(2013,6,3) + TIME(9,23,7)</f>
        <v>41428.391053240739</v>
      </c>
      <c r="C1540">
        <v>80</v>
      </c>
      <c r="D1540">
        <v>79.956382751000007</v>
      </c>
      <c r="E1540">
        <v>50</v>
      </c>
      <c r="F1540">
        <v>47.763286591000004</v>
      </c>
      <c r="G1540">
        <v>1384.0014647999999</v>
      </c>
      <c r="H1540">
        <v>1369.9732666</v>
      </c>
      <c r="I1540">
        <v>1288.1412353999999</v>
      </c>
      <c r="J1540">
        <v>1268.8815918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1130.235876</v>
      </c>
      <c r="B1541" s="1">
        <f>DATE(2013,6,4) + TIME(5,39,39)</f>
        <v>41429.235868055555</v>
      </c>
      <c r="C1541">
        <v>80</v>
      </c>
      <c r="D1541">
        <v>79.956390381000006</v>
      </c>
      <c r="E1541">
        <v>50</v>
      </c>
      <c r="F1541">
        <v>47.716815947999997</v>
      </c>
      <c r="G1541">
        <v>1383.9429932</v>
      </c>
      <c r="H1541">
        <v>1369.9208983999999</v>
      </c>
      <c r="I1541">
        <v>1288.121582</v>
      </c>
      <c r="J1541">
        <v>1268.855957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1131.0921860000001</v>
      </c>
      <c r="B1542" s="1">
        <f>DATE(2013,6,5) + TIME(2,12,44)</f>
        <v>41430.092175925929</v>
      </c>
      <c r="C1542">
        <v>80</v>
      </c>
      <c r="D1542">
        <v>79.956398010000001</v>
      </c>
      <c r="E1542">
        <v>50</v>
      </c>
      <c r="F1542">
        <v>47.669410706000001</v>
      </c>
      <c r="G1542">
        <v>1383.8840332</v>
      </c>
      <c r="H1542">
        <v>1369.8680420000001</v>
      </c>
      <c r="I1542">
        <v>1288.1010742000001</v>
      </c>
      <c r="J1542">
        <v>1268.8294678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1131.9620190000001</v>
      </c>
      <c r="B1543" s="1">
        <f>DATE(2013,6,5) + TIME(23,5,18)</f>
        <v>41430.962013888886</v>
      </c>
      <c r="C1543">
        <v>80</v>
      </c>
      <c r="D1543">
        <v>79.95640564</v>
      </c>
      <c r="E1543">
        <v>50</v>
      </c>
      <c r="F1543">
        <v>47.621253967000001</v>
      </c>
      <c r="G1543">
        <v>1383.8254394999999</v>
      </c>
      <c r="H1543">
        <v>1369.8154297000001</v>
      </c>
      <c r="I1543">
        <v>1288.0800781</v>
      </c>
      <c r="J1543">
        <v>1268.802124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1132.836468</v>
      </c>
      <c r="B1544" s="1">
        <f>DATE(2013,6,6) + TIME(20,4,30)</f>
        <v>41431.836458333331</v>
      </c>
      <c r="C1544">
        <v>80</v>
      </c>
      <c r="D1544">
        <v>79.956420898000005</v>
      </c>
      <c r="E1544">
        <v>50</v>
      </c>
      <c r="F1544">
        <v>47.572689056000002</v>
      </c>
      <c r="G1544">
        <v>1383.7669678</v>
      </c>
      <c r="H1544">
        <v>1369.7629394999999</v>
      </c>
      <c r="I1544">
        <v>1288.0585937999999</v>
      </c>
      <c r="J1544">
        <v>1268.7740478999999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1133.718253</v>
      </c>
      <c r="B1545" s="1">
        <f>DATE(2013,6,7) + TIME(17,14,17)</f>
        <v>41432.718252314815</v>
      </c>
      <c r="C1545">
        <v>80</v>
      </c>
      <c r="D1545">
        <v>79.956428528000004</v>
      </c>
      <c r="E1545">
        <v>50</v>
      </c>
      <c r="F1545">
        <v>47.523807525999999</v>
      </c>
      <c r="G1545">
        <v>1383.7091064000001</v>
      </c>
      <c r="H1545">
        <v>1369.7109375</v>
      </c>
      <c r="I1545">
        <v>1288.0367432</v>
      </c>
      <c r="J1545">
        <v>1268.7454834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1134.610111</v>
      </c>
      <c r="B1546" s="1">
        <f>DATE(2013,6,8) + TIME(14,38,33)</f>
        <v>41433.61010416667</v>
      </c>
      <c r="C1546">
        <v>80</v>
      </c>
      <c r="D1546">
        <v>79.956443786999998</v>
      </c>
      <c r="E1546">
        <v>50</v>
      </c>
      <c r="F1546">
        <v>47.474586487000003</v>
      </c>
      <c r="G1546">
        <v>1383.6518555</v>
      </c>
      <c r="H1546">
        <v>1369.6593018000001</v>
      </c>
      <c r="I1546">
        <v>1288.0144043</v>
      </c>
      <c r="J1546">
        <v>1268.7161865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1135.5148589999999</v>
      </c>
      <c r="B1547" s="1">
        <f>DATE(2013,6,9) + TIME(12,21,23)</f>
        <v>41434.514849537038</v>
      </c>
      <c r="C1547">
        <v>80</v>
      </c>
      <c r="D1547">
        <v>79.956459045000003</v>
      </c>
      <c r="E1547">
        <v>50</v>
      </c>
      <c r="F1547">
        <v>47.424926757999998</v>
      </c>
      <c r="G1547">
        <v>1383.5949707</v>
      </c>
      <c r="H1547">
        <v>1369.6080322</v>
      </c>
      <c r="I1547">
        <v>1287.9915771000001</v>
      </c>
      <c r="J1547">
        <v>1268.6861572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1136.4354519999999</v>
      </c>
      <c r="B1548" s="1">
        <f>DATE(2013,6,10) + TIME(10,27,3)</f>
        <v>41435.43545138889</v>
      </c>
      <c r="C1548">
        <v>80</v>
      </c>
      <c r="D1548">
        <v>79.956466675000001</v>
      </c>
      <c r="E1548">
        <v>50</v>
      </c>
      <c r="F1548">
        <v>47.374706267999997</v>
      </c>
      <c r="G1548">
        <v>1383.5382079999999</v>
      </c>
      <c r="H1548">
        <v>1369.5567627</v>
      </c>
      <c r="I1548">
        <v>1287.9681396000001</v>
      </c>
      <c r="J1548">
        <v>1268.6551514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1137.375043</v>
      </c>
      <c r="B1549" s="1">
        <f>DATE(2013,6,11) + TIME(9,0,3)</f>
        <v>41436.375034722223</v>
      </c>
      <c r="C1549">
        <v>80</v>
      </c>
      <c r="D1549">
        <v>79.956481933999996</v>
      </c>
      <c r="E1549">
        <v>50</v>
      </c>
      <c r="F1549">
        <v>47.323764801000003</v>
      </c>
      <c r="G1549">
        <v>1383.4814452999999</v>
      </c>
      <c r="H1549">
        <v>1369.5053711</v>
      </c>
      <c r="I1549">
        <v>1287.9440918</v>
      </c>
      <c r="J1549">
        <v>1268.6232910000001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1138.337072</v>
      </c>
      <c r="B1550" s="1">
        <f>DATE(2013,6,12) + TIME(8,5,23)</f>
        <v>41437.337071759262</v>
      </c>
      <c r="C1550">
        <v>80</v>
      </c>
      <c r="D1550">
        <v>79.956497192</v>
      </c>
      <c r="E1550">
        <v>50</v>
      </c>
      <c r="F1550">
        <v>47.271942138999997</v>
      </c>
      <c r="G1550">
        <v>1383.4244385</v>
      </c>
      <c r="H1550">
        <v>1369.4537353999999</v>
      </c>
      <c r="I1550">
        <v>1287.9191894999999</v>
      </c>
      <c r="J1550">
        <v>1268.5900879000001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1139.3256739999999</v>
      </c>
      <c r="B1551" s="1">
        <f>DATE(2013,6,13) + TIME(7,48,58)</f>
        <v>41438.325671296298</v>
      </c>
      <c r="C1551">
        <v>80</v>
      </c>
      <c r="D1551">
        <v>79.956512450999995</v>
      </c>
      <c r="E1551">
        <v>50</v>
      </c>
      <c r="F1551">
        <v>47.219036101999997</v>
      </c>
      <c r="G1551">
        <v>1383.3670654</v>
      </c>
      <c r="H1551">
        <v>1369.4017334</v>
      </c>
      <c r="I1551">
        <v>1287.8933105000001</v>
      </c>
      <c r="J1551">
        <v>1268.5556641000001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1140.3370440000001</v>
      </c>
      <c r="B1552" s="1">
        <f>DATE(2013,6,14) + TIME(8,5,20)</f>
        <v>41439.337037037039</v>
      </c>
      <c r="C1552">
        <v>80</v>
      </c>
      <c r="D1552">
        <v>79.956527710000003</v>
      </c>
      <c r="E1552">
        <v>50</v>
      </c>
      <c r="F1552">
        <v>47.165039061999998</v>
      </c>
      <c r="G1552">
        <v>1383.309082</v>
      </c>
      <c r="H1552">
        <v>1369.3491211</v>
      </c>
      <c r="I1552">
        <v>1287.8663329999999</v>
      </c>
      <c r="J1552">
        <v>1268.5197754000001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1141.3639969999999</v>
      </c>
      <c r="B1553" s="1">
        <f>DATE(2013,6,15) + TIME(8,44,9)</f>
        <v>41440.363993055558</v>
      </c>
      <c r="C1553">
        <v>80</v>
      </c>
      <c r="D1553">
        <v>79.956550598000007</v>
      </c>
      <c r="E1553">
        <v>50</v>
      </c>
      <c r="F1553">
        <v>47.110126495000003</v>
      </c>
      <c r="G1553">
        <v>1383.2507324000001</v>
      </c>
      <c r="H1553">
        <v>1369.2960204999999</v>
      </c>
      <c r="I1553">
        <v>1287.8383789</v>
      </c>
      <c r="J1553">
        <v>1268.4824219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1142.4109739999999</v>
      </c>
      <c r="B1554" s="1">
        <f>DATE(2013,6,16) + TIME(9,51,48)</f>
        <v>41441.41097222222</v>
      </c>
      <c r="C1554">
        <v>80</v>
      </c>
      <c r="D1554">
        <v>79.956565857000001</v>
      </c>
      <c r="E1554">
        <v>50</v>
      </c>
      <c r="F1554">
        <v>47.054306029999999</v>
      </c>
      <c r="G1554">
        <v>1383.1923827999999</v>
      </c>
      <c r="H1554">
        <v>1369.2430420000001</v>
      </c>
      <c r="I1554">
        <v>1287.8095702999999</v>
      </c>
      <c r="J1554">
        <v>1268.4437256000001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1143.473886</v>
      </c>
      <c r="B1555" s="1">
        <f>DATE(2013,6,17) + TIME(11,22,23)</f>
        <v>41442.473877314813</v>
      </c>
      <c r="C1555">
        <v>80</v>
      </c>
      <c r="D1555">
        <v>79.956588745000005</v>
      </c>
      <c r="E1555">
        <v>50</v>
      </c>
      <c r="F1555">
        <v>46.997653960999997</v>
      </c>
      <c r="G1555">
        <v>1383.1339111</v>
      </c>
      <c r="H1555">
        <v>1369.1896973</v>
      </c>
      <c r="I1555">
        <v>1287.7796631000001</v>
      </c>
      <c r="J1555">
        <v>1268.4036865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1144.544521</v>
      </c>
      <c r="B1556" s="1">
        <f>DATE(2013,6,18) + TIME(13,4,6)</f>
        <v>41443.54451388889</v>
      </c>
      <c r="C1556">
        <v>80</v>
      </c>
      <c r="D1556">
        <v>79.956604003999999</v>
      </c>
      <c r="E1556">
        <v>50</v>
      </c>
      <c r="F1556">
        <v>46.940418243000003</v>
      </c>
      <c r="G1556">
        <v>1383.0755615</v>
      </c>
      <c r="H1556">
        <v>1369.1364745999999</v>
      </c>
      <c r="I1556">
        <v>1287.7490233999999</v>
      </c>
      <c r="J1556">
        <v>1268.3623047000001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1145.6263160000001</v>
      </c>
      <c r="B1557" s="1">
        <f>DATE(2013,6,19) + TIME(15,1,53)</f>
        <v>41444.626307870371</v>
      </c>
      <c r="C1557">
        <v>80</v>
      </c>
      <c r="D1557">
        <v>79.956626892000003</v>
      </c>
      <c r="E1557">
        <v>50</v>
      </c>
      <c r="F1557">
        <v>46.882663727000001</v>
      </c>
      <c r="G1557">
        <v>1383.0177002</v>
      </c>
      <c r="H1557">
        <v>1369.0834961</v>
      </c>
      <c r="I1557">
        <v>1287.7175293</v>
      </c>
      <c r="J1557">
        <v>1268.3197021000001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1146.7227949999999</v>
      </c>
      <c r="B1558" s="1">
        <f>DATE(2013,6,20) + TIME(17,20,49)</f>
        <v>41445.72278935185</v>
      </c>
      <c r="C1558">
        <v>80</v>
      </c>
      <c r="D1558">
        <v>79.956642150999997</v>
      </c>
      <c r="E1558">
        <v>50</v>
      </c>
      <c r="F1558">
        <v>46.824317932</v>
      </c>
      <c r="G1558">
        <v>1382.9602050999999</v>
      </c>
      <c r="H1558">
        <v>1369.0308838000001</v>
      </c>
      <c r="I1558">
        <v>1287.6853027</v>
      </c>
      <c r="J1558">
        <v>1268.2758789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1147.837642</v>
      </c>
      <c r="B1559" s="1">
        <f>DATE(2013,6,21) + TIME(20,6,12)</f>
        <v>41446.837638888886</v>
      </c>
      <c r="C1559">
        <v>80</v>
      </c>
      <c r="D1559">
        <v>79.956665039000001</v>
      </c>
      <c r="E1559">
        <v>50</v>
      </c>
      <c r="F1559">
        <v>46.765228270999998</v>
      </c>
      <c r="G1559">
        <v>1382.9027100000001</v>
      </c>
      <c r="H1559">
        <v>1368.9781493999999</v>
      </c>
      <c r="I1559">
        <v>1287.6520995999999</v>
      </c>
      <c r="J1559">
        <v>1268.2305908000001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1148.9747990000001</v>
      </c>
      <c r="B1560" s="1">
        <f>DATE(2013,6,22) + TIME(23,23,42)</f>
        <v>41447.974791666667</v>
      </c>
      <c r="C1560">
        <v>80</v>
      </c>
      <c r="D1560">
        <v>79.956687927000004</v>
      </c>
      <c r="E1560">
        <v>50</v>
      </c>
      <c r="F1560">
        <v>46.705211638999998</v>
      </c>
      <c r="G1560">
        <v>1382.8452147999999</v>
      </c>
      <c r="H1560">
        <v>1368.9254149999999</v>
      </c>
      <c r="I1560">
        <v>1287.6177978999999</v>
      </c>
      <c r="J1560">
        <v>1268.1837158000001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1150.138561</v>
      </c>
      <c r="B1561" s="1">
        <f>DATE(2013,6,24) + TIME(3,19,31)</f>
        <v>41449.138553240744</v>
      </c>
      <c r="C1561">
        <v>80</v>
      </c>
      <c r="D1561">
        <v>79.956710814999994</v>
      </c>
      <c r="E1561">
        <v>50</v>
      </c>
      <c r="F1561">
        <v>46.644054412999999</v>
      </c>
      <c r="G1561">
        <v>1382.7874756000001</v>
      </c>
      <c r="H1561">
        <v>1368.8723144999999</v>
      </c>
      <c r="I1561">
        <v>1287.5821533000001</v>
      </c>
      <c r="J1561">
        <v>1268.1350098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1151.32358</v>
      </c>
      <c r="B1562" s="1">
        <f>DATE(2013,6,25) + TIME(7,45,57)</f>
        <v>41450.323576388888</v>
      </c>
      <c r="C1562">
        <v>80</v>
      </c>
      <c r="D1562">
        <v>79.956733704000001</v>
      </c>
      <c r="E1562">
        <v>50</v>
      </c>
      <c r="F1562">
        <v>46.581741332999997</v>
      </c>
      <c r="G1562">
        <v>1382.7293701000001</v>
      </c>
      <c r="H1562">
        <v>1368.8187256000001</v>
      </c>
      <c r="I1562">
        <v>1287.5451660000001</v>
      </c>
      <c r="J1562">
        <v>1268.0841064000001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1152.5198330000001</v>
      </c>
      <c r="B1563" s="1">
        <f>DATE(2013,6,26) + TIME(12,28,33)</f>
        <v>41451.519826388889</v>
      </c>
      <c r="C1563">
        <v>80</v>
      </c>
      <c r="D1563">
        <v>79.956764221</v>
      </c>
      <c r="E1563">
        <v>50</v>
      </c>
      <c r="F1563">
        <v>46.518516540999997</v>
      </c>
      <c r="G1563">
        <v>1382.6710204999999</v>
      </c>
      <c r="H1563">
        <v>1368.7650146000001</v>
      </c>
      <c r="I1563">
        <v>1287.5069579999999</v>
      </c>
      <c r="J1563">
        <v>1268.0313721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1153.7314710000001</v>
      </c>
      <c r="B1564" s="1">
        <f>DATE(2013,6,27) + TIME(17,33,19)</f>
        <v>41452.731469907405</v>
      </c>
      <c r="C1564">
        <v>80</v>
      </c>
      <c r="D1564">
        <v>79.956787109000004</v>
      </c>
      <c r="E1564">
        <v>50</v>
      </c>
      <c r="F1564">
        <v>46.454475403000004</v>
      </c>
      <c r="G1564">
        <v>1382.6129149999999</v>
      </c>
      <c r="H1564">
        <v>1368.7114257999999</v>
      </c>
      <c r="I1564">
        <v>1287.4676514</v>
      </c>
      <c r="J1564">
        <v>1267.9768065999999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1154.9626989999999</v>
      </c>
      <c r="B1565" s="1">
        <f>DATE(2013,6,28) + TIME(23,6,17)</f>
        <v>41453.962696759256</v>
      </c>
      <c r="C1565">
        <v>80</v>
      </c>
      <c r="D1565">
        <v>79.956809997999997</v>
      </c>
      <c r="E1565">
        <v>50</v>
      </c>
      <c r="F1565">
        <v>46.389514923</v>
      </c>
      <c r="G1565">
        <v>1382.5550536999999</v>
      </c>
      <c r="H1565">
        <v>1368.6579589999999</v>
      </c>
      <c r="I1565">
        <v>1287.427124</v>
      </c>
      <c r="J1565">
        <v>1267.9205322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1156.217936</v>
      </c>
      <c r="B1566" s="1">
        <f>DATE(2013,6,30) + TIME(5,13,49)</f>
        <v>41455.217928240738</v>
      </c>
      <c r="C1566">
        <v>80</v>
      </c>
      <c r="D1566">
        <v>79.956840514999996</v>
      </c>
      <c r="E1566">
        <v>50</v>
      </c>
      <c r="F1566">
        <v>46.323448181000003</v>
      </c>
      <c r="G1566">
        <v>1382.4971923999999</v>
      </c>
      <c r="H1566">
        <v>1368.6042480000001</v>
      </c>
      <c r="I1566">
        <v>1287.3852539</v>
      </c>
      <c r="J1566">
        <v>1267.8621826000001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1157</v>
      </c>
      <c r="B1567" s="1">
        <f>DATE(2013,7,1) + TIME(0,0,0)</f>
        <v>41456</v>
      </c>
      <c r="C1567">
        <v>80</v>
      </c>
      <c r="D1567">
        <v>79.956848144999995</v>
      </c>
      <c r="E1567">
        <v>50</v>
      </c>
      <c r="F1567">
        <v>46.269977570000002</v>
      </c>
      <c r="G1567">
        <v>1382.4388428</v>
      </c>
      <c r="H1567">
        <v>1368.550293</v>
      </c>
      <c r="I1567">
        <v>1287.3413086</v>
      </c>
      <c r="J1567">
        <v>1267.8045654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1158.284701</v>
      </c>
      <c r="B1568" s="1">
        <f>DATE(2013,7,2) + TIME(6,49,58)</f>
        <v>41457.284699074073</v>
      </c>
      <c r="C1568">
        <v>80</v>
      </c>
      <c r="D1568">
        <v>79.956886291999993</v>
      </c>
      <c r="E1568">
        <v>50</v>
      </c>
      <c r="F1568">
        <v>46.209373474000003</v>
      </c>
      <c r="G1568">
        <v>1382.4029541</v>
      </c>
      <c r="H1568">
        <v>1368.5168457</v>
      </c>
      <c r="I1568">
        <v>1287.3139647999999</v>
      </c>
      <c r="J1568">
        <v>1267.7608643000001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1159.602928</v>
      </c>
      <c r="B1569" s="1">
        <f>DATE(2013,7,3) + TIME(14,28,12)</f>
        <v>41458.602916666663</v>
      </c>
      <c r="C1569">
        <v>80</v>
      </c>
      <c r="D1569">
        <v>79.956909179999997</v>
      </c>
      <c r="E1569">
        <v>50</v>
      </c>
      <c r="F1569">
        <v>46.143100738999998</v>
      </c>
      <c r="G1569">
        <v>1382.3449707</v>
      </c>
      <c r="H1569">
        <v>1368.4628906</v>
      </c>
      <c r="I1569">
        <v>1287.2686768000001</v>
      </c>
      <c r="J1569">
        <v>1267.6977539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1160.9405340000001</v>
      </c>
      <c r="B1570" s="1">
        <f>DATE(2013,7,4) + TIME(22,34,22)</f>
        <v>41459.940532407411</v>
      </c>
      <c r="C1570">
        <v>80</v>
      </c>
      <c r="D1570">
        <v>79.956939696999996</v>
      </c>
      <c r="E1570">
        <v>50</v>
      </c>
      <c r="F1570">
        <v>46.073665619000003</v>
      </c>
      <c r="G1570">
        <v>1382.2861327999999</v>
      </c>
      <c r="H1570">
        <v>1368.4080810999999</v>
      </c>
      <c r="I1570">
        <v>1287.2210693</v>
      </c>
      <c r="J1570">
        <v>1267.6309814000001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1162.2843359999999</v>
      </c>
      <c r="B1571" s="1">
        <f>DATE(2013,7,6) + TIME(6,49,26)</f>
        <v>41461.284328703703</v>
      </c>
      <c r="C1571">
        <v>80</v>
      </c>
      <c r="D1571">
        <v>79.956970214999998</v>
      </c>
      <c r="E1571">
        <v>50</v>
      </c>
      <c r="F1571">
        <v>46.002544403000002</v>
      </c>
      <c r="G1571">
        <v>1382.2271728999999</v>
      </c>
      <c r="H1571">
        <v>1368.3532714999999</v>
      </c>
      <c r="I1571">
        <v>1287.171875</v>
      </c>
      <c r="J1571">
        <v>1267.5614014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1163.6388910000001</v>
      </c>
      <c r="B1572" s="1">
        <f>DATE(2013,7,7) + TIME(15,20,0)</f>
        <v>41462.638888888891</v>
      </c>
      <c r="C1572">
        <v>80</v>
      </c>
      <c r="D1572">
        <v>79.957000731999997</v>
      </c>
      <c r="E1572">
        <v>50</v>
      </c>
      <c r="F1572">
        <v>45.930370330999999</v>
      </c>
      <c r="G1572">
        <v>1382.1689452999999</v>
      </c>
      <c r="H1572">
        <v>1368.2988281</v>
      </c>
      <c r="I1572">
        <v>1287.1217041</v>
      </c>
      <c r="J1572">
        <v>1267.4899902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1165.008791</v>
      </c>
      <c r="B1573" s="1">
        <f>DATE(2013,7,9) + TIME(0,12,39)</f>
        <v>41464.008784722224</v>
      </c>
      <c r="C1573">
        <v>80</v>
      </c>
      <c r="D1573">
        <v>79.95703125</v>
      </c>
      <c r="E1573">
        <v>50</v>
      </c>
      <c r="F1573">
        <v>45.857242583999998</v>
      </c>
      <c r="G1573">
        <v>1382.1109618999999</v>
      </c>
      <c r="H1573">
        <v>1368.2446289</v>
      </c>
      <c r="I1573">
        <v>1287.0701904</v>
      </c>
      <c r="J1573">
        <v>1267.4162598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1166.398784</v>
      </c>
      <c r="B1574" s="1">
        <f>DATE(2013,7,10) + TIME(9,34,14)</f>
        <v>41465.398773148147</v>
      </c>
      <c r="C1574">
        <v>80</v>
      </c>
      <c r="D1574">
        <v>79.957069396999998</v>
      </c>
      <c r="E1574">
        <v>50</v>
      </c>
      <c r="F1574">
        <v>45.783031463999997</v>
      </c>
      <c r="G1574">
        <v>1382.0532227000001</v>
      </c>
      <c r="H1574">
        <v>1368.1905518000001</v>
      </c>
      <c r="I1574">
        <v>1287.0170897999999</v>
      </c>
      <c r="J1574">
        <v>1267.340332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1167.81384</v>
      </c>
      <c r="B1575" s="1">
        <f>DATE(2013,7,11) + TIME(19,31,55)</f>
        <v>41466.813831018517</v>
      </c>
      <c r="C1575">
        <v>80</v>
      </c>
      <c r="D1575">
        <v>79.957099915000001</v>
      </c>
      <c r="E1575">
        <v>50</v>
      </c>
      <c r="F1575">
        <v>45.707523346000002</v>
      </c>
      <c r="G1575">
        <v>1381.9953613</v>
      </c>
      <c r="H1575">
        <v>1368.1362305</v>
      </c>
      <c r="I1575">
        <v>1286.9625243999999</v>
      </c>
      <c r="J1575">
        <v>1267.2615966999999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1169.259548</v>
      </c>
      <c r="B1576" s="1">
        <f>DATE(2013,7,13) + TIME(6,13,44)</f>
        <v>41468.25953703704</v>
      </c>
      <c r="C1576">
        <v>80</v>
      </c>
      <c r="D1576">
        <v>79.957138061999999</v>
      </c>
      <c r="E1576">
        <v>50</v>
      </c>
      <c r="F1576">
        <v>45.630435943999998</v>
      </c>
      <c r="G1576">
        <v>1381.9373779</v>
      </c>
      <c r="H1576">
        <v>1368.0816649999999</v>
      </c>
      <c r="I1576">
        <v>1286.9060059000001</v>
      </c>
      <c r="J1576">
        <v>1267.1798096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1170.7413369999999</v>
      </c>
      <c r="B1577" s="1">
        <f>DATE(2013,7,14) + TIME(17,47,31)</f>
        <v>41469.741331018522</v>
      </c>
      <c r="C1577">
        <v>80</v>
      </c>
      <c r="D1577">
        <v>79.957168578999998</v>
      </c>
      <c r="E1577">
        <v>50</v>
      </c>
      <c r="F1577">
        <v>45.551471710000001</v>
      </c>
      <c r="G1577">
        <v>1381.8787841999999</v>
      </c>
      <c r="H1577">
        <v>1368.0266113</v>
      </c>
      <c r="I1577">
        <v>1286.8472899999999</v>
      </c>
      <c r="J1577">
        <v>1267.0947266000001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1172.2493039999999</v>
      </c>
      <c r="B1578" s="1">
        <f>DATE(2013,7,16) + TIME(5,58,59)</f>
        <v>41471.249293981484</v>
      </c>
      <c r="C1578">
        <v>80</v>
      </c>
      <c r="D1578">
        <v>79.957206725999995</v>
      </c>
      <c r="E1578">
        <v>50</v>
      </c>
      <c r="F1578">
        <v>45.470615387000002</v>
      </c>
      <c r="G1578">
        <v>1381.8195800999999</v>
      </c>
      <c r="H1578">
        <v>1367.9709473</v>
      </c>
      <c r="I1578">
        <v>1286.7862548999999</v>
      </c>
      <c r="J1578">
        <v>1267.0058594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1173.7651980000001</v>
      </c>
      <c r="B1579" s="1">
        <f>DATE(2013,7,17) + TIME(18,21,53)</f>
        <v>41472.765196759261</v>
      </c>
      <c r="C1579">
        <v>80</v>
      </c>
      <c r="D1579">
        <v>79.957244872999993</v>
      </c>
      <c r="E1579">
        <v>50</v>
      </c>
      <c r="F1579">
        <v>45.388355255</v>
      </c>
      <c r="G1579">
        <v>1381.7602539</v>
      </c>
      <c r="H1579">
        <v>1367.9147949000001</v>
      </c>
      <c r="I1579">
        <v>1286.7231445</v>
      </c>
      <c r="J1579">
        <v>1266.9136963000001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1175.289276</v>
      </c>
      <c r="B1580" s="1">
        <f>DATE(2013,7,19) + TIME(6,56,33)</f>
        <v>41474.289270833331</v>
      </c>
      <c r="C1580">
        <v>80</v>
      </c>
      <c r="D1580">
        <v>79.957275390999996</v>
      </c>
      <c r="E1580">
        <v>50</v>
      </c>
      <c r="F1580">
        <v>45.305122375000003</v>
      </c>
      <c r="G1580">
        <v>1381.7012939000001</v>
      </c>
      <c r="H1580">
        <v>1367.8591309000001</v>
      </c>
      <c r="I1580">
        <v>1286.6585693</v>
      </c>
      <c r="J1580">
        <v>1266.8190918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1176.826755</v>
      </c>
      <c r="B1581" s="1">
        <f>DATE(2013,7,20) + TIME(19,50,31)</f>
        <v>41475.826747685183</v>
      </c>
      <c r="C1581">
        <v>80</v>
      </c>
      <c r="D1581">
        <v>79.957313537999994</v>
      </c>
      <c r="E1581">
        <v>50</v>
      </c>
      <c r="F1581">
        <v>45.220966339</v>
      </c>
      <c r="G1581">
        <v>1381.6428223</v>
      </c>
      <c r="H1581">
        <v>1367.8037108999999</v>
      </c>
      <c r="I1581">
        <v>1286.5926514</v>
      </c>
      <c r="J1581">
        <v>1266.7220459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1178.382899</v>
      </c>
      <c r="B1582" s="1">
        <f>DATE(2013,7,22) + TIME(9,11,22)</f>
        <v>41477.382893518516</v>
      </c>
      <c r="C1582">
        <v>80</v>
      </c>
      <c r="D1582">
        <v>79.957351685000006</v>
      </c>
      <c r="E1582">
        <v>50</v>
      </c>
      <c r="F1582">
        <v>45.135719299000002</v>
      </c>
      <c r="G1582">
        <v>1381.5845947</v>
      </c>
      <c r="H1582">
        <v>1367.7485352000001</v>
      </c>
      <c r="I1582">
        <v>1286.5252685999999</v>
      </c>
      <c r="J1582">
        <v>1266.6223144999999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1179.9632019999999</v>
      </c>
      <c r="B1583" s="1">
        <f>DATE(2013,7,23) + TIME(23,7,0)</f>
        <v>41478.963194444441</v>
      </c>
      <c r="C1583">
        <v>80</v>
      </c>
      <c r="D1583">
        <v>79.957389832000004</v>
      </c>
      <c r="E1583">
        <v>50</v>
      </c>
      <c r="F1583">
        <v>45.049133300999998</v>
      </c>
      <c r="G1583">
        <v>1381.5263672000001</v>
      </c>
      <c r="H1583">
        <v>1367.6932373</v>
      </c>
      <c r="I1583">
        <v>1286.4560547000001</v>
      </c>
      <c r="J1583">
        <v>1266.5196533000001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1181.572731</v>
      </c>
      <c r="B1584" s="1">
        <f>DATE(2013,7,25) + TIME(13,44,43)</f>
        <v>41480.57271990741</v>
      </c>
      <c r="C1584">
        <v>80</v>
      </c>
      <c r="D1584">
        <v>79.957435607999997</v>
      </c>
      <c r="E1584">
        <v>50</v>
      </c>
      <c r="F1584">
        <v>44.960922240999999</v>
      </c>
      <c r="G1584">
        <v>1381.4680175999999</v>
      </c>
      <c r="H1584">
        <v>1367.6376952999999</v>
      </c>
      <c r="I1584">
        <v>1286.3848877</v>
      </c>
      <c r="J1584">
        <v>1266.4134521000001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1183.2037459999999</v>
      </c>
      <c r="B1585" s="1">
        <f>DATE(2013,7,27) + TIME(4,53,23)</f>
        <v>41482.203738425924</v>
      </c>
      <c r="C1585">
        <v>80</v>
      </c>
      <c r="D1585">
        <v>79.957473754999995</v>
      </c>
      <c r="E1585">
        <v>50</v>
      </c>
      <c r="F1585">
        <v>44.871051788000003</v>
      </c>
      <c r="G1585">
        <v>1381.4093018000001</v>
      </c>
      <c r="H1585">
        <v>1367.5817870999999</v>
      </c>
      <c r="I1585">
        <v>1286.3114014</v>
      </c>
      <c r="J1585">
        <v>1266.3037108999999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1184.861838</v>
      </c>
      <c r="B1586" s="1">
        <f>DATE(2013,7,28) + TIME(20,41,2)</f>
        <v>41483.861828703702</v>
      </c>
      <c r="C1586">
        <v>80</v>
      </c>
      <c r="D1586">
        <v>79.957511901999993</v>
      </c>
      <c r="E1586">
        <v>50</v>
      </c>
      <c r="F1586">
        <v>44.779537200999997</v>
      </c>
      <c r="G1586">
        <v>1381.3505858999999</v>
      </c>
      <c r="H1586">
        <v>1367.5257568</v>
      </c>
      <c r="I1586">
        <v>1286.2360839999999</v>
      </c>
      <c r="J1586">
        <v>1266.1905518000001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1186.5528340000001</v>
      </c>
      <c r="B1587" s="1">
        <f>DATE(2013,7,30) + TIME(13,16,4)</f>
        <v>41485.552824074075</v>
      </c>
      <c r="C1587">
        <v>80</v>
      </c>
      <c r="D1587">
        <v>79.957557678000001</v>
      </c>
      <c r="E1587">
        <v>50</v>
      </c>
      <c r="F1587">
        <v>44.6861763</v>
      </c>
      <c r="G1587">
        <v>1381.291626</v>
      </c>
      <c r="H1587">
        <v>1367.4694824000001</v>
      </c>
      <c r="I1587">
        <v>1286.1584473</v>
      </c>
      <c r="J1587">
        <v>1266.0736084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1188</v>
      </c>
      <c r="B1588" s="1">
        <f>DATE(2013,8,1) + TIME(0,0,0)</f>
        <v>41487</v>
      </c>
      <c r="C1588">
        <v>80</v>
      </c>
      <c r="D1588">
        <v>79.957595824999999</v>
      </c>
      <c r="E1588">
        <v>50</v>
      </c>
      <c r="F1588">
        <v>44.596595764</v>
      </c>
      <c r="G1588">
        <v>1381.2321777</v>
      </c>
      <c r="H1588">
        <v>1367.4125977000001</v>
      </c>
      <c r="I1588">
        <v>1286.0786132999999</v>
      </c>
      <c r="J1588">
        <v>1265.9548339999999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1189.712434</v>
      </c>
      <c r="B1589" s="1">
        <f>DATE(2013,8,2) + TIME(17,5,54)</f>
        <v>41488.712430555555</v>
      </c>
      <c r="C1589">
        <v>80</v>
      </c>
      <c r="D1589">
        <v>79.957633971999996</v>
      </c>
      <c r="E1589">
        <v>50</v>
      </c>
      <c r="F1589">
        <v>44.506500244000001</v>
      </c>
      <c r="G1589">
        <v>1381.1818848</v>
      </c>
      <c r="H1589">
        <v>1367.3643798999999</v>
      </c>
      <c r="I1589">
        <v>1286.0084228999999</v>
      </c>
      <c r="J1589">
        <v>1265.8454589999999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1191.45252</v>
      </c>
      <c r="B1590" s="1">
        <f>DATE(2013,8,4) + TIME(10,51,37)</f>
        <v>41490.452511574076</v>
      </c>
      <c r="C1590">
        <v>80</v>
      </c>
      <c r="D1590">
        <v>79.957679748999993</v>
      </c>
      <c r="E1590">
        <v>50</v>
      </c>
      <c r="F1590">
        <v>44.411293030000003</v>
      </c>
      <c r="G1590">
        <v>1381.1231689000001</v>
      </c>
      <c r="H1590">
        <v>1367.3079834</v>
      </c>
      <c r="I1590">
        <v>1285.9262695</v>
      </c>
      <c r="J1590">
        <v>1265.7208252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1193.2147210000001</v>
      </c>
      <c r="B1591" s="1">
        <f>DATE(2013,8,6) + TIME(5,9,11)</f>
        <v>41492.21471064815</v>
      </c>
      <c r="C1591">
        <v>80</v>
      </c>
      <c r="D1591">
        <v>79.957725525000001</v>
      </c>
      <c r="E1591">
        <v>50</v>
      </c>
      <c r="F1591">
        <v>44.313320160000004</v>
      </c>
      <c r="G1591">
        <v>1381.0639647999999</v>
      </c>
      <c r="H1591">
        <v>1367.2512207</v>
      </c>
      <c r="I1591">
        <v>1285.8416748</v>
      </c>
      <c r="J1591">
        <v>1265.5916748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1194.99262</v>
      </c>
      <c r="B1592" s="1">
        <f>DATE(2013,8,7) + TIME(23,49,22)</f>
        <v>41493.992615740739</v>
      </c>
      <c r="C1592">
        <v>80</v>
      </c>
      <c r="D1592">
        <v>79.957771300999994</v>
      </c>
      <c r="E1592">
        <v>50</v>
      </c>
      <c r="F1592">
        <v>44.213634491000001</v>
      </c>
      <c r="G1592">
        <v>1381.0048827999999</v>
      </c>
      <c r="H1592">
        <v>1367.1942139</v>
      </c>
      <c r="I1592">
        <v>1285.7550048999999</v>
      </c>
      <c r="J1592">
        <v>1265.4588623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1196.7920160000001</v>
      </c>
      <c r="B1593" s="1">
        <f>DATE(2013,8,9) + TIME(19,0,30)</f>
        <v>41495.792013888888</v>
      </c>
      <c r="C1593">
        <v>80</v>
      </c>
      <c r="D1593">
        <v>79.957817078000005</v>
      </c>
      <c r="E1593">
        <v>50</v>
      </c>
      <c r="F1593">
        <v>44.11265564</v>
      </c>
      <c r="G1593">
        <v>1380.9459228999999</v>
      </c>
      <c r="H1593">
        <v>1367.1373291</v>
      </c>
      <c r="I1593">
        <v>1285.6668701000001</v>
      </c>
      <c r="J1593">
        <v>1265.3231201000001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1198.618956</v>
      </c>
      <c r="B1594" s="1">
        <f>DATE(2013,8,11) + TIME(14,51,17)</f>
        <v>41497.618946759256</v>
      </c>
      <c r="C1594">
        <v>80</v>
      </c>
      <c r="D1594">
        <v>79.957862853999998</v>
      </c>
      <c r="E1594">
        <v>50</v>
      </c>
      <c r="F1594">
        <v>44.010349273999999</v>
      </c>
      <c r="G1594">
        <v>1380.8868408000001</v>
      </c>
      <c r="H1594">
        <v>1367.0803223</v>
      </c>
      <c r="I1594">
        <v>1285.5770264</v>
      </c>
      <c r="J1594">
        <v>1265.184082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1200.4458959999999</v>
      </c>
      <c r="B1595" s="1">
        <f>DATE(2013,8,13) + TIME(10,42,5)</f>
        <v>41499.445891203701</v>
      </c>
      <c r="C1595">
        <v>80</v>
      </c>
      <c r="D1595">
        <v>79.957908630000006</v>
      </c>
      <c r="E1595">
        <v>50</v>
      </c>
      <c r="F1595">
        <v>43.907135009999998</v>
      </c>
      <c r="G1595">
        <v>1380.8276367000001</v>
      </c>
      <c r="H1595">
        <v>1367.0230713000001</v>
      </c>
      <c r="I1595">
        <v>1285.4853516000001</v>
      </c>
      <c r="J1595">
        <v>1265.0418701000001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1202.3474220000001</v>
      </c>
      <c r="B1596" s="1">
        <f>DATE(2013,8,15) + TIME(8,20,17)</f>
        <v>41501.347418981481</v>
      </c>
      <c r="C1596">
        <v>80</v>
      </c>
      <c r="D1596">
        <v>79.957962035999998</v>
      </c>
      <c r="E1596">
        <v>50</v>
      </c>
      <c r="F1596">
        <v>43.802440642999997</v>
      </c>
      <c r="G1596">
        <v>1380.769043</v>
      </c>
      <c r="H1596">
        <v>1366.9663086</v>
      </c>
      <c r="I1596">
        <v>1285.3929443</v>
      </c>
      <c r="J1596">
        <v>1264.8973389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1204.2770800000001</v>
      </c>
      <c r="B1597" s="1">
        <f>DATE(2013,8,17) + TIME(6,38,59)</f>
        <v>41503.277071759258</v>
      </c>
      <c r="C1597">
        <v>80</v>
      </c>
      <c r="D1597">
        <v>79.958007812000005</v>
      </c>
      <c r="E1597">
        <v>50</v>
      </c>
      <c r="F1597">
        <v>43.695465087999999</v>
      </c>
      <c r="G1597">
        <v>1380.7087402</v>
      </c>
      <c r="H1597">
        <v>1366.9078368999999</v>
      </c>
      <c r="I1597">
        <v>1285.2966309000001</v>
      </c>
      <c r="J1597">
        <v>1264.7469481999999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1206.2248520000001</v>
      </c>
      <c r="B1598" s="1">
        <f>DATE(2013,8,19) + TIME(5,23,47)</f>
        <v>41505.224849537037</v>
      </c>
      <c r="C1598">
        <v>80</v>
      </c>
      <c r="D1598">
        <v>79.958061217999997</v>
      </c>
      <c r="E1598">
        <v>50</v>
      </c>
      <c r="F1598">
        <v>43.587177277000002</v>
      </c>
      <c r="G1598">
        <v>1380.6480713000001</v>
      </c>
      <c r="H1598">
        <v>1366.848999</v>
      </c>
      <c r="I1598">
        <v>1285.1984863</v>
      </c>
      <c r="J1598">
        <v>1264.5928954999999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1208.182348</v>
      </c>
      <c r="B1599" s="1">
        <f>DATE(2013,8,21) + TIME(4,22,34)</f>
        <v>41507.182337962964</v>
      </c>
      <c r="C1599">
        <v>80</v>
      </c>
      <c r="D1599">
        <v>79.958106994999994</v>
      </c>
      <c r="E1599">
        <v>50</v>
      </c>
      <c r="F1599">
        <v>43.478363037000001</v>
      </c>
      <c r="G1599">
        <v>1380.5876464999999</v>
      </c>
      <c r="H1599">
        <v>1366.7901611</v>
      </c>
      <c r="I1599">
        <v>1285.0991211</v>
      </c>
      <c r="J1599">
        <v>1264.4362793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1210.1534509999999</v>
      </c>
      <c r="B1600" s="1">
        <f>DATE(2013,8,23) + TIME(3,40,58)</f>
        <v>41509.153449074074</v>
      </c>
      <c r="C1600">
        <v>80</v>
      </c>
      <c r="D1600">
        <v>79.958160399999997</v>
      </c>
      <c r="E1600">
        <v>50</v>
      </c>
      <c r="F1600">
        <v>43.369495391999997</v>
      </c>
      <c r="G1600">
        <v>1380.5274658000001</v>
      </c>
      <c r="H1600">
        <v>1366.7316894999999</v>
      </c>
      <c r="I1600">
        <v>1284.9991454999999</v>
      </c>
      <c r="J1600">
        <v>1264.2779541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1212.1479420000001</v>
      </c>
      <c r="B1601" s="1">
        <f>DATE(2013,8,25) + TIME(3,33,2)</f>
        <v>41511.147939814815</v>
      </c>
      <c r="C1601">
        <v>80</v>
      </c>
      <c r="D1601">
        <v>79.958213806000003</v>
      </c>
      <c r="E1601">
        <v>50</v>
      </c>
      <c r="F1601">
        <v>43.260616302000003</v>
      </c>
      <c r="G1601">
        <v>1380.4675293</v>
      </c>
      <c r="H1601">
        <v>1366.6732178</v>
      </c>
      <c r="I1601">
        <v>1284.8984375</v>
      </c>
      <c r="J1601">
        <v>1264.1179199000001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1214.1724750000001</v>
      </c>
      <c r="B1602" s="1">
        <f>DATE(2013,8,27) + TIME(4,8,21)</f>
        <v>41513.172465277778</v>
      </c>
      <c r="C1602">
        <v>80</v>
      </c>
      <c r="D1602">
        <v>79.958267211999996</v>
      </c>
      <c r="E1602">
        <v>50</v>
      </c>
      <c r="F1602">
        <v>43.151588439999998</v>
      </c>
      <c r="G1602">
        <v>1380.4075928</v>
      </c>
      <c r="H1602">
        <v>1366.6145019999999</v>
      </c>
      <c r="I1602">
        <v>1284.7967529</v>
      </c>
      <c r="J1602">
        <v>1263.9555664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1216.234242</v>
      </c>
      <c r="B1603" s="1">
        <f>DATE(2013,8,29) + TIME(5,37,18)</f>
        <v>41515.234236111108</v>
      </c>
      <c r="C1603">
        <v>80</v>
      </c>
      <c r="D1603">
        <v>79.958320618000002</v>
      </c>
      <c r="E1603">
        <v>50</v>
      </c>
      <c r="F1603">
        <v>43.042293549</v>
      </c>
      <c r="G1603">
        <v>1380.347168</v>
      </c>
      <c r="H1603">
        <v>1366.5555420000001</v>
      </c>
      <c r="I1603">
        <v>1284.6938477000001</v>
      </c>
      <c r="J1603">
        <v>1263.7906493999999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1218.340882</v>
      </c>
      <c r="B1604" s="1">
        <f>DATE(2013,8,31) + TIME(8,10,52)</f>
        <v>41517.340879629628</v>
      </c>
      <c r="C1604">
        <v>80</v>
      </c>
      <c r="D1604">
        <v>79.958374023000005</v>
      </c>
      <c r="E1604">
        <v>50</v>
      </c>
      <c r="F1604">
        <v>42.93265152</v>
      </c>
      <c r="G1604">
        <v>1380.2863769999999</v>
      </c>
      <c r="H1604">
        <v>1366.4959716999999</v>
      </c>
      <c r="I1604">
        <v>1284.5895995999999</v>
      </c>
      <c r="J1604">
        <v>1263.6230469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1219</v>
      </c>
      <c r="B1605" s="1">
        <f>DATE(2013,9,1) + TIME(0,0,0)</f>
        <v>41518</v>
      </c>
      <c r="C1605">
        <v>80</v>
      </c>
      <c r="D1605">
        <v>79.958381653000004</v>
      </c>
      <c r="E1605">
        <v>50</v>
      </c>
      <c r="F1605">
        <v>42.866088867000002</v>
      </c>
      <c r="G1605">
        <v>1380.2249756000001</v>
      </c>
      <c r="H1605">
        <v>1366.4360352000001</v>
      </c>
      <c r="I1605">
        <v>1284.4888916</v>
      </c>
      <c r="J1605">
        <v>1263.4764404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1221.1439190000001</v>
      </c>
      <c r="B1606" s="1">
        <f>DATE(2013,9,3) + TIME(3,27,14)</f>
        <v>41520.143912037034</v>
      </c>
      <c r="C1606">
        <v>80</v>
      </c>
      <c r="D1606">
        <v>79.958442688000005</v>
      </c>
      <c r="E1606">
        <v>50</v>
      </c>
      <c r="F1606">
        <v>42.779838562000002</v>
      </c>
      <c r="G1606">
        <v>1380.2055664</v>
      </c>
      <c r="H1606">
        <v>1366.4165039</v>
      </c>
      <c r="I1606">
        <v>1284.4468993999999</v>
      </c>
      <c r="J1606">
        <v>1263.3892822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1223.3229739999999</v>
      </c>
      <c r="B1607" s="1">
        <f>DATE(2013,9,5) + TIME(7,45,4)</f>
        <v>41522.322962962964</v>
      </c>
      <c r="C1607">
        <v>80</v>
      </c>
      <c r="D1607">
        <v>79.958503723000007</v>
      </c>
      <c r="E1607">
        <v>50</v>
      </c>
      <c r="F1607">
        <v>42.677803040000001</v>
      </c>
      <c r="G1607">
        <v>1380.1439209</v>
      </c>
      <c r="H1607">
        <v>1366.355957</v>
      </c>
      <c r="I1607">
        <v>1284.3432617000001</v>
      </c>
      <c r="J1607">
        <v>1263.2235106999999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1225.502029</v>
      </c>
      <c r="B1608" s="1">
        <f>DATE(2013,9,7) + TIME(12,2,55)</f>
        <v>41524.502025462964</v>
      </c>
      <c r="C1608">
        <v>80</v>
      </c>
      <c r="D1608">
        <v>79.958557128999999</v>
      </c>
      <c r="E1608">
        <v>50</v>
      </c>
      <c r="F1608">
        <v>42.572559357000003</v>
      </c>
      <c r="G1608">
        <v>1380.0816649999999</v>
      </c>
      <c r="H1608">
        <v>1366.2947998</v>
      </c>
      <c r="I1608">
        <v>1284.2370605000001</v>
      </c>
      <c r="J1608">
        <v>1263.0512695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1227.6810829999999</v>
      </c>
      <c r="B1609" s="1">
        <f>DATE(2013,9,9) + TIME(16,20,45)</f>
        <v>41526.681076388886</v>
      </c>
      <c r="C1609">
        <v>80</v>
      </c>
      <c r="D1609">
        <v>79.958610535000005</v>
      </c>
      <c r="E1609">
        <v>50</v>
      </c>
      <c r="F1609">
        <v>42.468814850000001</v>
      </c>
      <c r="G1609">
        <v>1380.0198975000001</v>
      </c>
      <c r="H1609">
        <v>1366.2340088000001</v>
      </c>
      <c r="I1609">
        <v>1284.1314697</v>
      </c>
      <c r="J1609">
        <v>1262.8789062000001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1229.860138</v>
      </c>
      <c r="B1610" s="1">
        <f>DATE(2013,9,11) + TIME(20,38,35)</f>
        <v>41528.860127314816</v>
      </c>
      <c r="C1610">
        <v>80</v>
      </c>
      <c r="D1610">
        <v>79.958671570000007</v>
      </c>
      <c r="E1610">
        <v>50</v>
      </c>
      <c r="F1610">
        <v>42.368171691999997</v>
      </c>
      <c r="G1610">
        <v>1379.9587402</v>
      </c>
      <c r="H1610">
        <v>1366.1737060999999</v>
      </c>
      <c r="I1610">
        <v>1284.0272216999999</v>
      </c>
      <c r="J1610">
        <v>1262.7080077999999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1232.1242890000001</v>
      </c>
      <c r="B1611" s="1">
        <f>DATE(2013,9,14) + TIME(2,58,58)</f>
        <v>41531.124282407407</v>
      </c>
      <c r="C1611">
        <v>80</v>
      </c>
      <c r="D1611">
        <v>79.958724975999999</v>
      </c>
      <c r="E1611">
        <v>50</v>
      </c>
      <c r="F1611">
        <v>42.270324707</v>
      </c>
      <c r="G1611">
        <v>1379.8981934000001</v>
      </c>
      <c r="H1611">
        <v>1366.1137695</v>
      </c>
      <c r="I1611">
        <v>1283.9246826000001</v>
      </c>
      <c r="J1611">
        <v>1262.5388184000001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1234.3884410000001</v>
      </c>
      <c r="B1612" s="1">
        <f>DATE(2013,9,16) + TIME(9,19,21)</f>
        <v>41533.388437499998</v>
      </c>
      <c r="C1612">
        <v>80</v>
      </c>
      <c r="D1612">
        <v>79.958786011000001</v>
      </c>
      <c r="E1612">
        <v>50</v>
      </c>
      <c r="F1612">
        <v>42.175098419000001</v>
      </c>
      <c r="G1612">
        <v>1379.8356934000001</v>
      </c>
      <c r="H1612">
        <v>1366.052124</v>
      </c>
      <c r="I1612">
        <v>1283.8206786999999</v>
      </c>
      <c r="J1612">
        <v>1262.3673096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1236.729726</v>
      </c>
      <c r="B1613" s="1">
        <f>DATE(2013,9,18) + TIME(17,30,48)</f>
        <v>41535.729722222219</v>
      </c>
      <c r="C1613">
        <v>80</v>
      </c>
      <c r="D1613">
        <v>79.958847046000002</v>
      </c>
      <c r="E1613">
        <v>50</v>
      </c>
      <c r="F1613">
        <v>42.083683014000002</v>
      </c>
      <c r="G1613">
        <v>1379.7738036999999</v>
      </c>
      <c r="H1613">
        <v>1365.9908447</v>
      </c>
      <c r="I1613">
        <v>1283.7186279</v>
      </c>
      <c r="J1613">
        <v>1262.1981201000001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1239.100815</v>
      </c>
      <c r="B1614" s="1">
        <f>DATE(2013,9,21) + TIME(2,25,10)</f>
        <v>41538.100810185184</v>
      </c>
      <c r="C1614">
        <v>80</v>
      </c>
      <c r="D1614">
        <v>79.958908081000004</v>
      </c>
      <c r="E1614">
        <v>50</v>
      </c>
      <c r="F1614">
        <v>41.996181487999998</v>
      </c>
      <c r="G1614">
        <v>1379.7104492000001</v>
      </c>
      <c r="H1614">
        <v>1365.9278564000001</v>
      </c>
      <c r="I1614">
        <v>1283.6162108999999</v>
      </c>
      <c r="J1614">
        <v>1262.0281981999999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1241.471904</v>
      </c>
      <c r="B1615" s="1">
        <f>DATE(2013,9,23) + TIME(11,19,32)</f>
        <v>41540.471898148149</v>
      </c>
      <c r="C1615">
        <v>80</v>
      </c>
      <c r="D1615">
        <v>79.958969116000006</v>
      </c>
      <c r="E1615">
        <v>50</v>
      </c>
      <c r="F1615">
        <v>41.914413451999998</v>
      </c>
      <c r="G1615">
        <v>1379.6466064000001</v>
      </c>
      <c r="H1615">
        <v>1365.864624</v>
      </c>
      <c r="I1615">
        <v>1283.5155029</v>
      </c>
      <c r="J1615">
        <v>1261.8608397999999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1243.842993</v>
      </c>
      <c r="B1616" s="1">
        <f>DATE(2013,9,25) + TIME(20,13,54)</f>
        <v>41542.842986111114</v>
      </c>
      <c r="C1616">
        <v>80</v>
      </c>
      <c r="D1616">
        <v>79.959030150999993</v>
      </c>
      <c r="E1616">
        <v>50</v>
      </c>
      <c r="F1616">
        <v>41.839866637999997</v>
      </c>
      <c r="G1616">
        <v>1379.5834961</v>
      </c>
      <c r="H1616">
        <v>1365.8018798999999</v>
      </c>
      <c r="I1616">
        <v>1283.4180908000001</v>
      </c>
      <c r="J1616">
        <v>1261.6984863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1246.214082</v>
      </c>
      <c r="B1617" s="1">
        <f>DATE(2013,9,28) + TIME(5,8,16)</f>
        <v>41545.214074074072</v>
      </c>
      <c r="C1617">
        <v>80</v>
      </c>
      <c r="D1617">
        <v>79.959091186999999</v>
      </c>
      <c r="E1617">
        <v>50</v>
      </c>
      <c r="F1617">
        <v>41.773418427000003</v>
      </c>
      <c r="G1617">
        <v>1379.5207519999999</v>
      </c>
      <c r="H1617">
        <v>1365.7395019999999</v>
      </c>
      <c r="I1617">
        <v>1283.3242187999999</v>
      </c>
      <c r="J1617">
        <v>1261.5419922000001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1248.6977569999999</v>
      </c>
      <c r="B1618" s="1">
        <f>DATE(2013,9,30) + TIME(16,44,46)</f>
        <v>41547.697754629633</v>
      </c>
      <c r="C1618">
        <v>80</v>
      </c>
      <c r="D1618">
        <v>79.959152222</v>
      </c>
      <c r="E1618">
        <v>50</v>
      </c>
      <c r="F1618">
        <v>41.715087891000003</v>
      </c>
      <c r="G1618">
        <v>1379.4586182</v>
      </c>
      <c r="H1618">
        <v>1365.6776123</v>
      </c>
      <c r="I1618">
        <v>1283.2340088000001</v>
      </c>
      <c r="J1618">
        <v>1261.3911132999999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1249</v>
      </c>
      <c r="B1619" s="1">
        <f>DATE(2013,10,1) + TIME(0,0,0)</f>
        <v>41548</v>
      </c>
      <c r="C1619">
        <v>80</v>
      </c>
      <c r="D1619">
        <v>79.959152222</v>
      </c>
      <c r="E1619">
        <v>50</v>
      </c>
      <c r="F1619">
        <v>41.697608948000003</v>
      </c>
      <c r="G1619">
        <v>1379.395874</v>
      </c>
      <c r="H1619">
        <v>1365.6156006000001</v>
      </c>
      <c r="I1619">
        <v>1283.1608887</v>
      </c>
      <c r="J1619">
        <v>1261.2813721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1251.4836749999999</v>
      </c>
      <c r="B1620" s="1">
        <f>DATE(2013,10,3) + TIME(11,36,29)</f>
        <v>41550.483668981484</v>
      </c>
      <c r="C1620">
        <v>80</v>
      </c>
      <c r="D1620">
        <v>79.959220885999997</v>
      </c>
      <c r="E1620">
        <v>50</v>
      </c>
      <c r="F1620">
        <v>41.657581329000003</v>
      </c>
      <c r="G1620">
        <v>1379.3858643000001</v>
      </c>
      <c r="H1620">
        <v>1365.6051024999999</v>
      </c>
      <c r="I1620">
        <v>1283.1307373</v>
      </c>
      <c r="J1620">
        <v>1261.21875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1254.0515049999999</v>
      </c>
      <c r="B1621" s="1">
        <f>DATE(2013,10,6) + TIME(1,14,10)</f>
        <v>41553.051504629628</v>
      </c>
      <c r="C1621">
        <v>80</v>
      </c>
      <c r="D1621">
        <v>79.959289550999998</v>
      </c>
      <c r="E1621">
        <v>50</v>
      </c>
      <c r="F1621">
        <v>41.621688843000001</v>
      </c>
      <c r="G1621">
        <v>1379.3222656</v>
      </c>
      <c r="H1621">
        <v>1365.541626</v>
      </c>
      <c r="I1621">
        <v>1283.0484618999999</v>
      </c>
      <c r="J1621">
        <v>1261.0825195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1256.653323</v>
      </c>
      <c r="B1622" s="1">
        <f>DATE(2013,10,8) + TIME(15,40,47)</f>
        <v>41555.653321759259</v>
      </c>
      <c r="C1622">
        <v>80</v>
      </c>
      <c r="D1622">
        <v>79.959350585999999</v>
      </c>
      <c r="E1622">
        <v>50</v>
      </c>
      <c r="F1622">
        <v>41.595611572000003</v>
      </c>
      <c r="G1622">
        <v>1379.2565918</v>
      </c>
      <c r="H1622">
        <v>1365.4760742000001</v>
      </c>
      <c r="I1622">
        <v>1282.9667969</v>
      </c>
      <c r="J1622">
        <v>1260.9479980000001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1259.2551410000001</v>
      </c>
      <c r="B1623" s="1">
        <f>DATE(2013,10,11) + TIME(6,7,24)</f>
        <v>41558.25513888889</v>
      </c>
      <c r="C1623">
        <v>80</v>
      </c>
      <c r="D1623">
        <v>79.959419249999996</v>
      </c>
      <c r="E1623">
        <v>50</v>
      </c>
      <c r="F1623">
        <v>41.582172393999997</v>
      </c>
      <c r="G1623">
        <v>1379.1906738</v>
      </c>
      <c r="H1623">
        <v>1365.4102783000001</v>
      </c>
      <c r="I1623">
        <v>1282.8890381000001</v>
      </c>
      <c r="J1623">
        <v>1260.8205565999999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1261.8569580000001</v>
      </c>
      <c r="B1624" s="1">
        <f>DATE(2013,10,13) + TIME(20,34,1)</f>
        <v>41560.856956018521</v>
      </c>
      <c r="C1624">
        <v>80</v>
      </c>
      <c r="D1624">
        <v>79.959480286000002</v>
      </c>
      <c r="E1624">
        <v>50</v>
      </c>
      <c r="F1624">
        <v>41.582740784000002</v>
      </c>
      <c r="G1624">
        <v>1379.1253661999999</v>
      </c>
      <c r="H1624">
        <v>1365.3449707</v>
      </c>
      <c r="I1624">
        <v>1282.8166504000001</v>
      </c>
      <c r="J1624">
        <v>1260.703125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1264.4587759999999</v>
      </c>
      <c r="B1625" s="1">
        <f>DATE(2013,10,16) + TIME(11,0,38)</f>
        <v>41563.458773148152</v>
      </c>
      <c r="C1625">
        <v>80</v>
      </c>
      <c r="D1625">
        <v>79.959548949999999</v>
      </c>
      <c r="E1625">
        <v>50</v>
      </c>
      <c r="F1625">
        <v>41.597961425999998</v>
      </c>
      <c r="G1625">
        <v>1379.0606689000001</v>
      </c>
      <c r="H1625">
        <v>1365.2801514</v>
      </c>
      <c r="I1625">
        <v>1282.7501221</v>
      </c>
      <c r="J1625">
        <v>1260.5966797000001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1267.060594</v>
      </c>
      <c r="B1626" s="1">
        <f>DATE(2013,10,19) + TIME(1,27,15)</f>
        <v>41566.060590277775</v>
      </c>
      <c r="C1626">
        <v>80</v>
      </c>
      <c r="D1626">
        <v>79.959609985</v>
      </c>
      <c r="E1626">
        <v>50</v>
      </c>
      <c r="F1626">
        <v>41.628173828000001</v>
      </c>
      <c r="G1626">
        <v>1378.9964600000001</v>
      </c>
      <c r="H1626">
        <v>1365.2160644999999</v>
      </c>
      <c r="I1626">
        <v>1282.6892089999999</v>
      </c>
      <c r="J1626">
        <v>1260.5013428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1269.8088459999999</v>
      </c>
      <c r="B1627" s="1">
        <f>DATE(2013,10,21) + TIME(19,24,44)</f>
        <v>41568.808842592596</v>
      </c>
      <c r="C1627">
        <v>80</v>
      </c>
      <c r="D1627">
        <v>79.959678650000001</v>
      </c>
      <c r="E1627">
        <v>50</v>
      </c>
      <c r="F1627">
        <v>41.674121857000003</v>
      </c>
      <c r="G1627">
        <v>1378.9329834</v>
      </c>
      <c r="H1627">
        <v>1365.1524658000001</v>
      </c>
      <c r="I1627">
        <v>1282.6337891000001</v>
      </c>
      <c r="J1627">
        <v>1260.4169922000001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1272.5570990000001</v>
      </c>
      <c r="B1628" s="1">
        <f>DATE(2013,10,24) + TIME(13,22,13)</f>
        <v>41571.55709490741</v>
      </c>
      <c r="C1628">
        <v>80</v>
      </c>
      <c r="D1628">
        <v>79.959747313999998</v>
      </c>
      <c r="E1628">
        <v>50</v>
      </c>
      <c r="F1628">
        <v>41.737815857000001</v>
      </c>
      <c r="G1628">
        <v>1378.8664550999999</v>
      </c>
      <c r="H1628">
        <v>1365.0859375</v>
      </c>
      <c r="I1628">
        <v>1282.5822754000001</v>
      </c>
      <c r="J1628">
        <v>1260.3410644999999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1275.389676</v>
      </c>
      <c r="B1629" s="1">
        <f>DATE(2013,10,27) + TIME(9,21,7)</f>
        <v>41574.389664351853</v>
      </c>
      <c r="C1629">
        <v>80</v>
      </c>
      <c r="D1629">
        <v>79.959815978999998</v>
      </c>
      <c r="E1629">
        <v>50</v>
      </c>
      <c r="F1629">
        <v>41.818870543999999</v>
      </c>
      <c r="G1629">
        <v>1378.8007812000001</v>
      </c>
      <c r="H1629">
        <v>1365.0201416</v>
      </c>
      <c r="I1629">
        <v>1282.536499</v>
      </c>
      <c r="J1629">
        <v>1260.2772216999999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1278.222252</v>
      </c>
      <c r="B1630" s="1">
        <f>DATE(2013,10,30) + TIME(5,20,2)</f>
        <v>41577.222245370373</v>
      </c>
      <c r="C1630">
        <v>80</v>
      </c>
      <c r="D1630">
        <v>79.959884643999999</v>
      </c>
      <c r="E1630">
        <v>50</v>
      </c>
      <c r="F1630">
        <v>41.918163300000003</v>
      </c>
      <c r="G1630">
        <v>1378.7337646000001</v>
      </c>
      <c r="H1630">
        <v>1364.953125</v>
      </c>
      <c r="I1630">
        <v>1282.4959716999999</v>
      </c>
      <c r="J1630">
        <v>1260.2244873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1280</v>
      </c>
      <c r="B1631" s="1">
        <f>DATE(2013,11,1) + TIME(0,0,0)</f>
        <v>41579</v>
      </c>
      <c r="C1631">
        <v>80</v>
      </c>
      <c r="D1631">
        <v>79.959922790999997</v>
      </c>
      <c r="E1631">
        <v>50</v>
      </c>
      <c r="F1631">
        <v>42.020294188999998</v>
      </c>
      <c r="G1631">
        <v>1378.6676024999999</v>
      </c>
      <c r="H1631">
        <v>1364.8870850000001</v>
      </c>
      <c r="I1631">
        <v>1282.4660644999999</v>
      </c>
      <c r="J1631">
        <v>1260.1864014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1280.0000010000001</v>
      </c>
      <c r="B1632" s="1">
        <f>DATE(2013,11,1) + TIME(0,0,0)</f>
        <v>41579</v>
      </c>
      <c r="C1632">
        <v>80</v>
      </c>
      <c r="D1632">
        <v>79.959800720000004</v>
      </c>
      <c r="E1632">
        <v>50</v>
      </c>
      <c r="F1632">
        <v>42.020412444999998</v>
      </c>
      <c r="G1632">
        <v>1364.0151367000001</v>
      </c>
      <c r="H1632">
        <v>1352.4819336</v>
      </c>
      <c r="I1632">
        <v>1305.8586425999999</v>
      </c>
      <c r="J1632">
        <v>1283.3599853999999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1280.000004</v>
      </c>
      <c r="B1633" s="1">
        <f>DATE(2013,11,1) + TIME(0,0,0)</f>
        <v>41579</v>
      </c>
      <c r="C1633">
        <v>80</v>
      </c>
      <c r="D1633">
        <v>79.959487914999997</v>
      </c>
      <c r="E1633">
        <v>50</v>
      </c>
      <c r="F1633">
        <v>42.020736694</v>
      </c>
      <c r="G1633">
        <v>1361.8125</v>
      </c>
      <c r="H1633">
        <v>1350.2788086</v>
      </c>
      <c r="I1633">
        <v>1308.2434082</v>
      </c>
      <c r="J1633">
        <v>1285.7795410000001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1280.0000130000001</v>
      </c>
      <c r="B1634" s="1">
        <f>DATE(2013,11,1) + TIME(0,0,1)</f>
        <v>41579.000011574077</v>
      </c>
      <c r="C1634">
        <v>80</v>
      </c>
      <c r="D1634">
        <v>79.958854674999998</v>
      </c>
      <c r="E1634">
        <v>50</v>
      </c>
      <c r="F1634">
        <v>42.021503447999997</v>
      </c>
      <c r="G1634">
        <v>1357.3663329999999</v>
      </c>
      <c r="H1634">
        <v>1345.8321533000001</v>
      </c>
      <c r="I1634">
        <v>1313.7811279</v>
      </c>
      <c r="J1634">
        <v>1291.3789062000001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1280.0000399999999</v>
      </c>
      <c r="B1635" s="1">
        <f>DATE(2013,11,1) + TIME(0,0,3)</f>
        <v>41579.000034722223</v>
      </c>
      <c r="C1635">
        <v>80</v>
      </c>
      <c r="D1635">
        <v>79.957923889</v>
      </c>
      <c r="E1635">
        <v>50</v>
      </c>
      <c r="F1635">
        <v>42.022945403999998</v>
      </c>
      <c r="G1635">
        <v>1350.8710937999999</v>
      </c>
      <c r="H1635">
        <v>1339.338501</v>
      </c>
      <c r="I1635">
        <v>1323.4893798999999</v>
      </c>
      <c r="J1635">
        <v>1301.1347656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1280.000121</v>
      </c>
      <c r="B1636" s="1">
        <f>DATE(2013,11,1) + TIME(0,0,10)</f>
        <v>41579.000115740739</v>
      </c>
      <c r="C1636">
        <v>80</v>
      </c>
      <c r="D1636">
        <v>79.956886291999993</v>
      </c>
      <c r="E1636">
        <v>50</v>
      </c>
      <c r="F1636">
        <v>42.025222778</v>
      </c>
      <c r="G1636">
        <v>1343.6430664</v>
      </c>
      <c r="H1636">
        <v>1332.1152344</v>
      </c>
      <c r="I1636">
        <v>1335.8549805</v>
      </c>
      <c r="J1636">
        <v>1313.5119629000001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1280.000364</v>
      </c>
      <c r="B1637" s="1">
        <f>DATE(2013,11,1) + TIME(0,0,31)</f>
        <v>41579.000358796293</v>
      </c>
      <c r="C1637">
        <v>80</v>
      </c>
      <c r="D1637">
        <v>79.955810546999999</v>
      </c>
      <c r="E1637">
        <v>50</v>
      </c>
      <c r="F1637">
        <v>42.029132842999999</v>
      </c>
      <c r="G1637">
        <v>1336.3774414</v>
      </c>
      <c r="H1637">
        <v>1324.8555908000001</v>
      </c>
      <c r="I1637">
        <v>1348.8779297000001</v>
      </c>
      <c r="J1637">
        <v>1326.5367432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1280.0010930000001</v>
      </c>
      <c r="B1638" s="1">
        <f>DATE(2013,11,1) + TIME(0,1,34)</f>
        <v>41579.001087962963</v>
      </c>
      <c r="C1638">
        <v>80</v>
      </c>
      <c r="D1638">
        <v>79.954643250000004</v>
      </c>
      <c r="E1638">
        <v>50</v>
      </c>
      <c r="F1638">
        <v>42.037731170999997</v>
      </c>
      <c r="G1638">
        <v>1329.0676269999999</v>
      </c>
      <c r="H1638">
        <v>1317.5328368999999</v>
      </c>
      <c r="I1638">
        <v>1362.1163329999999</v>
      </c>
      <c r="J1638">
        <v>1339.7628173999999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1280.0032799999999</v>
      </c>
      <c r="B1639" s="1">
        <f>DATE(2013,11,1) + TIME(0,4,43)</f>
        <v>41579.003275462965</v>
      </c>
      <c r="C1639">
        <v>80</v>
      </c>
      <c r="D1639">
        <v>79.953163146999998</v>
      </c>
      <c r="E1639">
        <v>50</v>
      </c>
      <c r="F1639">
        <v>42.060317992999998</v>
      </c>
      <c r="G1639">
        <v>1321.4793701000001</v>
      </c>
      <c r="H1639">
        <v>1309.8557129000001</v>
      </c>
      <c r="I1639">
        <v>1375.5733643000001</v>
      </c>
      <c r="J1639">
        <v>1353.1834716999999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1280.0098410000001</v>
      </c>
      <c r="B1640" s="1">
        <f>DATE(2013,11,1) + TIME(0,14,10)</f>
        <v>41579.009837962964</v>
      </c>
      <c r="C1640">
        <v>80</v>
      </c>
      <c r="D1640">
        <v>79.950851439999994</v>
      </c>
      <c r="E1640">
        <v>50</v>
      </c>
      <c r="F1640">
        <v>42.124347686999997</v>
      </c>
      <c r="G1640">
        <v>1313.8037108999999</v>
      </c>
      <c r="H1640">
        <v>1302.0059814000001</v>
      </c>
      <c r="I1640">
        <v>1388.1524658000001</v>
      </c>
      <c r="J1640">
        <v>1365.7384033000001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1280.029524</v>
      </c>
      <c r="B1641" s="1">
        <f>DATE(2013,11,1) + TIME(0,42,30)</f>
        <v>41579.029513888891</v>
      </c>
      <c r="C1641">
        <v>80</v>
      </c>
      <c r="D1641">
        <v>79.946327209000003</v>
      </c>
      <c r="E1641">
        <v>50</v>
      </c>
      <c r="F1641">
        <v>42.308750152999998</v>
      </c>
      <c r="G1641">
        <v>1307.4777832</v>
      </c>
      <c r="H1641">
        <v>1295.5085449000001</v>
      </c>
      <c r="I1641">
        <v>1397.1702881000001</v>
      </c>
      <c r="J1641">
        <v>1374.8087158000001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1280.087908</v>
      </c>
      <c r="B1642" s="1">
        <f>DATE(2013,11,1) + TIME(2,6,35)</f>
        <v>41579.087905092594</v>
      </c>
      <c r="C1642">
        <v>80</v>
      </c>
      <c r="D1642">
        <v>79.935539246000005</v>
      </c>
      <c r="E1642">
        <v>50</v>
      </c>
      <c r="F1642">
        <v>42.817096710000001</v>
      </c>
      <c r="G1642">
        <v>1304.2023925999999</v>
      </c>
      <c r="H1642">
        <v>1292.1358643000001</v>
      </c>
      <c r="I1642">
        <v>1400.7194824000001</v>
      </c>
      <c r="J1642">
        <v>1378.5537108999999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1280.149521</v>
      </c>
      <c r="B1643" s="1">
        <f>DATE(2013,11,1) + TIME(3,35,18)</f>
        <v>41579.149513888886</v>
      </c>
      <c r="C1643">
        <v>80</v>
      </c>
      <c r="D1643">
        <v>79.924728393999999</v>
      </c>
      <c r="E1643">
        <v>50</v>
      </c>
      <c r="F1643">
        <v>43.316326140999998</v>
      </c>
      <c r="G1643">
        <v>1303.4857178</v>
      </c>
      <c r="H1643">
        <v>1291.3962402</v>
      </c>
      <c r="I1643">
        <v>1401.0483397999999</v>
      </c>
      <c r="J1643">
        <v>1379.0611572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1280.2145640000001</v>
      </c>
      <c r="B1644" s="1">
        <f>DATE(2013,11,1) + TIME(5,8,58)</f>
        <v>41579.214560185188</v>
      </c>
      <c r="C1644">
        <v>80</v>
      </c>
      <c r="D1644">
        <v>79.913635253999999</v>
      </c>
      <c r="E1644">
        <v>50</v>
      </c>
      <c r="F1644">
        <v>43.805175781000003</v>
      </c>
      <c r="G1644">
        <v>1303.3100586</v>
      </c>
      <c r="H1644">
        <v>1291.215332</v>
      </c>
      <c r="I1644">
        <v>1400.8492432</v>
      </c>
      <c r="J1644">
        <v>1379.0322266000001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1280.283455</v>
      </c>
      <c r="B1645" s="1">
        <f>DATE(2013,11,1) + TIME(6,48,10)</f>
        <v>41579.283449074072</v>
      </c>
      <c r="C1645">
        <v>80</v>
      </c>
      <c r="D1645">
        <v>79.902153014999996</v>
      </c>
      <c r="E1645">
        <v>50</v>
      </c>
      <c r="F1645">
        <v>44.283386229999998</v>
      </c>
      <c r="G1645">
        <v>1303.2608643000001</v>
      </c>
      <c r="H1645">
        <v>1291.1654053</v>
      </c>
      <c r="I1645">
        <v>1400.5792236</v>
      </c>
      <c r="J1645">
        <v>1378.9254149999999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1280.356726</v>
      </c>
      <c r="B1646" s="1">
        <f>DATE(2013,11,1) + TIME(8,33,41)</f>
        <v>41579.356724537036</v>
      </c>
      <c r="C1646">
        <v>80</v>
      </c>
      <c r="D1646">
        <v>79.890213012999993</v>
      </c>
      <c r="E1646">
        <v>50</v>
      </c>
      <c r="F1646">
        <v>44.750759125000002</v>
      </c>
      <c r="G1646">
        <v>1303.2440185999999</v>
      </c>
      <c r="H1646">
        <v>1291.1488036999999</v>
      </c>
      <c r="I1646">
        <v>1400.3112793</v>
      </c>
      <c r="J1646">
        <v>1378.8143310999999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1280.435019</v>
      </c>
      <c r="B1647" s="1">
        <f>DATE(2013,11,1) + TIME(10,26,25)</f>
        <v>41579.435011574074</v>
      </c>
      <c r="C1647">
        <v>80</v>
      </c>
      <c r="D1647">
        <v>79.877738953000005</v>
      </c>
      <c r="E1647">
        <v>50</v>
      </c>
      <c r="F1647">
        <v>45.207050322999997</v>
      </c>
      <c r="G1647">
        <v>1303.2359618999999</v>
      </c>
      <c r="H1647">
        <v>1291.1413574000001</v>
      </c>
      <c r="I1647">
        <v>1400.0531006000001</v>
      </c>
      <c r="J1647">
        <v>1378.7070312000001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1280.5191279999999</v>
      </c>
      <c r="B1648" s="1">
        <f>DATE(2013,11,1) + TIME(12,27,32)</f>
        <v>41579.519120370373</v>
      </c>
      <c r="C1648">
        <v>80</v>
      </c>
      <c r="D1648">
        <v>79.864646911999998</v>
      </c>
      <c r="E1648">
        <v>50</v>
      </c>
      <c r="F1648">
        <v>45.651943207000002</v>
      </c>
      <c r="G1648">
        <v>1303.2305908000001</v>
      </c>
      <c r="H1648">
        <v>1291.1364745999999</v>
      </c>
      <c r="I1648">
        <v>1399.8038329999999</v>
      </c>
      <c r="J1648">
        <v>1378.6030272999999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1280.610036</v>
      </c>
      <c r="B1649" s="1">
        <f>DATE(2013,11,1) + TIME(14,38,27)</f>
        <v>41579.610034722224</v>
      </c>
      <c r="C1649">
        <v>80</v>
      </c>
      <c r="D1649">
        <v>79.850830078000001</v>
      </c>
      <c r="E1649">
        <v>50</v>
      </c>
      <c r="F1649">
        <v>46.085033416999998</v>
      </c>
      <c r="G1649">
        <v>1303.2258300999999</v>
      </c>
      <c r="H1649">
        <v>1291.1322021000001</v>
      </c>
      <c r="I1649">
        <v>1399.5621338000001</v>
      </c>
      <c r="J1649">
        <v>1378.5009766000001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1280.708981</v>
      </c>
      <c r="B1650" s="1">
        <f>DATE(2013,11,1) + TIME(17,0,55)</f>
        <v>41579.708969907406</v>
      </c>
      <c r="C1650">
        <v>80</v>
      </c>
      <c r="D1650">
        <v>79.836151122999993</v>
      </c>
      <c r="E1650">
        <v>50</v>
      </c>
      <c r="F1650">
        <v>46.505771637000002</v>
      </c>
      <c r="G1650">
        <v>1303.2209473</v>
      </c>
      <c r="H1650">
        <v>1291.1278076000001</v>
      </c>
      <c r="I1650">
        <v>1399.3272704999999</v>
      </c>
      <c r="J1650">
        <v>1378.4001464999999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1280.817554</v>
      </c>
      <c r="B1651" s="1">
        <f>DATE(2013,11,1) + TIME(19,37,16)</f>
        <v>41579.817546296297</v>
      </c>
      <c r="C1651">
        <v>80</v>
      </c>
      <c r="D1651">
        <v>79.820465088000006</v>
      </c>
      <c r="E1651">
        <v>50</v>
      </c>
      <c r="F1651">
        <v>46.913475036999998</v>
      </c>
      <c r="G1651">
        <v>1303.2159423999999</v>
      </c>
      <c r="H1651">
        <v>1291.1231689000001</v>
      </c>
      <c r="I1651">
        <v>1399.0987548999999</v>
      </c>
      <c r="J1651">
        <v>1378.3001709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1280.9378790000001</v>
      </c>
      <c r="B1652" s="1">
        <f>DATE(2013,11,1) + TIME(22,30,32)</f>
        <v>41579.93787037037</v>
      </c>
      <c r="C1652">
        <v>80</v>
      </c>
      <c r="D1652">
        <v>79.803535460999996</v>
      </c>
      <c r="E1652">
        <v>50</v>
      </c>
      <c r="F1652">
        <v>47.307380676000001</v>
      </c>
      <c r="G1652">
        <v>1303.2104492000001</v>
      </c>
      <c r="H1652">
        <v>1291.1180420000001</v>
      </c>
      <c r="I1652">
        <v>1398.8762207</v>
      </c>
      <c r="J1652">
        <v>1378.2004394999999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1281.0728059999999</v>
      </c>
      <c r="B1653" s="1">
        <f>DATE(2013,11,2) + TIME(1,44,50)</f>
        <v>41580.072800925926</v>
      </c>
      <c r="C1653">
        <v>80</v>
      </c>
      <c r="D1653">
        <v>79.785087584999999</v>
      </c>
      <c r="E1653">
        <v>50</v>
      </c>
      <c r="F1653">
        <v>47.686447143999999</v>
      </c>
      <c r="G1653">
        <v>1303.2045897999999</v>
      </c>
      <c r="H1653">
        <v>1291.1123047000001</v>
      </c>
      <c r="I1653">
        <v>1398.6590576000001</v>
      </c>
      <c r="J1653">
        <v>1378.1005858999999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1281.226298</v>
      </c>
      <c r="B1654" s="1">
        <f>DATE(2013,11,2) + TIME(5,25,52)</f>
        <v>41580.2262962963</v>
      </c>
      <c r="C1654">
        <v>80</v>
      </c>
      <c r="D1654">
        <v>79.764747619999994</v>
      </c>
      <c r="E1654">
        <v>50</v>
      </c>
      <c r="F1654">
        <v>48.049320221000002</v>
      </c>
      <c r="G1654">
        <v>1303.1981201000001</v>
      </c>
      <c r="H1654">
        <v>1291.105957</v>
      </c>
      <c r="I1654">
        <v>1398.4470214999999</v>
      </c>
      <c r="J1654">
        <v>1378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1281.4040769999999</v>
      </c>
      <c r="B1655" s="1">
        <f>DATE(2013,11,2) + TIME(9,41,52)</f>
        <v>41580.404074074075</v>
      </c>
      <c r="C1655">
        <v>80</v>
      </c>
      <c r="D1655">
        <v>79.741958617999998</v>
      </c>
      <c r="E1655">
        <v>50</v>
      </c>
      <c r="F1655">
        <v>48.394233704000001</v>
      </c>
      <c r="G1655">
        <v>1303.190918</v>
      </c>
      <c r="H1655">
        <v>1291.0988769999999</v>
      </c>
      <c r="I1655">
        <v>1398.239624</v>
      </c>
      <c r="J1655">
        <v>1377.8979492000001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1281.614781</v>
      </c>
      <c r="B1656" s="1">
        <f>DATE(2013,11,2) + TIME(14,45,17)</f>
        <v>41580.61478009259</v>
      </c>
      <c r="C1656">
        <v>80</v>
      </c>
      <c r="D1656">
        <v>79.715972899999997</v>
      </c>
      <c r="E1656">
        <v>50</v>
      </c>
      <c r="F1656">
        <v>48.718826294000003</v>
      </c>
      <c r="G1656">
        <v>1303.1827393000001</v>
      </c>
      <c r="H1656">
        <v>1291.0905762</v>
      </c>
      <c r="I1656">
        <v>1398.0362548999999</v>
      </c>
      <c r="J1656">
        <v>1377.7933350000001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1281.846595</v>
      </c>
      <c r="B1657" s="1">
        <f>DATE(2013,11,2) + TIME(20,19,5)</f>
        <v>41580.846585648149</v>
      </c>
      <c r="C1657">
        <v>80</v>
      </c>
      <c r="D1657">
        <v>79.687973021999994</v>
      </c>
      <c r="E1657">
        <v>50</v>
      </c>
      <c r="F1657">
        <v>48.996597289999997</v>
      </c>
      <c r="G1657">
        <v>1303.1733397999999</v>
      </c>
      <c r="H1657">
        <v>1291.0809326000001</v>
      </c>
      <c r="I1657">
        <v>1397.8503418</v>
      </c>
      <c r="J1657">
        <v>1377.6912841999999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1282.0811980000001</v>
      </c>
      <c r="B1658" s="1">
        <f>DATE(2013,11,3) + TIME(1,56,55)</f>
        <v>41581.081192129626</v>
      </c>
      <c r="C1658">
        <v>80</v>
      </c>
      <c r="D1658">
        <v>79.659667968999997</v>
      </c>
      <c r="E1658">
        <v>50</v>
      </c>
      <c r="F1658">
        <v>49.214637756000002</v>
      </c>
      <c r="G1658">
        <v>1303.1630858999999</v>
      </c>
      <c r="H1658">
        <v>1291.0704346</v>
      </c>
      <c r="I1658">
        <v>1397.6901855000001</v>
      </c>
      <c r="J1658">
        <v>1377.5969238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1282.323742</v>
      </c>
      <c r="B1659" s="1">
        <f>DATE(2013,11,3) + TIME(7,46,11)</f>
        <v>41581.323738425926</v>
      </c>
      <c r="C1659">
        <v>80</v>
      </c>
      <c r="D1659">
        <v>79.630622864000003</v>
      </c>
      <c r="E1659">
        <v>50</v>
      </c>
      <c r="F1659">
        <v>49.388153076000002</v>
      </c>
      <c r="G1659">
        <v>1303.152832</v>
      </c>
      <c r="H1659">
        <v>1291.0596923999999</v>
      </c>
      <c r="I1659">
        <v>1397.5507812000001</v>
      </c>
      <c r="J1659">
        <v>1377.5104980000001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1282.577135</v>
      </c>
      <c r="B1660" s="1">
        <f>DATE(2013,11,3) + TIME(13,51,4)</f>
        <v>41581.57712962963</v>
      </c>
      <c r="C1660">
        <v>80</v>
      </c>
      <c r="D1660">
        <v>79.600578307999996</v>
      </c>
      <c r="E1660">
        <v>50</v>
      </c>
      <c r="F1660">
        <v>49.526275634999998</v>
      </c>
      <c r="G1660">
        <v>1303.1424560999999</v>
      </c>
      <c r="H1660">
        <v>1291.0487060999999</v>
      </c>
      <c r="I1660">
        <v>1397.4273682</v>
      </c>
      <c r="J1660">
        <v>1377.4299315999999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1282.844767</v>
      </c>
      <c r="B1661" s="1">
        <f>DATE(2013,11,3) + TIME(20,16,27)</f>
        <v>41581.844756944447</v>
      </c>
      <c r="C1661">
        <v>80</v>
      </c>
      <c r="D1661">
        <v>79.569229125999996</v>
      </c>
      <c r="E1661">
        <v>50</v>
      </c>
      <c r="F1661">
        <v>49.635982513000002</v>
      </c>
      <c r="G1661">
        <v>1303.1317139</v>
      </c>
      <c r="H1661">
        <v>1291.0372314000001</v>
      </c>
      <c r="I1661">
        <v>1397.3165283000001</v>
      </c>
      <c r="J1661">
        <v>1377.3537598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1283.1304829999999</v>
      </c>
      <c r="B1662" s="1">
        <f>DATE(2013,11,4) + TIME(3,7,53)</f>
        <v>41582.130474537036</v>
      </c>
      <c r="C1662">
        <v>80</v>
      </c>
      <c r="D1662">
        <v>79.536247252999999</v>
      </c>
      <c r="E1662">
        <v>50</v>
      </c>
      <c r="F1662">
        <v>49.722637177000003</v>
      </c>
      <c r="G1662">
        <v>1303.1204834</v>
      </c>
      <c r="H1662">
        <v>1291.0251464999999</v>
      </c>
      <c r="I1662">
        <v>1397.2152100000001</v>
      </c>
      <c r="J1662">
        <v>1377.2807617000001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1283.4380739999999</v>
      </c>
      <c r="B1663" s="1">
        <f>DATE(2013,11,4) + TIME(10,30,49)</f>
        <v>41582.438067129631</v>
      </c>
      <c r="C1663">
        <v>80</v>
      </c>
      <c r="D1663">
        <v>79.501296996999997</v>
      </c>
      <c r="E1663">
        <v>50</v>
      </c>
      <c r="F1663">
        <v>49.790348053000002</v>
      </c>
      <c r="G1663">
        <v>1303.1087646000001</v>
      </c>
      <c r="H1663">
        <v>1291.0123291</v>
      </c>
      <c r="I1663">
        <v>1397.1213379000001</v>
      </c>
      <c r="J1663">
        <v>1377.2100829999999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1283.7673319999999</v>
      </c>
      <c r="B1664" s="1">
        <f>DATE(2013,11,4) + TIME(18,24,57)</f>
        <v>41582.767326388886</v>
      </c>
      <c r="C1664">
        <v>80</v>
      </c>
      <c r="D1664">
        <v>79.464355468999997</v>
      </c>
      <c r="E1664">
        <v>50</v>
      </c>
      <c r="F1664">
        <v>49.842002868999998</v>
      </c>
      <c r="G1664">
        <v>1303.0960693</v>
      </c>
      <c r="H1664">
        <v>1290.9986572</v>
      </c>
      <c r="I1664">
        <v>1397.0334473</v>
      </c>
      <c r="J1664">
        <v>1377.1408690999999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1284.1238129999999</v>
      </c>
      <c r="B1665" s="1">
        <f>DATE(2013,11,5) + TIME(2,58,17)</f>
        <v>41583.123807870368</v>
      </c>
      <c r="C1665">
        <v>80</v>
      </c>
      <c r="D1665">
        <v>79.424972534000005</v>
      </c>
      <c r="E1665">
        <v>50</v>
      </c>
      <c r="F1665">
        <v>49.880981445000003</v>
      </c>
      <c r="G1665">
        <v>1303.0827637</v>
      </c>
      <c r="H1665">
        <v>1290.9840088000001</v>
      </c>
      <c r="I1665">
        <v>1396.9505615</v>
      </c>
      <c r="J1665">
        <v>1377.0729980000001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1284.5140490000001</v>
      </c>
      <c r="B1666" s="1">
        <f>DATE(2013,11,5) + TIME(12,20,13)</f>
        <v>41583.514039351852</v>
      </c>
      <c r="C1666">
        <v>80</v>
      </c>
      <c r="D1666">
        <v>79.382606506000002</v>
      </c>
      <c r="E1666">
        <v>50</v>
      </c>
      <c r="F1666">
        <v>49.909938812</v>
      </c>
      <c r="G1666">
        <v>1303.0683594</v>
      </c>
      <c r="H1666">
        <v>1290.9681396000001</v>
      </c>
      <c r="I1666">
        <v>1396.8708495999999</v>
      </c>
      <c r="J1666">
        <v>1377.0058594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1284.94668</v>
      </c>
      <c r="B1667" s="1">
        <f>DATE(2013,11,5) + TIME(22,43,13)</f>
        <v>41583.94667824074</v>
      </c>
      <c r="C1667">
        <v>80</v>
      </c>
      <c r="D1667">
        <v>79.336570739999999</v>
      </c>
      <c r="E1667">
        <v>50</v>
      </c>
      <c r="F1667">
        <v>49.931041718000003</v>
      </c>
      <c r="G1667">
        <v>1303.0527344</v>
      </c>
      <c r="H1667">
        <v>1290.9509277</v>
      </c>
      <c r="I1667">
        <v>1396.7928466999999</v>
      </c>
      <c r="J1667">
        <v>1376.9383545000001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1285.4335060000001</v>
      </c>
      <c r="B1668" s="1">
        <f>DATE(2013,11,6) + TIME(10,24,14)</f>
        <v>41584.433495370373</v>
      </c>
      <c r="C1668">
        <v>80</v>
      </c>
      <c r="D1668">
        <v>79.285949707</v>
      </c>
      <c r="E1668">
        <v>50</v>
      </c>
      <c r="F1668">
        <v>49.946071625000002</v>
      </c>
      <c r="G1668">
        <v>1303.0356445</v>
      </c>
      <c r="H1668">
        <v>1290.9318848</v>
      </c>
      <c r="I1668">
        <v>1396.7150879000001</v>
      </c>
      <c r="J1668">
        <v>1376.869751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1285.9295890000001</v>
      </c>
      <c r="B1669" s="1">
        <f>DATE(2013,11,6) + TIME(22,18,36)</f>
        <v>41584.929583333331</v>
      </c>
      <c r="C1669">
        <v>80</v>
      </c>
      <c r="D1669">
        <v>79.233428954999994</v>
      </c>
      <c r="E1669">
        <v>50</v>
      </c>
      <c r="F1669">
        <v>49.955741881999998</v>
      </c>
      <c r="G1669">
        <v>1303.0162353999999</v>
      </c>
      <c r="H1669">
        <v>1290.9106445</v>
      </c>
      <c r="I1669">
        <v>1396.6365966999999</v>
      </c>
      <c r="J1669">
        <v>1376.7991943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1286.4330869999999</v>
      </c>
      <c r="B1670" s="1">
        <f>DATE(2013,11,7) + TIME(10,23,38)</f>
        <v>41585.433078703703</v>
      </c>
      <c r="C1670">
        <v>80</v>
      </c>
      <c r="D1670">
        <v>79.179634093999994</v>
      </c>
      <c r="E1670">
        <v>50</v>
      </c>
      <c r="F1670">
        <v>49.961940765000001</v>
      </c>
      <c r="G1670">
        <v>1302.996582</v>
      </c>
      <c r="H1670">
        <v>1290.8889160000001</v>
      </c>
      <c r="I1670">
        <v>1396.5635986</v>
      </c>
      <c r="J1670">
        <v>1376.7330322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1286.950983</v>
      </c>
      <c r="B1671" s="1">
        <f>DATE(2013,11,7) + TIME(22,49,24)</f>
        <v>41585.950972222221</v>
      </c>
      <c r="C1671">
        <v>80</v>
      </c>
      <c r="D1671">
        <v>79.124458313000005</v>
      </c>
      <c r="E1671">
        <v>50</v>
      </c>
      <c r="F1671">
        <v>49.965957641999999</v>
      </c>
      <c r="G1671">
        <v>1302.9768065999999</v>
      </c>
      <c r="H1671">
        <v>1290.8669434000001</v>
      </c>
      <c r="I1671">
        <v>1396.4956055</v>
      </c>
      <c r="J1671">
        <v>1376.6710204999999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1287.4899069999999</v>
      </c>
      <c r="B1672" s="1">
        <f>DATE(2013,11,8) + TIME(11,45,27)</f>
        <v>41586.489895833336</v>
      </c>
      <c r="C1672">
        <v>80</v>
      </c>
      <c r="D1672">
        <v>79.067596436000002</v>
      </c>
      <c r="E1672">
        <v>50</v>
      </c>
      <c r="F1672">
        <v>49.968578338999997</v>
      </c>
      <c r="G1672">
        <v>1302.956543</v>
      </c>
      <c r="H1672">
        <v>1290.8443603999999</v>
      </c>
      <c r="I1672">
        <v>1396.4309082</v>
      </c>
      <c r="J1672">
        <v>1376.6119385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1288.056863</v>
      </c>
      <c r="B1673" s="1">
        <f>DATE(2013,11,9) + TIME(1,21,52)</f>
        <v>41587.056851851848</v>
      </c>
      <c r="C1673">
        <v>80</v>
      </c>
      <c r="D1673">
        <v>79.008613585999996</v>
      </c>
      <c r="E1673">
        <v>50</v>
      </c>
      <c r="F1673">
        <v>49.970294952000003</v>
      </c>
      <c r="G1673">
        <v>1302.9355469</v>
      </c>
      <c r="H1673">
        <v>1290.8208007999999</v>
      </c>
      <c r="I1673">
        <v>1396.3684082</v>
      </c>
      <c r="J1673">
        <v>1376.5546875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1288.6598100000001</v>
      </c>
      <c r="B1674" s="1">
        <f>DATE(2013,11,9) + TIME(15,50,7)</f>
        <v>41587.659803240742</v>
      </c>
      <c r="C1674">
        <v>80</v>
      </c>
      <c r="D1674">
        <v>78.946937560999999</v>
      </c>
      <c r="E1674">
        <v>50</v>
      </c>
      <c r="F1674">
        <v>49.971427917</v>
      </c>
      <c r="G1674">
        <v>1302.9135742000001</v>
      </c>
      <c r="H1674">
        <v>1290.7961425999999</v>
      </c>
      <c r="I1674">
        <v>1396.3070068</v>
      </c>
      <c r="J1674">
        <v>1376.4985352000001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1289.308671</v>
      </c>
      <c r="B1675" s="1">
        <f>DATE(2013,11,10) + TIME(7,24,29)</f>
        <v>41588.308668981481</v>
      </c>
      <c r="C1675">
        <v>80</v>
      </c>
      <c r="D1675">
        <v>78.881828307999996</v>
      </c>
      <c r="E1675">
        <v>50</v>
      </c>
      <c r="F1675">
        <v>49.972179412999999</v>
      </c>
      <c r="G1675">
        <v>1302.8902588000001</v>
      </c>
      <c r="H1675">
        <v>1290.7697754000001</v>
      </c>
      <c r="I1675">
        <v>1396.2460937999999</v>
      </c>
      <c r="J1675">
        <v>1376.4428711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1290.0133080000001</v>
      </c>
      <c r="B1676" s="1">
        <f>DATE(2013,11,11) + TIME(0,19,9)</f>
        <v>41589.013298611113</v>
      </c>
      <c r="C1676">
        <v>80</v>
      </c>
      <c r="D1676">
        <v>78.812515258999994</v>
      </c>
      <c r="E1676">
        <v>50</v>
      </c>
      <c r="F1676">
        <v>49.972682953000003</v>
      </c>
      <c r="G1676">
        <v>1302.8652344</v>
      </c>
      <c r="H1676">
        <v>1290.7415771000001</v>
      </c>
      <c r="I1676">
        <v>1396.1848144999999</v>
      </c>
      <c r="J1676">
        <v>1376.3868408000001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1290.77352</v>
      </c>
      <c r="B1677" s="1">
        <f>DATE(2013,11,11) + TIME(18,33,52)</f>
        <v>41589.773518518516</v>
      </c>
      <c r="C1677">
        <v>80</v>
      </c>
      <c r="D1677">
        <v>78.738693237000007</v>
      </c>
      <c r="E1677">
        <v>50</v>
      </c>
      <c r="F1677">
        <v>49.973014831999997</v>
      </c>
      <c r="G1677">
        <v>1302.8380127</v>
      </c>
      <c r="H1677">
        <v>1290.7109375</v>
      </c>
      <c r="I1677">
        <v>1396.1226807</v>
      </c>
      <c r="J1677">
        <v>1376.3300781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1291.5673300000001</v>
      </c>
      <c r="B1678" s="1">
        <f>DATE(2013,11,12) + TIME(13,36,57)</f>
        <v>41590.567326388889</v>
      </c>
      <c r="C1678">
        <v>80</v>
      </c>
      <c r="D1678">
        <v>78.661331176999994</v>
      </c>
      <c r="E1678">
        <v>50</v>
      </c>
      <c r="F1678">
        <v>49.973236084</v>
      </c>
      <c r="G1678">
        <v>1302.8085937999999</v>
      </c>
      <c r="H1678">
        <v>1290.6778564000001</v>
      </c>
      <c r="I1678">
        <v>1396.0599365</v>
      </c>
      <c r="J1678">
        <v>1376.2729492000001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1292.377518</v>
      </c>
      <c r="B1679" s="1">
        <f>DATE(2013,11,13) + TIME(9,3,37)</f>
        <v>41591.377511574072</v>
      </c>
      <c r="C1679">
        <v>80</v>
      </c>
      <c r="D1679">
        <v>78.581741332999997</v>
      </c>
      <c r="E1679">
        <v>50</v>
      </c>
      <c r="F1679">
        <v>49.973381042</v>
      </c>
      <c r="G1679">
        <v>1302.777832</v>
      </c>
      <c r="H1679">
        <v>1290.6431885</v>
      </c>
      <c r="I1679">
        <v>1395.9987793</v>
      </c>
      <c r="J1679">
        <v>1376.2171631000001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1293.2030709999999</v>
      </c>
      <c r="B1680" s="1">
        <f>DATE(2013,11,14) + TIME(4,52,25)</f>
        <v>41592.203067129631</v>
      </c>
      <c r="C1680">
        <v>80</v>
      </c>
      <c r="D1680">
        <v>78.500663756999998</v>
      </c>
      <c r="E1680">
        <v>50</v>
      </c>
      <c r="F1680">
        <v>49.973480225000003</v>
      </c>
      <c r="G1680">
        <v>1302.7464600000001</v>
      </c>
      <c r="H1680">
        <v>1290.6076660000001</v>
      </c>
      <c r="I1680">
        <v>1395.9403076000001</v>
      </c>
      <c r="J1680">
        <v>1376.1640625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1294.0545259999999</v>
      </c>
      <c r="B1681" s="1">
        <f>DATE(2013,11,15) + TIME(1,18,31)</f>
        <v>41593.054525462961</v>
      </c>
      <c r="C1681">
        <v>80</v>
      </c>
      <c r="D1681">
        <v>78.417976378999995</v>
      </c>
      <c r="E1681">
        <v>50</v>
      </c>
      <c r="F1681">
        <v>49.973548889</v>
      </c>
      <c r="G1681">
        <v>1302.7144774999999</v>
      </c>
      <c r="H1681">
        <v>1290.5714111</v>
      </c>
      <c r="I1681">
        <v>1395.8843993999999</v>
      </c>
      <c r="J1681">
        <v>1376.1131591999999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1294.942663</v>
      </c>
      <c r="B1682" s="1">
        <f>DATE(2013,11,15) + TIME(22,37,26)</f>
        <v>41593.942662037036</v>
      </c>
      <c r="C1682">
        <v>80</v>
      </c>
      <c r="D1682">
        <v>78.333145142000006</v>
      </c>
      <c r="E1682">
        <v>50</v>
      </c>
      <c r="F1682">
        <v>49.973602294999999</v>
      </c>
      <c r="G1682">
        <v>1302.6813964999999</v>
      </c>
      <c r="H1682">
        <v>1290.5338135</v>
      </c>
      <c r="I1682">
        <v>1395.8299560999999</v>
      </c>
      <c r="J1682">
        <v>1376.0638428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1295.8793889999999</v>
      </c>
      <c r="B1683" s="1">
        <f>DATE(2013,11,16) + TIME(21,6,19)</f>
        <v>41594.879386574074</v>
      </c>
      <c r="C1683">
        <v>80</v>
      </c>
      <c r="D1683">
        <v>78.245399474999999</v>
      </c>
      <c r="E1683">
        <v>50</v>
      </c>
      <c r="F1683">
        <v>49.973644256999997</v>
      </c>
      <c r="G1683">
        <v>1302.6467285000001</v>
      </c>
      <c r="H1683">
        <v>1290.4943848</v>
      </c>
      <c r="I1683">
        <v>1395.7764893000001</v>
      </c>
      <c r="J1683">
        <v>1376.0152588000001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1296.879085</v>
      </c>
      <c r="B1684" s="1">
        <f>DATE(2013,11,17) + TIME(21,5,52)</f>
        <v>41595.879074074073</v>
      </c>
      <c r="C1684">
        <v>80</v>
      </c>
      <c r="D1684">
        <v>78.153755188000005</v>
      </c>
      <c r="E1684">
        <v>50</v>
      </c>
      <c r="F1684">
        <v>49.973674774000003</v>
      </c>
      <c r="G1684">
        <v>1302.6102295000001</v>
      </c>
      <c r="H1684">
        <v>1290.4526367000001</v>
      </c>
      <c r="I1684">
        <v>1395.7230225000001</v>
      </c>
      <c r="J1684">
        <v>1375.9669189000001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1297.95985</v>
      </c>
      <c r="B1685" s="1">
        <f>DATE(2013,11,18) + TIME(23,2,11)</f>
        <v>41596.959849537037</v>
      </c>
      <c r="C1685">
        <v>80</v>
      </c>
      <c r="D1685">
        <v>78.056983947999996</v>
      </c>
      <c r="E1685">
        <v>50</v>
      </c>
      <c r="F1685">
        <v>49.973705291999998</v>
      </c>
      <c r="G1685">
        <v>1302.5710449000001</v>
      </c>
      <c r="H1685">
        <v>1290.4078368999999</v>
      </c>
      <c r="I1685">
        <v>1395.6691894999999</v>
      </c>
      <c r="J1685">
        <v>1375.9180908000001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1299.102809</v>
      </c>
      <c r="B1686" s="1">
        <f>DATE(2013,11,20) + TIME(2,28,2)</f>
        <v>41598.102800925924</v>
      </c>
      <c r="C1686">
        <v>80</v>
      </c>
      <c r="D1686">
        <v>77.955146790000001</v>
      </c>
      <c r="E1686">
        <v>50</v>
      </c>
      <c r="F1686">
        <v>49.973731995000001</v>
      </c>
      <c r="G1686">
        <v>1302.5284423999999</v>
      </c>
      <c r="H1686">
        <v>1290.3591309000001</v>
      </c>
      <c r="I1686">
        <v>1395.6142577999999</v>
      </c>
      <c r="J1686">
        <v>1375.8682861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1300.252502</v>
      </c>
      <c r="B1687" s="1">
        <f>DATE(2013,11,21) + TIME(6,3,36)</f>
        <v>41599.252500000002</v>
      </c>
      <c r="C1687">
        <v>80</v>
      </c>
      <c r="D1687">
        <v>77.850669861</v>
      </c>
      <c r="E1687">
        <v>50</v>
      </c>
      <c r="F1687">
        <v>49.973754882999998</v>
      </c>
      <c r="G1687">
        <v>1302.4829102000001</v>
      </c>
      <c r="H1687">
        <v>1290.307251</v>
      </c>
      <c r="I1687">
        <v>1395.5592041</v>
      </c>
      <c r="J1687">
        <v>1375.8184814000001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1301.4238319999999</v>
      </c>
      <c r="B1688" s="1">
        <f>DATE(2013,11,22) + TIME(10,10,19)</f>
        <v>41600.423831018517</v>
      </c>
      <c r="C1688">
        <v>80</v>
      </c>
      <c r="D1688">
        <v>77.744857788000004</v>
      </c>
      <c r="E1688">
        <v>50</v>
      </c>
      <c r="F1688">
        <v>49.973777771000002</v>
      </c>
      <c r="G1688">
        <v>1302.4367675999999</v>
      </c>
      <c r="H1688">
        <v>1290.2543945</v>
      </c>
      <c r="I1688">
        <v>1395.5068358999999</v>
      </c>
      <c r="J1688">
        <v>1375.7709961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1302.631795</v>
      </c>
      <c r="B1689" s="1">
        <f>DATE(2013,11,23) + TIME(15,9,47)</f>
        <v>41601.631793981483</v>
      </c>
      <c r="C1689">
        <v>80</v>
      </c>
      <c r="D1689">
        <v>77.637504578000005</v>
      </c>
      <c r="E1689">
        <v>50</v>
      </c>
      <c r="F1689">
        <v>49.973800658999998</v>
      </c>
      <c r="G1689">
        <v>1302.3894043</v>
      </c>
      <c r="H1689">
        <v>1290.1999512</v>
      </c>
      <c r="I1689">
        <v>1395.4564209</v>
      </c>
      <c r="J1689">
        <v>1375.7252197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1303.8921290000001</v>
      </c>
      <c r="B1690" s="1">
        <f>DATE(2013,11,24) + TIME(21,24,39)</f>
        <v>41602.892118055555</v>
      </c>
      <c r="C1690">
        <v>80</v>
      </c>
      <c r="D1690">
        <v>77.527816771999994</v>
      </c>
      <c r="E1690">
        <v>50</v>
      </c>
      <c r="F1690">
        <v>49.973823547000002</v>
      </c>
      <c r="G1690">
        <v>1302.3402100000001</v>
      </c>
      <c r="H1690">
        <v>1290.1431885</v>
      </c>
      <c r="I1690">
        <v>1395.4068603999999</v>
      </c>
      <c r="J1690">
        <v>1375.6802978999999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1305.222456</v>
      </c>
      <c r="B1691" s="1">
        <f>DATE(2013,11,26) + TIME(5,20,20)</f>
        <v>41604.222453703704</v>
      </c>
      <c r="C1691">
        <v>80</v>
      </c>
      <c r="D1691">
        <v>77.414665221999996</v>
      </c>
      <c r="E1691">
        <v>50</v>
      </c>
      <c r="F1691">
        <v>49.973846436000002</v>
      </c>
      <c r="G1691">
        <v>1302.2882079999999</v>
      </c>
      <c r="H1691">
        <v>1290.0831298999999</v>
      </c>
      <c r="I1691">
        <v>1395.3577881000001</v>
      </c>
      <c r="J1691">
        <v>1375.6356201000001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1306.642261</v>
      </c>
      <c r="B1692" s="1">
        <f>DATE(2013,11,27) + TIME(15,24,51)</f>
        <v>41605.642256944448</v>
      </c>
      <c r="C1692">
        <v>80</v>
      </c>
      <c r="D1692">
        <v>77.296752929999997</v>
      </c>
      <c r="E1692">
        <v>50</v>
      </c>
      <c r="F1692">
        <v>49.973873138000002</v>
      </c>
      <c r="G1692">
        <v>1302.2329102000001</v>
      </c>
      <c r="H1692">
        <v>1290.019043</v>
      </c>
      <c r="I1692">
        <v>1395.3083495999999</v>
      </c>
      <c r="J1692">
        <v>1375.5906981999999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1308.062066</v>
      </c>
      <c r="B1693" s="1">
        <f>DATE(2013,11,29) + TIME(1,29,22)</f>
        <v>41607.062060185184</v>
      </c>
      <c r="C1693">
        <v>80</v>
      </c>
      <c r="D1693">
        <v>77.176055907999995</v>
      </c>
      <c r="E1693">
        <v>50</v>
      </c>
      <c r="F1693">
        <v>49.973896027000002</v>
      </c>
      <c r="G1693">
        <v>1302.1728516000001</v>
      </c>
      <c r="H1693">
        <v>1289.9498291</v>
      </c>
      <c r="I1693">
        <v>1395.2581786999999</v>
      </c>
      <c r="J1693">
        <v>1375.5449219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1309.599397</v>
      </c>
      <c r="B1694" s="1">
        <f>DATE(2013,11,30) + TIME(14,23,7)</f>
        <v>41608.599386574075</v>
      </c>
      <c r="C1694">
        <v>80</v>
      </c>
      <c r="D1694">
        <v>77.051651000999996</v>
      </c>
      <c r="E1694">
        <v>50</v>
      </c>
      <c r="F1694">
        <v>49.973922729000002</v>
      </c>
      <c r="G1694">
        <v>1302.1121826000001</v>
      </c>
      <c r="H1694">
        <v>1289.8789062000001</v>
      </c>
      <c r="I1694">
        <v>1395.2103271000001</v>
      </c>
      <c r="J1694">
        <v>1375.5013428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1310</v>
      </c>
      <c r="B1695" s="1">
        <f>DATE(2013,12,1) + TIME(0,0,0)</f>
        <v>41609</v>
      </c>
      <c r="C1695">
        <v>80</v>
      </c>
      <c r="D1695">
        <v>76.988822936999995</v>
      </c>
      <c r="E1695">
        <v>50</v>
      </c>
      <c r="F1695">
        <v>49.973926544000001</v>
      </c>
      <c r="G1695">
        <v>1302.0439452999999</v>
      </c>
      <c r="H1695">
        <v>1289.8061522999999</v>
      </c>
      <c r="I1695">
        <v>1395.1606445</v>
      </c>
      <c r="J1695">
        <v>1375.4560547000001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1311.5543789999999</v>
      </c>
      <c r="B1696" s="1">
        <f>DATE(2013,12,2) + TIME(13,18,18)</f>
        <v>41610.554375</v>
      </c>
      <c r="C1696">
        <v>80</v>
      </c>
      <c r="D1696">
        <v>76.879791260000005</v>
      </c>
      <c r="E1696">
        <v>50</v>
      </c>
      <c r="F1696">
        <v>49.973960876</v>
      </c>
      <c r="G1696">
        <v>1302.0269774999999</v>
      </c>
      <c r="H1696">
        <v>1289.7784423999999</v>
      </c>
      <c r="I1696">
        <v>1395.1485596</v>
      </c>
      <c r="J1696">
        <v>1375.4445800999999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1313.158921</v>
      </c>
      <c r="B1697" s="1">
        <f>DATE(2013,12,4) + TIME(3,48,50)</f>
        <v>41612.158912037034</v>
      </c>
      <c r="C1697">
        <v>80</v>
      </c>
      <c r="D1697">
        <v>76.756958007999998</v>
      </c>
      <c r="E1697">
        <v>50</v>
      </c>
      <c r="F1697">
        <v>49.973987579000003</v>
      </c>
      <c r="G1697">
        <v>1301.958374</v>
      </c>
      <c r="H1697">
        <v>1289.6990966999999</v>
      </c>
      <c r="I1697">
        <v>1395.1015625</v>
      </c>
      <c r="J1697">
        <v>1375.4014893000001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1314.763463</v>
      </c>
      <c r="B1698" s="1">
        <f>DATE(2013,12,5) + TIME(18,19,23)</f>
        <v>41613.763460648152</v>
      </c>
      <c r="C1698">
        <v>80</v>
      </c>
      <c r="D1698">
        <v>76.628967285000002</v>
      </c>
      <c r="E1698">
        <v>50</v>
      </c>
      <c r="F1698">
        <v>49.974018096999998</v>
      </c>
      <c r="G1698">
        <v>1301.8859863</v>
      </c>
      <c r="H1698">
        <v>1289.6143798999999</v>
      </c>
      <c r="I1698">
        <v>1395.0550536999999</v>
      </c>
      <c r="J1698">
        <v>1375.3586425999999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1316.368005</v>
      </c>
      <c r="B1699" s="1">
        <f>DATE(2013,12,7) + TIME(8,49,55)</f>
        <v>41615.367997685185</v>
      </c>
      <c r="C1699">
        <v>80</v>
      </c>
      <c r="D1699">
        <v>76.500259399000001</v>
      </c>
      <c r="E1699">
        <v>50</v>
      </c>
      <c r="F1699">
        <v>49.974044800000001</v>
      </c>
      <c r="G1699">
        <v>1301.8120117000001</v>
      </c>
      <c r="H1699">
        <v>1289.5274658000001</v>
      </c>
      <c r="I1699">
        <v>1395.0104980000001</v>
      </c>
      <c r="J1699">
        <v>1375.3175048999999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1318.2224679999999</v>
      </c>
      <c r="B1700" s="1">
        <f>DATE(2013,12,9) + TIME(5,20,21)</f>
        <v>41617.22246527778</v>
      </c>
      <c r="C1700">
        <v>80</v>
      </c>
      <c r="D1700">
        <v>76.365928650000001</v>
      </c>
      <c r="E1700">
        <v>50</v>
      </c>
      <c r="F1700">
        <v>49.974079132</v>
      </c>
      <c r="G1700">
        <v>1301.7366943</v>
      </c>
      <c r="H1700">
        <v>1289.4378661999999</v>
      </c>
      <c r="I1700">
        <v>1394.9678954999999</v>
      </c>
      <c r="J1700">
        <v>1375.2779541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1320.0769310000001</v>
      </c>
      <c r="B1701" s="1">
        <f>DATE(2013,12,11) + TIME(1,50,46)</f>
        <v>41619.076921296299</v>
      </c>
      <c r="C1701">
        <v>80</v>
      </c>
      <c r="D1701">
        <v>76.224052428999997</v>
      </c>
      <c r="E1701">
        <v>50</v>
      </c>
      <c r="F1701">
        <v>49.974113463999998</v>
      </c>
      <c r="G1701">
        <v>1301.6481934000001</v>
      </c>
      <c r="H1701">
        <v>1289.3334961</v>
      </c>
      <c r="I1701">
        <v>1394.9204102000001</v>
      </c>
      <c r="J1701">
        <v>1375.2338867000001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1322.050745</v>
      </c>
      <c r="B1702" s="1">
        <f>DATE(2013,12,13) + TIME(1,13,4)</f>
        <v>41621.050740740742</v>
      </c>
      <c r="C1702">
        <v>80</v>
      </c>
      <c r="D1702">
        <v>76.078262328999998</v>
      </c>
      <c r="E1702">
        <v>50</v>
      </c>
      <c r="F1702">
        <v>49.974151611000003</v>
      </c>
      <c r="G1702">
        <v>1301.5573730000001</v>
      </c>
      <c r="H1702">
        <v>1289.2252197</v>
      </c>
      <c r="I1702">
        <v>1394.875</v>
      </c>
      <c r="J1702">
        <v>1375.1915283000001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1324.024559</v>
      </c>
      <c r="B1703" s="1">
        <f>DATE(2013,12,15) + TIME(0,35,21)</f>
        <v>41623.024548611109</v>
      </c>
      <c r="C1703">
        <v>80</v>
      </c>
      <c r="D1703">
        <v>75.929092406999999</v>
      </c>
      <c r="E1703">
        <v>50</v>
      </c>
      <c r="F1703">
        <v>49.974189758000001</v>
      </c>
      <c r="G1703">
        <v>1301.4584961</v>
      </c>
      <c r="H1703">
        <v>1289.1075439000001</v>
      </c>
      <c r="I1703">
        <v>1394.8286132999999</v>
      </c>
      <c r="J1703">
        <v>1375.1479492000001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1326.082576</v>
      </c>
      <c r="B1704" s="1">
        <f>DATE(2013,12,17) + TIME(1,58,54)</f>
        <v>41625.082569444443</v>
      </c>
      <c r="C1704">
        <v>80</v>
      </c>
      <c r="D1704">
        <v>75.778343200999998</v>
      </c>
      <c r="E1704">
        <v>50</v>
      </c>
      <c r="F1704">
        <v>49.974227904999999</v>
      </c>
      <c r="G1704">
        <v>1301.3569336</v>
      </c>
      <c r="H1704">
        <v>1288.9855957</v>
      </c>
      <c r="I1704">
        <v>1394.7841797000001</v>
      </c>
      <c r="J1704">
        <v>1375.105957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1328.2204959999999</v>
      </c>
      <c r="B1705" s="1">
        <f>DATE(2013,12,19) + TIME(5,17,30)</f>
        <v>41627.220486111109</v>
      </c>
      <c r="C1705">
        <v>80</v>
      </c>
      <c r="D1705">
        <v>75.624229431000003</v>
      </c>
      <c r="E1705">
        <v>50</v>
      </c>
      <c r="F1705">
        <v>49.974266051999997</v>
      </c>
      <c r="G1705">
        <v>1301.2485352000001</v>
      </c>
      <c r="H1705">
        <v>1288.8549805</v>
      </c>
      <c r="I1705">
        <v>1394.7395019999999</v>
      </c>
      <c r="J1705">
        <v>1375.0635986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1330.358416</v>
      </c>
      <c r="B1706" s="1">
        <f>DATE(2013,12,21) + TIME(8,36,7)</f>
        <v>41629.358414351853</v>
      </c>
      <c r="C1706">
        <v>80</v>
      </c>
      <c r="D1706">
        <v>75.468025208</v>
      </c>
      <c r="E1706">
        <v>50</v>
      </c>
      <c r="F1706">
        <v>49.974308014000002</v>
      </c>
      <c r="G1706">
        <v>1301.1329346</v>
      </c>
      <c r="H1706">
        <v>1288.715332</v>
      </c>
      <c r="I1706">
        <v>1394.6949463000001</v>
      </c>
      <c r="J1706">
        <v>1375.0211182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1332.6568910000001</v>
      </c>
      <c r="B1707" s="1">
        <f>DATE(2013,12,23) + TIME(15,45,55)</f>
        <v>41631.656886574077</v>
      </c>
      <c r="C1707">
        <v>80</v>
      </c>
      <c r="D1707">
        <v>75.309280396000005</v>
      </c>
      <c r="E1707">
        <v>50</v>
      </c>
      <c r="F1707">
        <v>49.974349975999999</v>
      </c>
      <c r="G1707">
        <v>1301.0139160000001</v>
      </c>
      <c r="H1707">
        <v>1288.5704346</v>
      </c>
      <c r="I1707">
        <v>1394.6520995999999</v>
      </c>
      <c r="J1707">
        <v>1374.9799805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1334.997169</v>
      </c>
      <c r="B1708" s="1">
        <f>DATE(2013,12,25) + TIME(23,55,55)</f>
        <v>41633.997164351851</v>
      </c>
      <c r="C1708">
        <v>80</v>
      </c>
      <c r="D1708">
        <v>75.145217896000005</v>
      </c>
      <c r="E1708">
        <v>50</v>
      </c>
      <c r="F1708">
        <v>49.974395752</v>
      </c>
      <c r="G1708">
        <v>1300.8829346</v>
      </c>
      <c r="H1708">
        <v>1288.4108887</v>
      </c>
      <c r="I1708">
        <v>1394.6076660000001</v>
      </c>
      <c r="J1708">
        <v>1374.9371338000001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1337.3863530000001</v>
      </c>
      <c r="B1709" s="1">
        <f>DATE(2013,12,28) + TIME(9,16,20)</f>
        <v>41636.386342592596</v>
      </c>
      <c r="C1709">
        <v>80</v>
      </c>
      <c r="D1709">
        <v>74.978744507000002</v>
      </c>
      <c r="E1709">
        <v>50</v>
      </c>
      <c r="F1709">
        <v>49.974441528</v>
      </c>
      <c r="G1709">
        <v>1300.7454834</v>
      </c>
      <c r="H1709">
        <v>1288.2423096</v>
      </c>
      <c r="I1709">
        <v>1394.5640868999999</v>
      </c>
      <c r="J1709">
        <v>1374.8947754000001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1339.830299</v>
      </c>
      <c r="B1710" s="1">
        <f>DATE(2013,12,30) + TIME(19,55,37)</f>
        <v>41638.830289351848</v>
      </c>
      <c r="C1710">
        <v>80</v>
      </c>
      <c r="D1710">
        <v>74.810104370000005</v>
      </c>
      <c r="E1710">
        <v>50</v>
      </c>
      <c r="F1710">
        <v>49.974487304999997</v>
      </c>
      <c r="G1710">
        <v>1300.6009521000001</v>
      </c>
      <c r="H1710">
        <v>1288.0642089999999</v>
      </c>
      <c r="I1710">
        <v>1394.5211182</v>
      </c>
      <c r="J1710">
        <v>1374.8527832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1341</v>
      </c>
      <c r="B1711" s="1">
        <f>DATE(2014,1,1) + TIME(0,0,0)</f>
        <v>41640</v>
      </c>
      <c r="C1711">
        <v>80</v>
      </c>
      <c r="D1711">
        <v>74.678215026999993</v>
      </c>
      <c r="E1711">
        <v>50</v>
      </c>
      <c r="F1711">
        <v>49.974506378000001</v>
      </c>
      <c r="G1711">
        <v>1300.4505615</v>
      </c>
      <c r="H1711">
        <v>1287.8833007999999</v>
      </c>
      <c r="I1711">
        <v>1394.4782714999999</v>
      </c>
      <c r="J1711">
        <v>1374.8107910000001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1343.443947</v>
      </c>
      <c r="B1712" s="1">
        <f>DATE(2014,1,3) + TIME(10,39,17)</f>
        <v>41642.44394675926</v>
      </c>
      <c r="C1712">
        <v>80</v>
      </c>
      <c r="D1712">
        <v>74.545509338000002</v>
      </c>
      <c r="E1712">
        <v>50</v>
      </c>
      <c r="F1712">
        <v>49.974555969000001</v>
      </c>
      <c r="G1712">
        <v>1300.3687743999999</v>
      </c>
      <c r="H1712">
        <v>1287.7735596</v>
      </c>
      <c r="I1712">
        <v>1394.4591064000001</v>
      </c>
      <c r="J1712">
        <v>1374.7911377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1345.887894</v>
      </c>
      <c r="B1713" s="1">
        <f>DATE(2014,1,5) + TIME(21,18,34)</f>
        <v>41644.88789351852</v>
      </c>
      <c r="C1713">
        <v>80</v>
      </c>
      <c r="D1713">
        <v>74.386238098000007</v>
      </c>
      <c r="E1713">
        <v>50</v>
      </c>
      <c r="F1713">
        <v>49.974601745999998</v>
      </c>
      <c r="G1713">
        <v>1300.213501</v>
      </c>
      <c r="H1713">
        <v>1287.5817870999999</v>
      </c>
      <c r="I1713">
        <v>1394.4188231999999</v>
      </c>
      <c r="J1713">
        <v>1374.7513428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1348.5124719999999</v>
      </c>
      <c r="B1714" s="1">
        <f>DATE(2014,1,8) + TIME(12,17,57)</f>
        <v>41647.512465277781</v>
      </c>
      <c r="C1714">
        <v>80</v>
      </c>
      <c r="D1714">
        <v>74.217491150000001</v>
      </c>
      <c r="E1714">
        <v>50</v>
      </c>
      <c r="F1714">
        <v>49.974655151</v>
      </c>
      <c r="G1714">
        <v>1300.0505370999999</v>
      </c>
      <c r="H1714">
        <v>1287.3774414</v>
      </c>
      <c r="I1714">
        <v>1394.3797606999999</v>
      </c>
      <c r="J1714">
        <v>1374.7122803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1351.172176</v>
      </c>
      <c r="B1715" s="1">
        <f>DATE(2014,1,11) + TIME(4,7,55)</f>
        <v>41650.172164351854</v>
      </c>
      <c r="C1715">
        <v>80</v>
      </c>
      <c r="D1715">
        <v>74.039932250999996</v>
      </c>
      <c r="E1715">
        <v>50</v>
      </c>
      <c r="F1715">
        <v>49.974704742</v>
      </c>
      <c r="G1715">
        <v>1299.8710937999999</v>
      </c>
      <c r="H1715">
        <v>1287.1518555</v>
      </c>
      <c r="I1715">
        <v>1394.3392334</v>
      </c>
      <c r="J1715">
        <v>1374.6712646000001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1353.8318790000001</v>
      </c>
      <c r="B1716" s="1">
        <f>DATE(2014,1,13) + TIME(19,57,54)</f>
        <v>41652.831875000003</v>
      </c>
      <c r="C1716">
        <v>80</v>
      </c>
      <c r="D1716">
        <v>73.859169006000002</v>
      </c>
      <c r="E1716">
        <v>50</v>
      </c>
      <c r="F1716">
        <v>49.974754333</v>
      </c>
      <c r="G1716">
        <v>1299.6831055</v>
      </c>
      <c r="H1716">
        <v>1286.9141846</v>
      </c>
      <c r="I1716">
        <v>1394.2993164</v>
      </c>
      <c r="J1716">
        <v>1374.6307373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1356.491583</v>
      </c>
      <c r="B1717" s="1">
        <f>DATE(2014,1,16) + TIME(11,47,52)</f>
        <v>41655.491574074076</v>
      </c>
      <c r="C1717">
        <v>80</v>
      </c>
      <c r="D1717">
        <v>73.677558899000005</v>
      </c>
      <c r="E1717">
        <v>50</v>
      </c>
      <c r="F1717">
        <v>49.974807738999999</v>
      </c>
      <c r="G1717">
        <v>1299.4893798999999</v>
      </c>
      <c r="H1717">
        <v>1286.6676024999999</v>
      </c>
      <c r="I1717">
        <v>1394.2606201000001</v>
      </c>
      <c r="J1717">
        <v>1374.5910644999999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1359.151286</v>
      </c>
      <c r="B1718" s="1">
        <f>DATE(2014,1,19) + TIME(3,37,51)</f>
        <v>41658.151284722226</v>
      </c>
      <c r="C1718">
        <v>80</v>
      </c>
      <c r="D1718">
        <v>73.495414733999993</v>
      </c>
      <c r="E1718">
        <v>50</v>
      </c>
      <c r="F1718">
        <v>49.974857329999999</v>
      </c>
      <c r="G1718">
        <v>1299.2901611</v>
      </c>
      <c r="H1718">
        <v>1286.4128418</v>
      </c>
      <c r="I1718">
        <v>1394.2230225000001</v>
      </c>
      <c r="J1718">
        <v>1374.5523682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1361.8109890000001</v>
      </c>
      <c r="B1719" s="1">
        <f>DATE(2014,1,21) + TIME(19,27,49)</f>
        <v>41660.810983796298</v>
      </c>
      <c r="C1719">
        <v>80</v>
      </c>
      <c r="D1719">
        <v>73.312515258999994</v>
      </c>
      <c r="E1719">
        <v>50</v>
      </c>
      <c r="F1719">
        <v>49.974906920999999</v>
      </c>
      <c r="G1719">
        <v>1299.0855713000001</v>
      </c>
      <c r="H1719">
        <v>1286.1499022999999</v>
      </c>
      <c r="I1719">
        <v>1394.1864014</v>
      </c>
      <c r="J1719">
        <v>1374.5144043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1364.6577689999999</v>
      </c>
      <c r="B1720" s="1">
        <f>DATE(2014,1,24) + TIME(15,47,11)</f>
        <v>41663.657766203702</v>
      </c>
      <c r="C1720">
        <v>80</v>
      </c>
      <c r="D1720">
        <v>73.125511169000006</v>
      </c>
      <c r="E1720">
        <v>50</v>
      </c>
      <c r="F1720">
        <v>49.974964141999997</v>
      </c>
      <c r="G1720">
        <v>1298.8753661999999</v>
      </c>
      <c r="H1720">
        <v>1285.8780518000001</v>
      </c>
      <c r="I1720">
        <v>1394.1508789</v>
      </c>
      <c r="J1720">
        <v>1374.4771728999999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1367.504549</v>
      </c>
      <c r="B1721" s="1">
        <f>DATE(2014,1,27) + TIME(12,6,33)</f>
        <v>41666.504548611112</v>
      </c>
      <c r="C1721">
        <v>80</v>
      </c>
      <c r="D1721">
        <v>72.929420471</v>
      </c>
      <c r="E1721">
        <v>50</v>
      </c>
      <c r="F1721">
        <v>49.975017547999997</v>
      </c>
      <c r="G1721">
        <v>1298.6466064000001</v>
      </c>
      <c r="H1721">
        <v>1285.5820312000001</v>
      </c>
      <c r="I1721">
        <v>1394.1136475000001</v>
      </c>
      <c r="J1721">
        <v>1374.4382324000001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1370.3513290000001</v>
      </c>
      <c r="B1722" s="1">
        <f>DATE(2014,1,30) + TIME(8,25,54)</f>
        <v>41669.351319444446</v>
      </c>
      <c r="C1722">
        <v>80</v>
      </c>
      <c r="D1722">
        <v>72.729484557999996</v>
      </c>
      <c r="E1722">
        <v>50</v>
      </c>
      <c r="F1722">
        <v>49.975070952999999</v>
      </c>
      <c r="G1722">
        <v>1298.4107666</v>
      </c>
      <c r="H1722">
        <v>1285.2749022999999</v>
      </c>
      <c r="I1722">
        <v>1394.0775146000001</v>
      </c>
      <c r="J1722">
        <v>1374.3999022999999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1372</v>
      </c>
      <c r="B1723" s="1">
        <f>DATE(2014,2,1) + TIME(0,0,0)</f>
        <v>41671</v>
      </c>
      <c r="C1723">
        <v>80</v>
      </c>
      <c r="D1723">
        <v>72.555908203000001</v>
      </c>
      <c r="E1723">
        <v>50</v>
      </c>
      <c r="F1723">
        <v>49.975101471000002</v>
      </c>
      <c r="G1723">
        <v>1298.1726074000001</v>
      </c>
      <c r="H1723">
        <v>1284.9686279</v>
      </c>
      <c r="I1723">
        <v>1394.041626</v>
      </c>
      <c r="J1723">
        <v>1374.3620605000001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1374.8467800000001</v>
      </c>
      <c r="B1724" s="1">
        <f>DATE(2014,2,3) + TIME(20,19,21)</f>
        <v>41673.846770833334</v>
      </c>
      <c r="C1724">
        <v>80</v>
      </c>
      <c r="D1724">
        <v>72.394020080999994</v>
      </c>
      <c r="E1724">
        <v>50</v>
      </c>
      <c r="F1724">
        <v>49.975154877000001</v>
      </c>
      <c r="G1724">
        <v>1298.0153809000001</v>
      </c>
      <c r="H1724">
        <v>1284.7529297000001</v>
      </c>
      <c r="I1724">
        <v>1394.0220947</v>
      </c>
      <c r="J1724">
        <v>1374.340332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1377.8626099999999</v>
      </c>
      <c r="B1725" s="1">
        <f>DATE(2014,2,6) + TIME(20,42,9)</f>
        <v>41676.862604166665</v>
      </c>
      <c r="C1725">
        <v>80</v>
      </c>
      <c r="D1725">
        <v>72.193298339999998</v>
      </c>
      <c r="E1725">
        <v>50</v>
      </c>
      <c r="F1725">
        <v>49.975212096999996</v>
      </c>
      <c r="G1725">
        <v>1297.7725829999999</v>
      </c>
      <c r="H1725">
        <v>1284.4351807</v>
      </c>
      <c r="I1725">
        <v>1393.9880370999999</v>
      </c>
      <c r="J1725">
        <v>1374.3040771000001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1380.9167580000001</v>
      </c>
      <c r="B1726" s="1">
        <f>DATE(2014,2,9) + TIME(22,0,7)</f>
        <v>41679.916747685187</v>
      </c>
      <c r="C1726">
        <v>80</v>
      </c>
      <c r="D1726">
        <v>71.972633361999996</v>
      </c>
      <c r="E1726">
        <v>50</v>
      </c>
      <c r="F1726">
        <v>49.975269318000002</v>
      </c>
      <c r="G1726">
        <v>1297.5048827999999</v>
      </c>
      <c r="H1726">
        <v>1284.0817870999999</v>
      </c>
      <c r="I1726">
        <v>1393.9527588000001</v>
      </c>
      <c r="J1726">
        <v>1374.2661132999999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1383.9709049999999</v>
      </c>
      <c r="B1727" s="1">
        <f>DATE(2014,2,12) + TIME(23,18,6)</f>
        <v>41682.970902777779</v>
      </c>
      <c r="C1727">
        <v>80</v>
      </c>
      <c r="D1727">
        <v>71.742065429999997</v>
      </c>
      <c r="E1727">
        <v>50</v>
      </c>
      <c r="F1727">
        <v>49.975326537999997</v>
      </c>
      <c r="G1727">
        <v>1297.2254639</v>
      </c>
      <c r="H1727">
        <v>1283.7106934000001</v>
      </c>
      <c r="I1727">
        <v>1393.9176024999999</v>
      </c>
      <c r="J1727">
        <v>1374.2282714999999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1387.0250530000001</v>
      </c>
      <c r="B1728" s="1">
        <f>DATE(2014,2,16) + TIME(0,36,4)</f>
        <v>41686.025046296294</v>
      </c>
      <c r="C1728">
        <v>80</v>
      </c>
      <c r="D1728">
        <v>71.505004882999998</v>
      </c>
      <c r="E1728">
        <v>50</v>
      </c>
      <c r="F1728">
        <v>49.975379943999997</v>
      </c>
      <c r="G1728">
        <v>1296.9393310999999</v>
      </c>
      <c r="H1728">
        <v>1283.3287353999999</v>
      </c>
      <c r="I1728">
        <v>1393.8833007999999</v>
      </c>
      <c r="J1728">
        <v>1374.1907959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1390.079201</v>
      </c>
      <c r="B1729" s="1">
        <f>DATE(2014,2,19) + TIME(1,54,2)</f>
        <v>41689.079189814816</v>
      </c>
      <c r="C1729">
        <v>80</v>
      </c>
      <c r="D1729">
        <v>71.261795043999996</v>
      </c>
      <c r="E1729">
        <v>50</v>
      </c>
      <c r="F1729">
        <v>49.975437163999999</v>
      </c>
      <c r="G1729">
        <v>1296.6475829999999</v>
      </c>
      <c r="H1729">
        <v>1282.9375</v>
      </c>
      <c r="I1729">
        <v>1393.8496094</v>
      </c>
      <c r="J1729">
        <v>1374.1540527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1393.1333480000001</v>
      </c>
      <c r="B1730" s="1">
        <f>DATE(2014,2,22) + TIME(3,12,1)</f>
        <v>41692.133344907408</v>
      </c>
      <c r="C1730">
        <v>80</v>
      </c>
      <c r="D1730">
        <v>71.012130737000007</v>
      </c>
      <c r="E1730">
        <v>50</v>
      </c>
      <c r="F1730">
        <v>49.975494384999998</v>
      </c>
      <c r="G1730">
        <v>1296.3505858999999</v>
      </c>
      <c r="H1730">
        <v>1282.5374756000001</v>
      </c>
      <c r="I1730">
        <v>1393.8165283000001</v>
      </c>
      <c r="J1730">
        <v>1374.1177978999999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1396.187496</v>
      </c>
      <c r="B1731" s="1">
        <f>DATE(2014,2,25) + TIME(4,29,59)</f>
        <v>41695.187488425923</v>
      </c>
      <c r="C1731">
        <v>80</v>
      </c>
      <c r="D1731">
        <v>70.755569457999997</v>
      </c>
      <c r="E1731">
        <v>50</v>
      </c>
      <c r="F1731">
        <v>49.975547790999997</v>
      </c>
      <c r="G1731">
        <v>1296.0485839999999</v>
      </c>
      <c r="H1731">
        <v>1282.1290283000001</v>
      </c>
      <c r="I1731">
        <v>1393.7839355000001</v>
      </c>
      <c r="J1731">
        <v>1374.0819091999999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1399.4933229999999</v>
      </c>
      <c r="B1732" s="1">
        <f>DATE(2014,2,28) + TIME(11,50,23)</f>
        <v>41698.493321759262</v>
      </c>
      <c r="C1732">
        <v>80</v>
      </c>
      <c r="D1732">
        <v>70.487289429</v>
      </c>
      <c r="E1732">
        <v>50</v>
      </c>
      <c r="F1732">
        <v>49.975608825999998</v>
      </c>
      <c r="G1732">
        <v>1295.7413329999999</v>
      </c>
      <c r="H1732">
        <v>1281.7108154</v>
      </c>
      <c r="I1732">
        <v>1393.7519531</v>
      </c>
      <c r="J1732">
        <v>1374.0466309000001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1400</v>
      </c>
      <c r="B1733" s="1">
        <f>DATE(2014,3,1) + TIME(0,0,0)</f>
        <v>41699</v>
      </c>
      <c r="C1733">
        <v>80</v>
      </c>
      <c r="D1733">
        <v>70.349472046000002</v>
      </c>
      <c r="E1733">
        <v>50</v>
      </c>
      <c r="F1733">
        <v>49.975616455000001</v>
      </c>
      <c r="G1733">
        <v>1295.4302978999999</v>
      </c>
      <c r="H1733">
        <v>1281.3201904</v>
      </c>
      <c r="I1733">
        <v>1393.7166748</v>
      </c>
      <c r="J1733">
        <v>1374.0092772999999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1403.3058269999999</v>
      </c>
      <c r="B1734" s="1">
        <f>DATE(2014,3,4) + TIME(7,20,23)</f>
        <v>41702.305821759262</v>
      </c>
      <c r="C1734">
        <v>80</v>
      </c>
      <c r="D1734">
        <v>70.131660460999996</v>
      </c>
      <c r="E1734">
        <v>50</v>
      </c>
      <c r="F1734">
        <v>49.975677490000002</v>
      </c>
      <c r="G1734">
        <v>1295.3376464999999</v>
      </c>
      <c r="H1734">
        <v>1281.1553954999999</v>
      </c>
      <c r="I1734">
        <v>1393.7125243999999</v>
      </c>
      <c r="J1734">
        <v>1374.0025635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1406.6116549999999</v>
      </c>
      <c r="B1735" s="1">
        <f>DATE(2014,3,7) + TIME(14,40,46)</f>
        <v>41705.611643518518</v>
      </c>
      <c r="C1735">
        <v>80</v>
      </c>
      <c r="D1735">
        <v>69.842529296999999</v>
      </c>
      <c r="E1735">
        <v>50</v>
      </c>
      <c r="F1735">
        <v>49.975734711000001</v>
      </c>
      <c r="G1735">
        <v>1295.010376</v>
      </c>
      <c r="H1735">
        <v>1280.7117920000001</v>
      </c>
      <c r="I1735">
        <v>1393.6788329999999</v>
      </c>
      <c r="J1735">
        <v>1373.9659423999999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1409.9174820000001</v>
      </c>
      <c r="B1736" s="1">
        <f>DATE(2014,3,10) + TIME(22,1,10)</f>
        <v>41708.91747685185</v>
      </c>
      <c r="C1736">
        <v>80</v>
      </c>
      <c r="D1736">
        <v>69.530723571999999</v>
      </c>
      <c r="E1736">
        <v>50</v>
      </c>
      <c r="F1736">
        <v>49.975791931000003</v>
      </c>
      <c r="G1736">
        <v>1294.666626</v>
      </c>
      <c r="H1736">
        <v>1280.2397461</v>
      </c>
      <c r="I1736">
        <v>1393.6455077999999</v>
      </c>
      <c r="J1736">
        <v>1373.9293213000001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1413.2233100000001</v>
      </c>
      <c r="B1737" s="1">
        <f>DATE(2014,3,14) + TIME(5,21,33)</f>
        <v>41712.223298611112</v>
      </c>
      <c r="C1737">
        <v>80</v>
      </c>
      <c r="D1737">
        <v>69.205978393999999</v>
      </c>
      <c r="E1737">
        <v>50</v>
      </c>
      <c r="F1737">
        <v>49.975849152000002</v>
      </c>
      <c r="G1737">
        <v>1294.3166504000001</v>
      </c>
      <c r="H1737">
        <v>1279.7562256000001</v>
      </c>
      <c r="I1737">
        <v>1393.6125488</v>
      </c>
      <c r="J1737">
        <v>1373.8930664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1416.529137</v>
      </c>
      <c r="B1738" s="1">
        <f>DATE(2014,3,17) + TIME(12,41,57)</f>
        <v>41715.529131944444</v>
      </c>
      <c r="C1738">
        <v>80</v>
      </c>
      <c r="D1738">
        <v>68.869956970000004</v>
      </c>
      <c r="E1738">
        <v>50</v>
      </c>
      <c r="F1738">
        <v>49.975906371999997</v>
      </c>
      <c r="G1738">
        <v>1293.9625243999999</v>
      </c>
      <c r="H1738">
        <v>1279.2648925999999</v>
      </c>
      <c r="I1738">
        <v>1393.5799560999999</v>
      </c>
      <c r="J1738">
        <v>1373.8570557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1419.834965</v>
      </c>
      <c r="B1739" s="1">
        <f>DATE(2014,3,20) + TIME(20,2,20)</f>
        <v>41718.834953703707</v>
      </c>
      <c r="C1739">
        <v>80</v>
      </c>
      <c r="D1739">
        <v>68.522872925000001</v>
      </c>
      <c r="E1739">
        <v>50</v>
      </c>
      <c r="F1739">
        <v>49.975963593000003</v>
      </c>
      <c r="G1739">
        <v>1293.6051024999999</v>
      </c>
      <c r="H1739">
        <v>1278.7669678</v>
      </c>
      <c r="I1739">
        <v>1393.5476074000001</v>
      </c>
      <c r="J1739">
        <v>1373.8215332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1423.1407919999999</v>
      </c>
      <c r="B1740" s="1">
        <f>DATE(2014,3,24) + TIME(3,22,44)</f>
        <v>41722.140787037039</v>
      </c>
      <c r="C1740">
        <v>80</v>
      </c>
      <c r="D1740">
        <v>68.164634704999997</v>
      </c>
      <c r="E1740">
        <v>50</v>
      </c>
      <c r="F1740">
        <v>49.976016997999999</v>
      </c>
      <c r="G1740">
        <v>1293.2449951000001</v>
      </c>
      <c r="H1740">
        <v>1278.2631836</v>
      </c>
      <c r="I1740">
        <v>1393.5155029</v>
      </c>
      <c r="J1740">
        <v>1373.7862548999999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1426.4466199999999</v>
      </c>
      <c r="B1741" s="1">
        <f>DATE(2014,3,27) + TIME(10,43,7)</f>
        <v>41725.446608796294</v>
      </c>
      <c r="C1741">
        <v>80</v>
      </c>
      <c r="D1741">
        <v>67.795196532999995</v>
      </c>
      <c r="E1741">
        <v>50</v>
      </c>
      <c r="F1741">
        <v>49.976074218999997</v>
      </c>
      <c r="G1741">
        <v>1292.8824463000001</v>
      </c>
      <c r="H1741">
        <v>1277.7539062000001</v>
      </c>
      <c r="I1741">
        <v>1393.4835204999999</v>
      </c>
      <c r="J1741">
        <v>1373.7512207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1429.7524470000001</v>
      </c>
      <c r="B1742" s="1">
        <f>DATE(2014,3,30) + TIME(18,3,31)</f>
        <v>41728.752442129633</v>
      </c>
      <c r="C1742">
        <v>80</v>
      </c>
      <c r="D1742">
        <v>67.414573669000006</v>
      </c>
      <c r="E1742">
        <v>50</v>
      </c>
      <c r="F1742">
        <v>49.976127624999997</v>
      </c>
      <c r="G1742">
        <v>1292.5179443</v>
      </c>
      <c r="H1742">
        <v>1277.2398682</v>
      </c>
      <c r="I1742">
        <v>1393.4519043</v>
      </c>
      <c r="J1742">
        <v>1373.7165527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1431</v>
      </c>
      <c r="B1743" s="1">
        <f>DATE(2014,4,1) + TIME(0,0,0)</f>
        <v>41730</v>
      </c>
      <c r="C1743">
        <v>80</v>
      </c>
      <c r="D1743">
        <v>67.117912292</v>
      </c>
      <c r="E1743">
        <v>50</v>
      </c>
      <c r="F1743">
        <v>49.976150513</v>
      </c>
      <c r="G1743">
        <v>1292.1623535000001</v>
      </c>
      <c r="H1743">
        <v>1276.7586670000001</v>
      </c>
      <c r="I1743">
        <v>1393.4195557</v>
      </c>
      <c r="J1743">
        <v>1373.6820068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1434.3058269999999</v>
      </c>
      <c r="B1744" s="1">
        <f>DATE(2014,4,4) + TIME(7,20,23)</f>
        <v>41733.305821759262</v>
      </c>
      <c r="C1744">
        <v>80</v>
      </c>
      <c r="D1744">
        <v>66.841796875</v>
      </c>
      <c r="E1744">
        <v>50</v>
      </c>
      <c r="F1744">
        <v>49.976203918000003</v>
      </c>
      <c r="G1744">
        <v>1291.9918213000001</v>
      </c>
      <c r="H1744">
        <v>1276.4852295000001</v>
      </c>
      <c r="I1744">
        <v>1393.4084473</v>
      </c>
      <c r="J1744">
        <v>1373.6683350000001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1437.6116549999999</v>
      </c>
      <c r="B1745" s="1">
        <f>DATE(2014,4,7) + TIME(14,40,46)</f>
        <v>41736.611643518518</v>
      </c>
      <c r="C1745">
        <v>80</v>
      </c>
      <c r="D1745">
        <v>66.458435058999996</v>
      </c>
      <c r="E1745">
        <v>50</v>
      </c>
      <c r="F1745">
        <v>49.976257324000002</v>
      </c>
      <c r="G1745">
        <v>1291.6422118999999</v>
      </c>
      <c r="H1745">
        <v>1275.9943848</v>
      </c>
      <c r="I1745">
        <v>1393.3769531</v>
      </c>
      <c r="J1745">
        <v>1373.6350098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1440.92632</v>
      </c>
      <c r="B1746" s="1">
        <f>DATE(2014,4,10) + TIME(22,13,54)</f>
        <v>41739.926319444443</v>
      </c>
      <c r="C1746">
        <v>80</v>
      </c>
      <c r="D1746">
        <v>66.045379639000004</v>
      </c>
      <c r="E1746">
        <v>50</v>
      </c>
      <c r="F1746">
        <v>49.976310730000002</v>
      </c>
      <c r="G1746">
        <v>1291.2779541</v>
      </c>
      <c r="H1746">
        <v>1275.4747314000001</v>
      </c>
      <c r="I1746">
        <v>1393.3454589999999</v>
      </c>
      <c r="J1746">
        <v>1373.6011963000001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1444.2409849999999</v>
      </c>
      <c r="B1747" s="1">
        <f>DATE(2014,4,14) + TIME(5,47,1)</f>
        <v>41743.240983796299</v>
      </c>
      <c r="C1747">
        <v>80</v>
      </c>
      <c r="D1747">
        <v>65.617790221999996</v>
      </c>
      <c r="E1747">
        <v>50</v>
      </c>
      <c r="F1747">
        <v>49.976360321000001</v>
      </c>
      <c r="G1747">
        <v>1290.9097899999999</v>
      </c>
      <c r="H1747">
        <v>1274.9465332</v>
      </c>
      <c r="I1747">
        <v>1393.3140868999999</v>
      </c>
      <c r="J1747">
        <v>1373.5675048999999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1447.5556489999999</v>
      </c>
      <c r="B1748" s="1">
        <f>DATE(2014,4,17) + TIME(13,20,8)</f>
        <v>41746.555648148147</v>
      </c>
      <c r="C1748">
        <v>80</v>
      </c>
      <c r="D1748">
        <v>65.179389954000001</v>
      </c>
      <c r="E1748">
        <v>50</v>
      </c>
      <c r="F1748">
        <v>49.976413727000001</v>
      </c>
      <c r="G1748">
        <v>1290.5413818</v>
      </c>
      <c r="H1748">
        <v>1274.4154053</v>
      </c>
      <c r="I1748">
        <v>1393.2825928</v>
      </c>
      <c r="J1748">
        <v>1373.5339355000001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1450.870314</v>
      </c>
      <c r="B1749" s="1">
        <f>DATE(2014,4,20) + TIME(20,53,15)</f>
        <v>41749.870312500003</v>
      </c>
      <c r="C1749">
        <v>80</v>
      </c>
      <c r="D1749">
        <v>64.731605529999996</v>
      </c>
      <c r="E1749">
        <v>50</v>
      </c>
      <c r="F1749">
        <v>49.976463318</v>
      </c>
      <c r="G1749">
        <v>1290.1734618999999</v>
      </c>
      <c r="H1749">
        <v>1273.8829346</v>
      </c>
      <c r="I1749">
        <v>1393.2512207</v>
      </c>
      <c r="J1749">
        <v>1373.5004882999999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1454.3494900000001</v>
      </c>
      <c r="B1750" s="1">
        <f>DATE(2014,4,24) + TIME(8,23,15)</f>
        <v>41753.349479166667</v>
      </c>
      <c r="C1750">
        <v>80</v>
      </c>
      <c r="D1750">
        <v>64.271064757999994</v>
      </c>
      <c r="E1750">
        <v>50</v>
      </c>
      <c r="F1750">
        <v>49.976516724</v>
      </c>
      <c r="G1750">
        <v>1289.8062743999999</v>
      </c>
      <c r="H1750">
        <v>1273.3483887</v>
      </c>
      <c r="I1750">
        <v>1393.2198486</v>
      </c>
      <c r="J1750">
        <v>1373.4672852000001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1457.828665</v>
      </c>
      <c r="B1751" s="1">
        <f>DATE(2014,4,27) + TIME(19,53,16)</f>
        <v>41756.828657407408</v>
      </c>
      <c r="C1751">
        <v>80</v>
      </c>
      <c r="D1751">
        <v>63.786907196000001</v>
      </c>
      <c r="E1751">
        <v>50</v>
      </c>
      <c r="F1751">
        <v>49.976570129000002</v>
      </c>
      <c r="G1751">
        <v>1289.4249268000001</v>
      </c>
      <c r="H1751">
        <v>1272.7928466999999</v>
      </c>
      <c r="I1751">
        <v>1393.1868896000001</v>
      </c>
      <c r="J1751">
        <v>1373.4326172000001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1461</v>
      </c>
      <c r="B1752" s="1">
        <f>DATE(2014,5,1) + TIME(0,0,0)</f>
        <v>41760</v>
      </c>
      <c r="C1752">
        <v>80</v>
      </c>
      <c r="D1752">
        <v>63.300598145000002</v>
      </c>
      <c r="E1752">
        <v>50</v>
      </c>
      <c r="F1752">
        <v>49.976615905999999</v>
      </c>
      <c r="G1752">
        <v>1289.0445557</v>
      </c>
      <c r="H1752">
        <v>1272.237793</v>
      </c>
      <c r="I1752">
        <v>1393.1538086</v>
      </c>
      <c r="J1752">
        <v>1373.3979492000001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1461.0000010000001</v>
      </c>
      <c r="B1753" s="1">
        <f>DATE(2014,5,1) + TIME(0,0,0)</f>
        <v>41760</v>
      </c>
      <c r="C1753">
        <v>80</v>
      </c>
      <c r="D1753">
        <v>63.300746918000002</v>
      </c>
      <c r="E1753">
        <v>50</v>
      </c>
      <c r="F1753">
        <v>49.976505279999998</v>
      </c>
      <c r="G1753">
        <v>1308.1198730000001</v>
      </c>
      <c r="H1753">
        <v>1290.0162353999999</v>
      </c>
      <c r="I1753">
        <v>1372.5234375</v>
      </c>
      <c r="J1753">
        <v>1353.9387207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1461.000004</v>
      </c>
      <c r="B1754" s="1">
        <f>DATE(2014,5,1) + TIME(0,0,0)</f>
        <v>41760</v>
      </c>
      <c r="C1754">
        <v>80</v>
      </c>
      <c r="D1754">
        <v>63.301151275999999</v>
      </c>
      <c r="E1754">
        <v>50</v>
      </c>
      <c r="F1754">
        <v>49.976211548000002</v>
      </c>
      <c r="G1754">
        <v>1310.4534911999999</v>
      </c>
      <c r="H1754">
        <v>1292.5357666</v>
      </c>
      <c r="I1754">
        <v>1370.190918</v>
      </c>
      <c r="J1754">
        <v>1351.6055908000001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1461.0000130000001</v>
      </c>
      <c r="B1755" s="1">
        <f>DATE(2014,5,1) + TIME(0,0,1)</f>
        <v>41760.000011574077</v>
      </c>
      <c r="C1755">
        <v>80</v>
      </c>
      <c r="D1755">
        <v>63.302070618000002</v>
      </c>
      <c r="E1755">
        <v>50</v>
      </c>
      <c r="F1755">
        <v>49.975551605</v>
      </c>
      <c r="G1755">
        <v>1315.5649414</v>
      </c>
      <c r="H1755">
        <v>1297.8896483999999</v>
      </c>
      <c r="I1755">
        <v>1364.9587402</v>
      </c>
      <c r="J1755">
        <v>1346.3723144999999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1461.0000399999999</v>
      </c>
      <c r="B1756" s="1">
        <f>DATE(2014,5,1) + TIME(0,0,3)</f>
        <v>41760.000034722223</v>
      </c>
      <c r="C1756">
        <v>80</v>
      </c>
      <c r="D1756">
        <v>63.303798676</v>
      </c>
      <c r="E1756">
        <v>50</v>
      </c>
      <c r="F1756">
        <v>49.974449157999999</v>
      </c>
      <c r="G1756">
        <v>1323.8393555</v>
      </c>
      <c r="H1756">
        <v>1306.2550048999999</v>
      </c>
      <c r="I1756">
        <v>1356.2150879000001</v>
      </c>
      <c r="J1756">
        <v>1337.6293945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1461.000121</v>
      </c>
      <c r="B1757" s="1">
        <f>DATE(2014,5,1) + TIME(0,0,10)</f>
        <v>41760.000115740739</v>
      </c>
      <c r="C1757">
        <v>80</v>
      </c>
      <c r="D1757">
        <v>63.306957245</v>
      </c>
      <c r="E1757">
        <v>50</v>
      </c>
      <c r="F1757">
        <v>49.973098755000002</v>
      </c>
      <c r="G1757">
        <v>1333.7453613</v>
      </c>
      <c r="H1757">
        <v>1316.0736084</v>
      </c>
      <c r="I1757">
        <v>1345.5421143000001</v>
      </c>
      <c r="J1757">
        <v>1326.9606934000001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1461.000364</v>
      </c>
      <c r="B1758" s="1">
        <f>DATE(2014,5,1) + TIME(0,0,31)</f>
        <v>41760.000358796293</v>
      </c>
      <c r="C1758">
        <v>80</v>
      </c>
      <c r="D1758">
        <v>63.313888550000001</v>
      </c>
      <c r="E1758">
        <v>50</v>
      </c>
      <c r="F1758">
        <v>49.971691131999997</v>
      </c>
      <c r="G1758">
        <v>1344.0015868999999</v>
      </c>
      <c r="H1758">
        <v>1326.2061768000001</v>
      </c>
      <c r="I1758">
        <v>1334.5550536999999</v>
      </c>
      <c r="J1758">
        <v>1315.9820557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1461.0010930000001</v>
      </c>
      <c r="B1759" s="1">
        <f>DATE(2014,5,1) + TIME(0,1,34)</f>
        <v>41760.001087962963</v>
      </c>
      <c r="C1759">
        <v>80</v>
      </c>
      <c r="D1759">
        <v>63.332134246999999</v>
      </c>
      <c r="E1759">
        <v>50</v>
      </c>
      <c r="F1759">
        <v>49.970230102999999</v>
      </c>
      <c r="G1759">
        <v>1354.5642089999999</v>
      </c>
      <c r="H1759">
        <v>1336.6356201000001</v>
      </c>
      <c r="I1759">
        <v>1323.5733643000001</v>
      </c>
      <c r="J1759">
        <v>1305.0097656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1461.0032799999999</v>
      </c>
      <c r="B1760" s="1">
        <f>DATE(2014,5,1) + TIME(0,4,43)</f>
        <v>41760.003275462965</v>
      </c>
      <c r="C1760">
        <v>80</v>
      </c>
      <c r="D1760">
        <v>63.384376525999997</v>
      </c>
      <c r="E1760">
        <v>50</v>
      </c>
      <c r="F1760">
        <v>49.968608856000003</v>
      </c>
      <c r="G1760">
        <v>1365.7720947</v>
      </c>
      <c r="H1760">
        <v>1347.7301024999999</v>
      </c>
      <c r="I1760">
        <v>1312.5043945</v>
      </c>
      <c r="J1760">
        <v>1293.9243164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1461.0098410000001</v>
      </c>
      <c r="B1761" s="1">
        <f>DATE(2014,5,1) + TIME(0,14,10)</f>
        <v>41760.009837962964</v>
      </c>
      <c r="C1761">
        <v>80</v>
      </c>
      <c r="D1761">
        <v>63.537113189999999</v>
      </c>
      <c r="E1761">
        <v>50</v>
      </c>
      <c r="F1761">
        <v>49.966564177999999</v>
      </c>
      <c r="G1761">
        <v>1377.1033935999999</v>
      </c>
      <c r="H1761">
        <v>1359.0598144999999</v>
      </c>
      <c r="I1761">
        <v>1301.7186279</v>
      </c>
      <c r="J1761">
        <v>1283.0417480000001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1461.029524</v>
      </c>
      <c r="B1762" s="1">
        <f>DATE(2014,5,1) + TIME(0,42,30)</f>
        <v>41760.029513888891</v>
      </c>
      <c r="C1762">
        <v>80</v>
      </c>
      <c r="D1762">
        <v>63.977676391999999</v>
      </c>
      <c r="E1762">
        <v>50</v>
      </c>
      <c r="F1762">
        <v>49.963462829999997</v>
      </c>
      <c r="G1762">
        <v>1386.2137451000001</v>
      </c>
      <c r="H1762">
        <v>1368.3721923999999</v>
      </c>
      <c r="I1762">
        <v>1293.3182373</v>
      </c>
      <c r="J1762">
        <v>1274.456543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1461.0581460000001</v>
      </c>
      <c r="B1763" s="1">
        <f>DATE(2014,5,1) + TIME(1,23,43)</f>
        <v>41760.058136574073</v>
      </c>
      <c r="C1763">
        <v>80</v>
      </c>
      <c r="D1763">
        <v>64.589927673000005</v>
      </c>
      <c r="E1763">
        <v>50</v>
      </c>
      <c r="F1763">
        <v>49.960109711000001</v>
      </c>
      <c r="G1763">
        <v>1389.9910889</v>
      </c>
      <c r="H1763">
        <v>1372.3833007999999</v>
      </c>
      <c r="I1763">
        <v>1290.1674805</v>
      </c>
      <c r="J1763">
        <v>1271.1787108999999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1461.087266</v>
      </c>
      <c r="B1764" s="1">
        <f>DATE(2014,5,1) + TIME(2,5,39)</f>
        <v>41760.087256944447</v>
      </c>
      <c r="C1764">
        <v>80</v>
      </c>
      <c r="D1764">
        <v>65.187507628999995</v>
      </c>
      <c r="E1764">
        <v>50</v>
      </c>
      <c r="F1764">
        <v>49.957008362000003</v>
      </c>
      <c r="G1764">
        <v>1391.2380370999999</v>
      </c>
      <c r="H1764">
        <v>1373.8071289</v>
      </c>
      <c r="I1764">
        <v>1289.3131103999999</v>
      </c>
      <c r="J1764">
        <v>1270.2652588000001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1461.1169709999999</v>
      </c>
      <c r="B1765" s="1">
        <f>DATE(2014,5,1) + TIME(2,48,26)</f>
        <v>41760.116967592592</v>
      </c>
      <c r="C1765">
        <v>80</v>
      </c>
      <c r="D1765">
        <v>65.77281189</v>
      </c>
      <c r="E1765">
        <v>50</v>
      </c>
      <c r="F1765">
        <v>49.953956603999998</v>
      </c>
      <c r="G1765">
        <v>1391.621582</v>
      </c>
      <c r="H1765">
        <v>1374.3405762</v>
      </c>
      <c r="I1765">
        <v>1289.1175536999999</v>
      </c>
      <c r="J1765">
        <v>1270.0428466999999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1461.147328</v>
      </c>
      <c r="B1766" s="1">
        <f>DATE(2014,5,1) + TIME(3,32,9)</f>
        <v>41760.147326388891</v>
      </c>
      <c r="C1766">
        <v>80</v>
      </c>
      <c r="D1766">
        <v>66.346969603999995</v>
      </c>
      <c r="E1766">
        <v>50</v>
      </c>
      <c r="F1766">
        <v>49.950889586999999</v>
      </c>
      <c r="G1766">
        <v>1391.6784668</v>
      </c>
      <c r="H1766">
        <v>1374.5323486</v>
      </c>
      <c r="I1766">
        <v>1289.1027832</v>
      </c>
      <c r="J1766">
        <v>1270.0163574000001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1461.178392</v>
      </c>
      <c r="B1767" s="1">
        <f>DATE(2014,5,1) + TIME(4,16,53)</f>
        <v>41760.178391203706</v>
      </c>
      <c r="C1767">
        <v>80</v>
      </c>
      <c r="D1767">
        <v>66.910575867000006</v>
      </c>
      <c r="E1767">
        <v>50</v>
      </c>
      <c r="F1767">
        <v>49.947788238999998</v>
      </c>
      <c r="G1767">
        <v>1391.6033935999999</v>
      </c>
      <c r="H1767">
        <v>1374.583374</v>
      </c>
      <c r="I1767">
        <v>1289.1267089999999</v>
      </c>
      <c r="J1767">
        <v>1270.0351562000001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1461.2102150000001</v>
      </c>
      <c r="B1768" s="1">
        <f>DATE(2014,5,1) + TIME(5,2,42)</f>
        <v>41760.21020833333</v>
      </c>
      <c r="C1768">
        <v>80</v>
      </c>
      <c r="D1768">
        <v>67.463897704999994</v>
      </c>
      <c r="E1768">
        <v>50</v>
      </c>
      <c r="F1768">
        <v>49.944644928000002</v>
      </c>
      <c r="G1768">
        <v>1391.4736327999999</v>
      </c>
      <c r="H1768">
        <v>1374.5734863</v>
      </c>
      <c r="I1768">
        <v>1289.1508789</v>
      </c>
      <c r="J1768">
        <v>1270.0568848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1461.2428460000001</v>
      </c>
      <c r="B1769" s="1">
        <f>DATE(2014,5,1) + TIME(5,49,41)</f>
        <v>41760.242835648147</v>
      </c>
      <c r="C1769">
        <v>80</v>
      </c>
      <c r="D1769">
        <v>68.007064818999993</v>
      </c>
      <c r="E1769">
        <v>50</v>
      </c>
      <c r="F1769">
        <v>49.941452026</v>
      </c>
      <c r="G1769">
        <v>1391.3212891000001</v>
      </c>
      <c r="H1769">
        <v>1374.5362548999999</v>
      </c>
      <c r="I1769">
        <v>1289.1676024999999</v>
      </c>
      <c r="J1769">
        <v>1270.0726318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1461.276335</v>
      </c>
      <c r="B1770" s="1">
        <f>DATE(2014,5,1) + TIME(6,37,55)</f>
        <v>41760.276331018518</v>
      </c>
      <c r="C1770">
        <v>80</v>
      </c>
      <c r="D1770">
        <v>68.540130614999995</v>
      </c>
      <c r="E1770">
        <v>50</v>
      </c>
      <c r="F1770">
        <v>49.938209534000002</v>
      </c>
      <c r="G1770">
        <v>1391.1607666</v>
      </c>
      <c r="H1770">
        <v>1374.4866943</v>
      </c>
      <c r="I1770">
        <v>1289.1778564000001</v>
      </c>
      <c r="J1770">
        <v>1270.0822754000001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1461.310737</v>
      </c>
      <c r="B1771" s="1">
        <f>DATE(2014,5,1) + TIME(7,27,27)</f>
        <v>41760.310729166667</v>
      </c>
      <c r="C1771">
        <v>80</v>
      </c>
      <c r="D1771">
        <v>69.06312561</v>
      </c>
      <c r="E1771">
        <v>50</v>
      </c>
      <c r="F1771">
        <v>49.934909820999998</v>
      </c>
      <c r="G1771">
        <v>1390.9989014</v>
      </c>
      <c r="H1771">
        <v>1374.4318848</v>
      </c>
      <c r="I1771">
        <v>1289.1835937999999</v>
      </c>
      <c r="J1771">
        <v>1270.0876464999999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1461.3461119999999</v>
      </c>
      <c r="B1772" s="1">
        <f>DATE(2014,5,1) + TIME(8,18,24)</f>
        <v>41760.34611111111</v>
      </c>
      <c r="C1772">
        <v>80</v>
      </c>
      <c r="D1772">
        <v>69.576034546000002</v>
      </c>
      <c r="E1772">
        <v>50</v>
      </c>
      <c r="F1772">
        <v>49.931556702000002</v>
      </c>
      <c r="G1772">
        <v>1390.8386230000001</v>
      </c>
      <c r="H1772">
        <v>1374.3751221</v>
      </c>
      <c r="I1772">
        <v>1289.1867675999999</v>
      </c>
      <c r="J1772">
        <v>1270.090332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1461.3825220000001</v>
      </c>
      <c r="B1773" s="1">
        <f>DATE(2014,5,1) + TIME(9,10,49)</f>
        <v>41760.382511574076</v>
      </c>
      <c r="C1773">
        <v>80</v>
      </c>
      <c r="D1773">
        <v>70.078788756999998</v>
      </c>
      <c r="E1773">
        <v>50</v>
      </c>
      <c r="F1773">
        <v>49.928138732999997</v>
      </c>
      <c r="G1773">
        <v>1390.6816406</v>
      </c>
      <c r="H1773">
        <v>1374.3181152</v>
      </c>
      <c r="I1773">
        <v>1289.1884766000001</v>
      </c>
      <c r="J1773">
        <v>1270.0915527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1461.420048</v>
      </c>
      <c r="B1774" s="1">
        <f>DATE(2014,5,1) + TIME(10,4,52)</f>
        <v>41760.420046296298</v>
      </c>
      <c r="C1774">
        <v>80</v>
      </c>
      <c r="D1774">
        <v>70.571228027000004</v>
      </c>
      <c r="E1774">
        <v>50</v>
      </c>
      <c r="F1774">
        <v>49.924652100000003</v>
      </c>
      <c r="G1774">
        <v>1390.5283202999999</v>
      </c>
      <c r="H1774">
        <v>1374.2614745999999</v>
      </c>
      <c r="I1774">
        <v>1289.1892089999999</v>
      </c>
      <c r="J1774">
        <v>1270.0919189000001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1461.4587670000001</v>
      </c>
      <c r="B1775" s="1">
        <f>DATE(2014,5,1) + TIME(11,0,37)</f>
        <v>41760.458761574075</v>
      </c>
      <c r="C1775">
        <v>80</v>
      </c>
      <c r="D1775">
        <v>71.053588867000002</v>
      </c>
      <c r="E1775">
        <v>50</v>
      </c>
      <c r="F1775">
        <v>49.921092987000002</v>
      </c>
      <c r="G1775">
        <v>1390.3790283000001</v>
      </c>
      <c r="H1775">
        <v>1374.2056885</v>
      </c>
      <c r="I1775">
        <v>1289.1894531</v>
      </c>
      <c r="J1775">
        <v>1270.0916748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1461.4987550000001</v>
      </c>
      <c r="B1776" s="1">
        <f>DATE(2014,5,1) + TIME(11,58,12)</f>
        <v>41760.498749999999</v>
      </c>
      <c r="C1776">
        <v>80</v>
      </c>
      <c r="D1776">
        <v>71.525711060000006</v>
      </c>
      <c r="E1776">
        <v>50</v>
      </c>
      <c r="F1776">
        <v>49.917457581000001</v>
      </c>
      <c r="G1776">
        <v>1390.2338867000001</v>
      </c>
      <c r="H1776">
        <v>1374.1508789</v>
      </c>
      <c r="I1776">
        <v>1289.1895752</v>
      </c>
      <c r="J1776">
        <v>1270.0913086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1461.540105</v>
      </c>
      <c r="B1777" s="1">
        <f>DATE(2014,5,1) + TIME(12,57,45)</f>
        <v>41760.54010416667</v>
      </c>
      <c r="C1777">
        <v>80</v>
      </c>
      <c r="D1777">
        <v>71.987533568999993</v>
      </c>
      <c r="E1777">
        <v>50</v>
      </c>
      <c r="F1777">
        <v>49.913742065000001</v>
      </c>
      <c r="G1777">
        <v>1390.0926514</v>
      </c>
      <c r="H1777">
        <v>1374.0970459</v>
      </c>
      <c r="I1777">
        <v>1289.1894531</v>
      </c>
      <c r="J1777">
        <v>1270.0906981999999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1461.5829229999999</v>
      </c>
      <c r="B1778" s="1">
        <f>DATE(2014,5,1) + TIME(13,59,24)</f>
        <v>41760.582916666666</v>
      </c>
      <c r="C1778">
        <v>80</v>
      </c>
      <c r="D1778">
        <v>72.438987732000001</v>
      </c>
      <c r="E1778">
        <v>50</v>
      </c>
      <c r="F1778">
        <v>49.909931182999998</v>
      </c>
      <c r="G1778">
        <v>1389.9553223</v>
      </c>
      <c r="H1778">
        <v>1374.0441894999999</v>
      </c>
      <c r="I1778">
        <v>1289.1893310999999</v>
      </c>
      <c r="J1778">
        <v>1270.0899658000001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1461.627322</v>
      </c>
      <c r="B1779" s="1">
        <f>DATE(2014,5,1) + TIME(15,3,20)</f>
        <v>41760.627314814818</v>
      </c>
      <c r="C1779">
        <v>80</v>
      </c>
      <c r="D1779">
        <v>72.879974364999995</v>
      </c>
      <c r="E1779">
        <v>50</v>
      </c>
      <c r="F1779">
        <v>49.906024932999998</v>
      </c>
      <c r="G1779">
        <v>1389.8215332</v>
      </c>
      <c r="H1779">
        <v>1373.9920654</v>
      </c>
      <c r="I1779">
        <v>1289.1890868999999</v>
      </c>
      <c r="J1779">
        <v>1270.0891113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1461.673432</v>
      </c>
      <c r="B1780" s="1">
        <f>DATE(2014,5,1) + TIME(16,9,44)</f>
        <v>41760.673425925925</v>
      </c>
      <c r="C1780">
        <v>80</v>
      </c>
      <c r="D1780">
        <v>73.310401916999993</v>
      </c>
      <c r="E1780">
        <v>50</v>
      </c>
      <c r="F1780">
        <v>49.902011870999999</v>
      </c>
      <c r="G1780">
        <v>1389.6912841999999</v>
      </c>
      <c r="H1780">
        <v>1373.9406738</v>
      </c>
      <c r="I1780">
        <v>1289.1887207</v>
      </c>
      <c r="J1780">
        <v>1270.0882568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1461.7213979999999</v>
      </c>
      <c r="B1781" s="1">
        <f>DATE(2014,5,1) + TIME(17,18,48)</f>
        <v>41760.721388888887</v>
      </c>
      <c r="C1781">
        <v>80</v>
      </c>
      <c r="D1781">
        <v>73.730155945000007</v>
      </c>
      <c r="E1781">
        <v>50</v>
      </c>
      <c r="F1781">
        <v>49.897880553999997</v>
      </c>
      <c r="G1781">
        <v>1389.5642089999999</v>
      </c>
      <c r="H1781">
        <v>1373.8898925999999</v>
      </c>
      <c r="I1781">
        <v>1289.1883545000001</v>
      </c>
      <c r="J1781">
        <v>1270.0872803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1461.771383</v>
      </c>
      <c r="B1782" s="1">
        <f>DATE(2014,5,1) + TIME(18,30,47)</f>
        <v>41760.771377314813</v>
      </c>
      <c r="C1782">
        <v>80</v>
      </c>
      <c r="D1782">
        <v>74.139099121000001</v>
      </c>
      <c r="E1782">
        <v>50</v>
      </c>
      <c r="F1782">
        <v>49.893627166999998</v>
      </c>
      <c r="G1782">
        <v>1389.4401855000001</v>
      </c>
      <c r="H1782">
        <v>1373.8395995999999</v>
      </c>
      <c r="I1782">
        <v>1289.1879882999999</v>
      </c>
      <c r="J1782">
        <v>1270.0863036999999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1461.82357</v>
      </c>
      <c r="B1783" s="1">
        <f>DATE(2014,5,1) + TIME(19,45,56)</f>
        <v>41760.823564814818</v>
      </c>
      <c r="C1783">
        <v>80</v>
      </c>
      <c r="D1783">
        <v>74.537109375</v>
      </c>
      <c r="E1783">
        <v>50</v>
      </c>
      <c r="F1783">
        <v>49.889236449999999</v>
      </c>
      <c r="G1783">
        <v>1389.3190918</v>
      </c>
      <c r="H1783">
        <v>1373.7895507999999</v>
      </c>
      <c r="I1783">
        <v>1289.1876221</v>
      </c>
      <c r="J1783">
        <v>1270.0852050999999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1461.8781779999999</v>
      </c>
      <c r="B1784" s="1">
        <f>DATE(2014,5,1) + TIME(21,4,34)</f>
        <v>41760.878171296295</v>
      </c>
      <c r="C1784">
        <v>80</v>
      </c>
      <c r="D1784">
        <v>74.924057007000002</v>
      </c>
      <c r="E1784">
        <v>50</v>
      </c>
      <c r="F1784">
        <v>49.884693145999996</v>
      </c>
      <c r="G1784">
        <v>1389.2005615</v>
      </c>
      <c r="H1784">
        <v>1373.7397461</v>
      </c>
      <c r="I1784">
        <v>1289.1871338000001</v>
      </c>
      <c r="J1784">
        <v>1270.0839844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1461.935475</v>
      </c>
      <c r="B1785" s="1">
        <f>DATE(2014,5,1) + TIME(22,27,5)</f>
        <v>41760.935474537036</v>
      </c>
      <c r="C1785">
        <v>80</v>
      </c>
      <c r="D1785">
        <v>75.299713135000005</v>
      </c>
      <c r="E1785">
        <v>50</v>
      </c>
      <c r="F1785">
        <v>49.879978180000002</v>
      </c>
      <c r="G1785">
        <v>1389.0844727000001</v>
      </c>
      <c r="H1785">
        <v>1373.6899414</v>
      </c>
      <c r="I1785">
        <v>1289.1865233999999</v>
      </c>
      <c r="J1785">
        <v>1270.0828856999999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1461.9957099999999</v>
      </c>
      <c r="B1786" s="1">
        <f>DATE(2014,5,1) + TIME(23,53,49)</f>
        <v>41760.995706018519</v>
      </c>
      <c r="C1786">
        <v>80</v>
      </c>
      <c r="D1786">
        <v>75.663833617999998</v>
      </c>
      <c r="E1786">
        <v>50</v>
      </c>
      <c r="F1786">
        <v>49.875083922999998</v>
      </c>
      <c r="G1786">
        <v>1388.9707031</v>
      </c>
      <c r="H1786">
        <v>1373.6400146000001</v>
      </c>
      <c r="I1786">
        <v>1289.1859131000001</v>
      </c>
      <c r="J1786">
        <v>1270.081543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1462.0592059999999</v>
      </c>
      <c r="B1787" s="1">
        <f>DATE(2014,5,2) + TIME(1,25,15)</f>
        <v>41761.059201388889</v>
      </c>
      <c r="C1787">
        <v>80</v>
      </c>
      <c r="D1787">
        <v>76.016265868999994</v>
      </c>
      <c r="E1787">
        <v>50</v>
      </c>
      <c r="F1787">
        <v>49.869983673</v>
      </c>
      <c r="G1787">
        <v>1388.8588867000001</v>
      </c>
      <c r="H1787">
        <v>1373.5898437999999</v>
      </c>
      <c r="I1787">
        <v>1289.1853027</v>
      </c>
      <c r="J1787">
        <v>1270.0802002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1462.12634</v>
      </c>
      <c r="B1788" s="1">
        <f>DATE(2014,5,2) + TIME(3,1,55)</f>
        <v>41761.126331018517</v>
      </c>
      <c r="C1788">
        <v>80</v>
      </c>
      <c r="D1788">
        <v>76.356773376000007</v>
      </c>
      <c r="E1788">
        <v>50</v>
      </c>
      <c r="F1788">
        <v>49.864658356</v>
      </c>
      <c r="G1788">
        <v>1388.7489014</v>
      </c>
      <c r="H1788">
        <v>1373.5393065999999</v>
      </c>
      <c r="I1788">
        <v>1289.1845702999999</v>
      </c>
      <c r="J1788">
        <v>1270.0788574000001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1462.1975580000001</v>
      </c>
      <c r="B1789" s="1">
        <f>DATE(2014,5,2) + TIME(4,44,29)</f>
        <v>41761.197557870371</v>
      </c>
      <c r="C1789">
        <v>80</v>
      </c>
      <c r="D1789">
        <v>76.685104370000005</v>
      </c>
      <c r="E1789">
        <v>50</v>
      </c>
      <c r="F1789">
        <v>49.859077454000001</v>
      </c>
      <c r="G1789">
        <v>1388.6405029</v>
      </c>
      <c r="H1789">
        <v>1373.4881591999999</v>
      </c>
      <c r="I1789">
        <v>1289.1837158000001</v>
      </c>
      <c r="J1789">
        <v>1270.0772704999999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1462.273373</v>
      </c>
      <c r="B1790" s="1">
        <f>DATE(2014,5,2) + TIME(6,33,39)</f>
        <v>41761.273368055554</v>
      </c>
      <c r="C1790">
        <v>80</v>
      </c>
      <c r="D1790">
        <v>77.000907897999994</v>
      </c>
      <c r="E1790">
        <v>50</v>
      </c>
      <c r="F1790">
        <v>49.853210449000002</v>
      </c>
      <c r="G1790">
        <v>1388.5334473</v>
      </c>
      <c r="H1790">
        <v>1373.4362793</v>
      </c>
      <c r="I1790">
        <v>1289.1827393000001</v>
      </c>
      <c r="J1790">
        <v>1270.0756836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1462.3544320000001</v>
      </c>
      <c r="B1791" s="1">
        <f>DATE(2014,5,2) + TIME(8,30,22)</f>
        <v>41761.354421296295</v>
      </c>
      <c r="C1791">
        <v>80</v>
      </c>
      <c r="D1791">
        <v>77.303939818999993</v>
      </c>
      <c r="E1791">
        <v>50</v>
      </c>
      <c r="F1791">
        <v>49.847019195999998</v>
      </c>
      <c r="G1791">
        <v>1388.4276123</v>
      </c>
      <c r="H1791">
        <v>1373.3833007999999</v>
      </c>
      <c r="I1791">
        <v>1289.1817627</v>
      </c>
      <c r="J1791">
        <v>1270.0739745999999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1462.441511</v>
      </c>
      <c r="B1792" s="1">
        <f>DATE(2014,5,2) + TIME(10,35,46)</f>
        <v>41761.441504629627</v>
      </c>
      <c r="C1792">
        <v>80</v>
      </c>
      <c r="D1792">
        <v>77.593864440999994</v>
      </c>
      <c r="E1792">
        <v>50</v>
      </c>
      <c r="F1792">
        <v>49.840457915999998</v>
      </c>
      <c r="G1792">
        <v>1388.3225098</v>
      </c>
      <c r="H1792">
        <v>1373.3291016000001</v>
      </c>
      <c r="I1792">
        <v>1289.1805420000001</v>
      </c>
      <c r="J1792">
        <v>1270.0722656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1462.535562</v>
      </c>
      <c r="B1793" s="1">
        <f>DATE(2014,5,2) + TIME(12,51,12)</f>
        <v>41761.535555555558</v>
      </c>
      <c r="C1793">
        <v>80</v>
      </c>
      <c r="D1793">
        <v>77.870300293</v>
      </c>
      <c r="E1793">
        <v>50</v>
      </c>
      <c r="F1793">
        <v>49.833469391000001</v>
      </c>
      <c r="G1793">
        <v>1388.2178954999999</v>
      </c>
      <c r="H1793">
        <v>1373.2733154</v>
      </c>
      <c r="I1793">
        <v>1289.1793213000001</v>
      </c>
      <c r="J1793">
        <v>1270.0703125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1462.6377749999999</v>
      </c>
      <c r="B1794" s="1">
        <f>DATE(2014,5,2) + TIME(15,18,23)</f>
        <v>41761.637766203705</v>
      </c>
      <c r="C1794">
        <v>80</v>
      </c>
      <c r="D1794">
        <v>78.132827758999994</v>
      </c>
      <c r="E1794">
        <v>50</v>
      </c>
      <c r="F1794">
        <v>49.825984955000003</v>
      </c>
      <c r="G1794">
        <v>1388.1134033000001</v>
      </c>
      <c r="H1794">
        <v>1373.2156981999999</v>
      </c>
      <c r="I1794">
        <v>1289.1778564000001</v>
      </c>
      <c r="J1794">
        <v>1270.0682373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1462.7497080000001</v>
      </c>
      <c r="B1795" s="1">
        <f>DATE(2014,5,2) + TIME(17,59,34)</f>
        <v>41761.749699074076</v>
      </c>
      <c r="C1795">
        <v>80</v>
      </c>
      <c r="D1795">
        <v>78.381057738999999</v>
      </c>
      <c r="E1795">
        <v>50</v>
      </c>
      <c r="F1795">
        <v>49.817916869999998</v>
      </c>
      <c r="G1795">
        <v>1388.0085449000001</v>
      </c>
      <c r="H1795">
        <v>1373.1558838000001</v>
      </c>
      <c r="I1795">
        <v>1289.1762695</v>
      </c>
      <c r="J1795">
        <v>1270.065918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1462.8691940000001</v>
      </c>
      <c r="B1796" s="1">
        <f>DATE(2014,5,2) + TIME(20,51,38)</f>
        <v>41761.869189814817</v>
      </c>
      <c r="C1796">
        <v>80</v>
      </c>
      <c r="D1796">
        <v>78.607772827000005</v>
      </c>
      <c r="E1796">
        <v>50</v>
      </c>
      <c r="F1796">
        <v>49.809406281000001</v>
      </c>
      <c r="G1796">
        <v>1387.9060059000001</v>
      </c>
      <c r="H1796">
        <v>1373.0947266000001</v>
      </c>
      <c r="I1796">
        <v>1289.1744385</v>
      </c>
      <c r="J1796">
        <v>1270.0634766000001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1462.988724</v>
      </c>
      <c r="B1797" s="1">
        <f>DATE(2014,5,2) + TIME(23,43,45)</f>
        <v>41761.988715277781</v>
      </c>
      <c r="C1797">
        <v>80</v>
      </c>
      <c r="D1797">
        <v>78.801795959000003</v>
      </c>
      <c r="E1797">
        <v>50</v>
      </c>
      <c r="F1797">
        <v>49.800922393999997</v>
      </c>
      <c r="G1797">
        <v>1387.8103027</v>
      </c>
      <c r="H1797">
        <v>1373.0349120999999</v>
      </c>
      <c r="I1797">
        <v>1289.1723632999999</v>
      </c>
      <c r="J1797">
        <v>1270.0609131000001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1463.10906</v>
      </c>
      <c r="B1798" s="1">
        <f>DATE(2014,5,3) + TIME(2,37,2)</f>
        <v>41762.109050925923</v>
      </c>
      <c r="C1798">
        <v>80</v>
      </c>
      <c r="D1798">
        <v>78.96875</v>
      </c>
      <c r="E1798">
        <v>50</v>
      </c>
      <c r="F1798">
        <v>49.792419434000003</v>
      </c>
      <c r="G1798">
        <v>1387.7208252</v>
      </c>
      <c r="H1798">
        <v>1372.9771728999999</v>
      </c>
      <c r="I1798">
        <v>1289.1704102000001</v>
      </c>
      <c r="J1798">
        <v>1270.0583495999999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1463.2306160000001</v>
      </c>
      <c r="B1799" s="1">
        <f>DATE(2014,5,3) + TIME(5,32,5)</f>
        <v>41762.230613425927</v>
      </c>
      <c r="C1799">
        <v>80</v>
      </c>
      <c r="D1799">
        <v>79.112686156999999</v>
      </c>
      <c r="E1799">
        <v>50</v>
      </c>
      <c r="F1799">
        <v>49.783870696999998</v>
      </c>
      <c r="G1799">
        <v>1387.6362305</v>
      </c>
      <c r="H1799">
        <v>1372.9210204999999</v>
      </c>
      <c r="I1799">
        <v>1289.1683350000001</v>
      </c>
      <c r="J1799">
        <v>1270.0557861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1463.353732</v>
      </c>
      <c r="B1800" s="1">
        <f>DATE(2014,5,3) + TIME(8,29,22)</f>
        <v>41762.353726851848</v>
      </c>
      <c r="C1800">
        <v>80</v>
      </c>
      <c r="D1800">
        <v>79.236877441000004</v>
      </c>
      <c r="E1800">
        <v>50</v>
      </c>
      <c r="F1800">
        <v>49.775253296000002</v>
      </c>
      <c r="G1800">
        <v>1387.5561522999999</v>
      </c>
      <c r="H1800">
        <v>1372.8662108999999</v>
      </c>
      <c r="I1800">
        <v>1289.1661377</v>
      </c>
      <c r="J1800">
        <v>1270.0531006000001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1463.4787590000001</v>
      </c>
      <c r="B1801" s="1">
        <f>DATE(2014,5,3) + TIME(11,29,24)</f>
        <v>41762.478750000002</v>
      </c>
      <c r="C1801">
        <v>80</v>
      </c>
      <c r="D1801">
        <v>79.344093322999996</v>
      </c>
      <c r="E1801">
        <v>50</v>
      </c>
      <c r="F1801">
        <v>49.766548157000003</v>
      </c>
      <c r="G1801">
        <v>1387.4797363</v>
      </c>
      <c r="H1801">
        <v>1372.8126221</v>
      </c>
      <c r="I1801">
        <v>1289.1639404</v>
      </c>
      <c r="J1801">
        <v>1270.0504149999999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1463.6060600000001</v>
      </c>
      <c r="B1802" s="1">
        <f>DATE(2014,5,3) + TIME(14,32,43)</f>
        <v>41762.606053240743</v>
      </c>
      <c r="C1802">
        <v>80</v>
      </c>
      <c r="D1802">
        <v>79.436653136999993</v>
      </c>
      <c r="E1802">
        <v>50</v>
      </c>
      <c r="F1802">
        <v>49.757732390999998</v>
      </c>
      <c r="G1802">
        <v>1387.4064940999999</v>
      </c>
      <c r="H1802">
        <v>1372.7601318</v>
      </c>
      <c r="I1802">
        <v>1289.1616211</v>
      </c>
      <c r="J1802">
        <v>1270.0477295000001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1463.736005</v>
      </c>
      <c r="B1803" s="1">
        <f>DATE(2014,5,3) + TIME(17,39,50)</f>
        <v>41762.735995370371</v>
      </c>
      <c r="C1803">
        <v>80</v>
      </c>
      <c r="D1803">
        <v>79.516517639</v>
      </c>
      <c r="E1803">
        <v>50</v>
      </c>
      <c r="F1803">
        <v>49.748786926000001</v>
      </c>
      <c r="G1803">
        <v>1387.3359375</v>
      </c>
      <c r="H1803">
        <v>1372.708374</v>
      </c>
      <c r="I1803">
        <v>1289.1593018000001</v>
      </c>
      <c r="J1803">
        <v>1270.0450439000001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1463.8689810000001</v>
      </c>
      <c r="B1804" s="1">
        <f>DATE(2014,5,3) + TIME(20,51,19)</f>
        <v>41762.868969907409</v>
      </c>
      <c r="C1804">
        <v>80</v>
      </c>
      <c r="D1804">
        <v>79.585372925000001</v>
      </c>
      <c r="E1804">
        <v>50</v>
      </c>
      <c r="F1804">
        <v>49.739681244000003</v>
      </c>
      <c r="G1804">
        <v>1387.2677002</v>
      </c>
      <c r="H1804">
        <v>1372.6573486</v>
      </c>
      <c r="I1804">
        <v>1289.1568603999999</v>
      </c>
      <c r="J1804">
        <v>1270.0422363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1464.005398</v>
      </c>
      <c r="B1805" s="1">
        <f>DATE(2014,5,4) + TIME(0,7,46)</f>
        <v>41763.005393518521</v>
      </c>
      <c r="C1805">
        <v>80</v>
      </c>
      <c r="D1805">
        <v>79.644653320000003</v>
      </c>
      <c r="E1805">
        <v>50</v>
      </c>
      <c r="F1805">
        <v>49.730396270999996</v>
      </c>
      <c r="G1805">
        <v>1387.2014160000001</v>
      </c>
      <c r="H1805">
        <v>1372.6068115</v>
      </c>
      <c r="I1805">
        <v>1289.1544189000001</v>
      </c>
      <c r="J1805">
        <v>1270.0393065999999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1464.145696</v>
      </c>
      <c r="B1806" s="1">
        <f>DATE(2014,5,4) + TIME(3,29,48)</f>
        <v>41763.145694444444</v>
      </c>
      <c r="C1806">
        <v>80</v>
      </c>
      <c r="D1806">
        <v>79.695602417000003</v>
      </c>
      <c r="E1806">
        <v>50</v>
      </c>
      <c r="F1806">
        <v>49.720905303999999</v>
      </c>
      <c r="G1806">
        <v>1387.1368408000001</v>
      </c>
      <c r="H1806">
        <v>1372.5567627</v>
      </c>
      <c r="I1806">
        <v>1289.1518555</v>
      </c>
      <c r="J1806">
        <v>1270.0363769999999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1464.2903530000001</v>
      </c>
      <c r="B1807" s="1">
        <f>DATE(2014,5,4) + TIME(6,58,6)</f>
        <v>41763.290347222224</v>
      </c>
      <c r="C1807">
        <v>80</v>
      </c>
      <c r="D1807">
        <v>79.739288329999994</v>
      </c>
      <c r="E1807">
        <v>50</v>
      </c>
      <c r="F1807">
        <v>49.711181641000003</v>
      </c>
      <c r="G1807">
        <v>1387.0736084</v>
      </c>
      <c r="H1807">
        <v>1372.5070800999999</v>
      </c>
      <c r="I1807">
        <v>1289.1491699000001</v>
      </c>
      <c r="J1807">
        <v>1270.0333252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1464.439897</v>
      </c>
      <c r="B1808" s="1">
        <f>DATE(2014,5,4) + TIME(10,33,27)</f>
        <v>41763.439895833333</v>
      </c>
      <c r="C1808">
        <v>80</v>
      </c>
      <c r="D1808">
        <v>79.776657103999995</v>
      </c>
      <c r="E1808">
        <v>50</v>
      </c>
      <c r="F1808">
        <v>49.701190947999997</v>
      </c>
      <c r="G1808">
        <v>1387.0113524999999</v>
      </c>
      <c r="H1808">
        <v>1372.4575195</v>
      </c>
      <c r="I1808">
        <v>1289.1464844</v>
      </c>
      <c r="J1808">
        <v>1270.0301514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1464.5949760000001</v>
      </c>
      <c r="B1809" s="1">
        <f>DATE(2014,5,4) + TIME(14,16,45)</f>
        <v>41763.594965277778</v>
      </c>
      <c r="C1809">
        <v>80</v>
      </c>
      <c r="D1809">
        <v>79.808532714999998</v>
      </c>
      <c r="E1809">
        <v>50</v>
      </c>
      <c r="F1809">
        <v>49.690898894999997</v>
      </c>
      <c r="G1809">
        <v>1386.9499512</v>
      </c>
      <c r="H1809">
        <v>1372.4079589999999</v>
      </c>
      <c r="I1809">
        <v>1289.1436768000001</v>
      </c>
      <c r="J1809">
        <v>1270.0268555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1464.7562419999999</v>
      </c>
      <c r="B1810" s="1">
        <f>DATE(2014,5,4) + TIME(18,8,59)</f>
        <v>41763.756238425929</v>
      </c>
      <c r="C1810">
        <v>80</v>
      </c>
      <c r="D1810">
        <v>79.835609435999999</v>
      </c>
      <c r="E1810">
        <v>50</v>
      </c>
      <c r="F1810">
        <v>49.680271148999999</v>
      </c>
      <c r="G1810">
        <v>1386.8891602000001</v>
      </c>
      <c r="H1810">
        <v>1372.3583983999999</v>
      </c>
      <c r="I1810">
        <v>1289.1407471</v>
      </c>
      <c r="J1810">
        <v>1270.0235596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1464.924405</v>
      </c>
      <c r="B1811" s="1">
        <f>DATE(2014,5,4) + TIME(22,11,8)</f>
        <v>41763.924398148149</v>
      </c>
      <c r="C1811">
        <v>80</v>
      </c>
      <c r="D1811">
        <v>79.858528136999993</v>
      </c>
      <c r="E1811">
        <v>50</v>
      </c>
      <c r="F1811">
        <v>49.669265746999997</v>
      </c>
      <c r="G1811">
        <v>1386.8286132999999</v>
      </c>
      <c r="H1811">
        <v>1372.3084716999999</v>
      </c>
      <c r="I1811">
        <v>1289.1376952999999</v>
      </c>
      <c r="J1811">
        <v>1270.0200195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1465.10033</v>
      </c>
      <c r="B1812" s="1">
        <f>DATE(2014,5,5) + TIME(2,24,28)</f>
        <v>41764.100324074076</v>
      </c>
      <c r="C1812">
        <v>80</v>
      </c>
      <c r="D1812">
        <v>79.877822875999996</v>
      </c>
      <c r="E1812">
        <v>50</v>
      </c>
      <c r="F1812">
        <v>49.657833099000001</v>
      </c>
      <c r="G1812">
        <v>1386.7681885</v>
      </c>
      <c r="H1812">
        <v>1372.2583007999999</v>
      </c>
      <c r="I1812">
        <v>1289.1345214999999</v>
      </c>
      <c r="J1812">
        <v>1270.0163574000001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1465.2833969999999</v>
      </c>
      <c r="B1813" s="1">
        <f>DATE(2014,5,5) + TIME(6,48,5)</f>
        <v>41764.283391203702</v>
      </c>
      <c r="C1813">
        <v>80</v>
      </c>
      <c r="D1813">
        <v>79.893875121999997</v>
      </c>
      <c r="E1813">
        <v>50</v>
      </c>
      <c r="F1813">
        <v>49.646011352999999</v>
      </c>
      <c r="G1813">
        <v>1386.7076416</v>
      </c>
      <c r="H1813">
        <v>1372.2077637</v>
      </c>
      <c r="I1813">
        <v>1289.1312256000001</v>
      </c>
      <c r="J1813">
        <v>1270.0125731999999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1465.473596</v>
      </c>
      <c r="B1814" s="1">
        <f>DATE(2014,5,5) + TIME(11,21,58)</f>
        <v>41764.473587962966</v>
      </c>
      <c r="C1814">
        <v>80</v>
      </c>
      <c r="D1814">
        <v>79.907119750999996</v>
      </c>
      <c r="E1814">
        <v>50</v>
      </c>
      <c r="F1814">
        <v>49.633792876999998</v>
      </c>
      <c r="G1814">
        <v>1386.6472168</v>
      </c>
      <c r="H1814">
        <v>1372.1568603999999</v>
      </c>
      <c r="I1814">
        <v>1289.1278076000001</v>
      </c>
      <c r="J1814">
        <v>1270.0085449000001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1465.6717819999999</v>
      </c>
      <c r="B1815" s="1">
        <f>DATE(2014,5,5) + TIME(16,7,21)</f>
        <v>41764.671770833331</v>
      </c>
      <c r="C1815">
        <v>80</v>
      </c>
      <c r="D1815">
        <v>79.917999268000003</v>
      </c>
      <c r="E1815">
        <v>50</v>
      </c>
      <c r="F1815">
        <v>49.621135711999997</v>
      </c>
      <c r="G1815">
        <v>1386.5870361</v>
      </c>
      <c r="H1815">
        <v>1372.1058350000001</v>
      </c>
      <c r="I1815">
        <v>1289.1242675999999</v>
      </c>
      <c r="J1815">
        <v>1270.0043945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1465.8787950000001</v>
      </c>
      <c r="B1816" s="1">
        <f>DATE(2014,5,5) + TIME(21,5,27)</f>
        <v>41764.878784722219</v>
      </c>
      <c r="C1816">
        <v>80</v>
      </c>
      <c r="D1816">
        <v>79.926895142000006</v>
      </c>
      <c r="E1816">
        <v>50</v>
      </c>
      <c r="F1816">
        <v>49.607997894</v>
      </c>
      <c r="G1816">
        <v>1386.5266113</v>
      </c>
      <c r="H1816">
        <v>1372.0545654</v>
      </c>
      <c r="I1816">
        <v>1289.1206055</v>
      </c>
      <c r="J1816">
        <v>1270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1466.0956839999999</v>
      </c>
      <c r="B1817" s="1">
        <f>DATE(2014,5,6) + TIME(2,17,47)</f>
        <v>41765.095682870371</v>
      </c>
      <c r="C1817">
        <v>80</v>
      </c>
      <c r="D1817">
        <v>79.934127808</v>
      </c>
      <c r="E1817">
        <v>50</v>
      </c>
      <c r="F1817">
        <v>49.594322204999997</v>
      </c>
      <c r="G1817">
        <v>1386.4660644999999</v>
      </c>
      <c r="H1817">
        <v>1372.0028076000001</v>
      </c>
      <c r="I1817">
        <v>1289.1166992000001</v>
      </c>
      <c r="J1817">
        <v>1269.9954834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1466.32366</v>
      </c>
      <c r="B1818" s="1">
        <f>DATE(2014,5,6) + TIME(7,46,4)</f>
        <v>41765.323657407411</v>
      </c>
      <c r="C1818">
        <v>80</v>
      </c>
      <c r="D1818">
        <v>79.939971924000005</v>
      </c>
      <c r="E1818">
        <v>50</v>
      </c>
      <c r="F1818">
        <v>49.580047606999997</v>
      </c>
      <c r="G1818">
        <v>1386.4049072</v>
      </c>
      <c r="H1818">
        <v>1371.9505615</v>
      </c>
      <c r="I1818">
        <v>1289.1126709</v>
      </c>
      <c r="J1818">
        <v>1269.9907227000001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1466.56413</v>
      </c>
      <c r="B1819" s="1">
        <f>DATE(2014,5,6) + TIME(13,32,20)</f>
        <v>41765.564120370371</v>
      </c>
      <c r="C1819">
        <v>80</v>
      </c>
      <c r="D1819">
        <v>79.944671631000006</v>
      </c>
      <c r="E1819">
        <v>50</v>
      </c>
      <c r="F1819">
        <v>49.565101624</v>
      </c>
      <c r="G1819">
        <v>1386.3430175999999</v>
      </c>
      <c r="H1819">
        <v>1371.8974608999999</v>
      </c>
      <c r="I1819">
        <v>1289.1085204999999</v>
      </c>
      <c r="J1819">
        <v>1269.9858397999999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1466.811549</v>
      </c>
      <c r="B1820" s="1">
        <f>DATE(2014,5,6) + TIME(19,28,37)</f>
        <v>41765.811539351853</v>
      </c>
      <c r="C1820">
        <v>80</v>
      </c>
      <c r="D1820">
        <v>79.948341369999994</v>
      </c>
      <c r="E1820">
        <v>50</v>
      </c>
      <c r="F1820">
        <v>49.549747467000003</v>
      </c>
      <c r="G1820">
        <v>1386.2802733999999</v>
      </c>
      <c r="H1820">
        <v>1371.8436279</v>
      </c>
      <c r="I1820">
        <v>1289.1040039</v>
      </c>
      <c r="J1820">
        <v>1269.9805908000001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1467.0608130000001</v>
      </c>
      <c r="B1821" s="1">
        <f>DATE(2014,5,7) + TIME(1,27,34)</f>
        <v>41766.060810185183</v>
      </c>
      <c r="C1821">
        <v>80</v>
      </c>
      <c r="D1821">
        <v>79.951164246000005</v>
      </c>
      <c r="E1821">
        <v>50</v>
      </c>
      <c r="F1821">
        <v>49.534233092999997</v>
      </c>
      <c r="G1821">
        <v>1386.2181396000001</v>
      </c>
      <c r="H1821">
        <v>1371.7900391000001</v>
      </c>
      <c r="I1821">
        <v>1289.0994873</v>
      </c>
      <c r="J1821">
        <v>1269.9750977000001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1467.3128409999999</v>
      </c>
      <c r="B1822" s="1">
        <f>DATE(2014,5,7) + TIME(7,30,29)</f>
        <v>41766.312835648147</v>
      </c>
      <c r="C1822">
        <v>80</v>
      </c>
      <c r="D1822">
        <v>79.953330993999998</v>
      </c>
      <c r="E1822">
        <v>50</v>
      </c>
      <c r="F1822">
        <v>49.518539429</v>
      </c>
      <c r="G1822">
        <v>1386.1575928</v>
      </c>
      <c r="H1822">
        <v>1371.7379149999999</v>
      </c>
      <c r="I1822">
        <v>1289.0948486</v>
      </c>
      <c r="J1822">
        <v>1269.9697266000001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1467.5685040000001</v>
      </c>
      <c r="B1823" s="1">
        <f>DATE(2014,5,7) + TIME(13,38,38)</f>
        <v>41766.568495370368</v>
      </c>
      <c r="C1823">
        <v>80</v>
      </c>
      <c r="D1823">
        <v>79.955017089999998</v>
      </c>
      <c r="E1823">
        <v>50</v>
      </c>
      <c r="F1823">
        <v>49.502643585000001</v>
      </c>
      <c r="G1823">
        <v>1386.0985106999999</v>
      </c>
      <c r="H1823">
        <v>1371.6870117000001</v>
      </c>
      <c r="I1823">
        <v>1289.0902100000001</v>
      </c>
      <c r="J1823">
        <v>1269.9642334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1467.828675</v>
      </c>
      <c r="B1824" s="1">
        <f>DATE(2014,5,7) + TIME(19,53,17)</f>
        <v>41766.828668981485</v>
      </c>
      <c r="C1824">
        <v>80</v>
      </c>
      <c r="D1824">
        <v>79.956329346000004</v>
      </c>
      <c r="E1824">
        <v>50</v>
      </c>
      <c r="F1824">
        <v>49.486511229999998</v>
      </c>
      <c r="G1824">
        <v>1386.0405272999999</v>
      </c>
      <c r="H1824">
        <v>1371.6369629000001</v>
      </c>
      <c r="I1824">
        <v>1289.0855713000001</v>
      </c>
      <c r="J1824">
        <v>1269.9586182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1468.0942500000001</v>
      </c>
      <c r="B1825" s="1">
        <f>DATE(2014,5,8) + TIME(2,15,43)</f>
        <v>41767.094247685185</v>
      </c>
      <c r="C1825">
        <v>80</v>
      </c>
      <c r="D1825">
        <v>79.957359314000001</v>
      </c>
      <c r="E1825">
        <v>50</v>
      </c>
      <c r="F1825">
        <v>49.470111846999998</v>
      </c>
      <c r="G1825">
        <v>1385.9833983999999</v>
      </c>
      <c r="H1825">
        <v>1371.5877685999999</v>
      </c>
      <c r="I1825">
        <v>1289.0808105000001</v>
      </c>
      <c r="J1825">
        <v>1269.9528809000001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1468.366172</v>
      </c>
      <c r="B1826" s="1">
        <f>DATE(2014,5,8) + TIME(8,47,17)</f>
        <v>41767.366168981483</v>
      </c>
      <c r="C1826">
        <v>80</v>
      </c>
      <c r="D1826">
        <v>79.958168029999996</v>
      </c>
      <c r="E1826">
        <v>50</v>
      </c>
      <c r="F1826">
        <v>49.453395843999999</v>
      </c>
      <c r="G1826">
        <v>1385.9267577999999</v>
      </c>
      <c r="H1826">
        <v>1371.5389404</v>
      </c>
      <c r="I1826">
        <v>1289.0759277</v>
      </c>
      <c r="J1826">
        <v>1269.9470214999999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1468.645514</v>
      </c>
      <c r="B1827" s="1">
        <f>DATE(2014,5,8) + TIME(15,29,32)</f>
        <v>41767.645509259259</v>
      </c>
      <c r="C1827">
        <v>80</v>
      </c>
      <c r="D1827">
        <v>79.958808899000005</v>
      </c>
      <c r="E1827">
        <v>50</v>
      </c>
      <c r="F1827">
        <v>49.436317443999997</v>
      </c>
      <c r="G1827">
        <v>1385.8706055</v>
      </c>
      <c r="H1827">
        <v>1371.4904785000001</v>
      </c>
      <c r="I1827">
        <v>1289.0709228999999</v>
      </c>
      <c r="J1827">
        <v>1269.9410399999999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1468.933452</v>
      </c>
      <c r="B1828" s="1">
        <f>DATE(2014,5,8) + TIME(22,24,10)</f>
        <v>41767.933449074073</v>
      </c>
      <c r="C1828">
        <v>80</v>
      </c>
      <c r="D1828">
        <v>79.959320067999997</v>
      </c>
      <c r="E1828">
        <v>50</v>
      </c>
      <c r="F1828">
        <v>49.418823242000002</v>
      </c>
      <c r="G1828">
        <v>1385.8146973</v>
      </c>
      <c r="H1828">
        <v>1371.4422606999999</v>
      </c>
      <c r="I1828">
        <v>1289.065918</v>
      </c>
      <c r="J1828">
        <v>1269.9348144999999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1469.230319</v>
      </c>
      <c r="B1829" s="1">
        <f>DATE(2014,5,9) + TIME(5,31,39)</f>
        <v>41768.230312500003</v>
      </c>
      <c r="C1829">
        <v>80</v>
      </c>
      <c r="D1829">
        <v>79.959724425999994</v>
      </c>
      <c r="E1829">
        <v>50</v>
      </c>
      <c r="F1829">
        <v>49.400886536000002</v>
      </c>
      <c r="G1829">
        <v>1385.7586670000001</v>
      </c>
      <c r="H1829">
        <v>1371.394043</v>
      </c>
      <c r="I1829">
        <v>1289.0606689000001</v>
      </c>
      <c r="J1829">
        <v>1269.9284668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1469.533302</v>
      </c>
      <c r="B1830" s="1">
        <f>DATE(2014,5,9) + TIME(12,47,57)</f>
        <v>41768.53329861111</v>
      </c>
      <c r="C1830">
        <v>80</v>
      </c>
      <c r="D1830">
        <v>79.960052489999995</v>
      </c>
      <c r="E1830">
        <v>50</v>
      </c>
      <c r="F1830">
        <v>49.382629395000002</v>
      </c>
      <c r="G1830">
        <v>1385.7026367000001</v>
      </c>
      <c r="H1830">
        <v>1371.3457031</v>
      </c>
      <c r="I1830">
        <v>1289.0552978999999</v>
      </c>
      <c r="J1830">
        <v>1269.9219971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1469.843351</v>
      </c>
      <c r="B1831" s="1">
        <f>DATE(2014,5,9) + TIME(20,14,25)</f>
        <v>41768.843344907407</v>
      </c>
      <c r="C1831">
        <v>80</v>
      </c>
      <c r="D1831">
        <v>79.96031189</v>
      </c>
      <c r="E1831">
        <v>50</v>
      </c>
      <c r="F1831">
        <v>49.364021301000001</v>
      </c>
      <c r="G1831">
        <v>1385.6470947</v>
      </c>
      <c r="H1831">
        <v>1371.2977295000001</v>
      </c>
      <c r="I1831">
        <v>1289.0498047000001</v>
      </c>
      <c r="J1831">
        <v>1269.9152832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1470.1614159999999</v>
      </c>
      <c r="B1832" s="1">
        <f>DATE(2014,5,10) + TIME(3,52,26)</f>
        <v>41769.161412037036</v>
      </c>
      <c r="C1832">
        <v>80</v>
      </c>
      <c r="D1832">
        <v>79.960517882999994</v>
      </c>
      <c r="E1832">
        <v>50</v>
      </c>
      <c r="F1832">
        <v>49.345016479000002</v>
      </c>
      <c r="G1832">
        <v>1385.5919189000001</v>
      </c>
      <c r="H1832">
        <v>1371.2501221</v>
      </c>
      <c r="I1832">
        <v>1289.0441894999999</v>
      </c>
      <c r="J1832">
        <v>1269.9084473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1470.4885360000001</v>
      </c>
      <c r="B1833" s="1">
        <f>DATE(2014,5,10) + TIME(11,43,29)</f>
        <v>41769.488530092596</v>
      </c>
      <c r="C1833">
        <v>80</v>
      </c>
      <c r="D1833">
        <v>79.960685729999994</v>
      </c>
      <c r="E1833">
        <v>50</v>
      </c>
      <c r="F1833">
        <v>49.325576781999999</v>
      </c>
      <c r="G1833">
        <v>1385.5367432</v>
      </c>
      <c r="H1833">
        <v>1371.2026367000001</v>
      </c>
      <c r="I1833">
        <v>1289.0384521000001</v>
      </c>
      <c r="J1833">
        <v>1269.9013672000001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1470.8259210000001</v>
      </c>
      <c r="B1834" s="1">
        <f>DATE(2014,5,10) + TIME(19,49,19)</f>
        <v>41769.825914351852</v>
      </c>
      <c r="C1834">
        <v>80</v>
      </c>
      <c r="D1834">
        <v>79.960830688000001</v>
      </c>
      <c r="E1834">
        <v>50</v>
      </c>
      <c r="F1834">
        <v>49.305641174000002</v>
      </c>
      <c r="G1834">
        <v>1385.4816894999999</v>
      </c>
      <c r="H1834">
        <v>1371.1551514</v>
      </c>
      <c r="I1834">
        <v>1289.0325928</v>
      </c>
      <c r="J1834">
        <v>1269.8941649999999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1471.1749749999999</v>
      </c>
      <c r="B1835" s="1">
        <f>DATE(2014,5,11) + TIME(4,11,57)</f>
        <v>41770.17496527778</v>
      </c>
      <c r="C1835">
        <v>80</v>
      </c>
      <c r="D1835">
        <v>79.9609375</v>
      </c>
      <c r="E1835">
        <v>50</v>
      </c>
      <c r="F1835">
        <v>49.285148620999998</v>
      </c>
      <c r="G1835">
        <v>1385.4263916</v>
      </c>
      <c r="H1835">
        <v>1371.1075439000001</v>
      </c>
      <c r="I1835">
        <v>1289.0264893000001</v>
      </c>
      <c r="J1835">
        <v>1269.8867187999999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1471.536996</v>
      </c>
      <c r="B1836" s="1">
        <f>DATE(2014,5,11) + TIME(12,53,16)</f>
        <v>41770.536990740744</v>
      </c>
      <c r="C1836">
        <v>80</v>
      </c>
      <c r="D1836">
        <v>79.961036682</v>
      </c>
      <c r="E1836">
        <v>50</v>
      </c>
      <c r="F1836">
        <v>49.264034271</v>
      </c>
      <c r="G1836">
        <v>1385.3708495999999</v>
      </c>
      <c r="H1836">
        <v>1371.0595702999999</v>
      </c>
      <c r="I1836">
        <v>1289.0202637</v>
      </c>
      <c r="J1836">
        <v>1269.8789062000001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1471.9136530000001</v>
      </c>
      <c r="B1837" s="1">
        <f>DATE(2014,5,11) + TIME(21,55,39)</f>
        <v>41770.913645833331</v>
      </c>
      <c r="C1837">
        <v>80</v>
      </c>
      <c r="D1837">
        <v>79.961112975999995</v>
      </c>
      <c r="E1837">
        <v>50</v>
      </c>
      <c r="F1837">
        <v>49.242221831999998</v>
      </c>
      <c r="G1837">
        <v>1385.3146973</v>
      </c>
      <c r="H1837">
        <v>1371.0112305</v>
      </c>
      <c r="I1837">
        <v>1289.0136719</v>
      </c>
      <c r="J1837">
        <v>1269.8708495999999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1472.3068720000001</v>
      </c>
      <c r="B1838" s="1">
        <f>DATE(2014,5,12) + TIME(7,21,53)</f>
        <v>41771.306863425925</v>
      </c>
      <c r="C1838">
        <v>80</v>
      </c>
      <c r="D1838">
        <v>79.961174010999997</v>
      </c>
      <c r="E1838">
        <v>50</v>
      </c>
      <c r="F1838">
        <v>49.219615935999997</v>
      </c>
      <c r="G1838">
        <v>1385.2579346</v>
      </c>
      <c r="H1838">
        <v>1370.9622803</v>
      </c>
      <c r="I1838">
        <v>1289.0069579999999</v>
      </c>
      <c r="J1838">
        <v>1269.8624268000001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1472.7038190000001</v>
      </c>
      <c r="B1839" s="1">
        <f>DATE(2014,5,12) + TIME(16,53,29)</f>
        <v>41771.70380787037</v>
      </c>
      <c r="C1839">
        <v>80</v>
      </c>
      <c r="D1839">
        <v>79.961219787999994</v>
      </c>
      <c r="E1839">
        <v>50</v>
      </c>
      <c r="F1839">
        <v>49.196701050000001</v>
      </c>
      <c r="G1839">
        <v>1385.2001952999999</v>
      </c>
      <c r="H1839">
        <v>1370.9124756000001</v>
      </c>
      <c r="I1839">
        <v>1288.9997559000001</v>
      </c>
      <c r="J1839">
        <v>1269.8537598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1473.104855</v>
      </c>
      <c r="B1840" s="1">
        <f>DATE(2014,5,13) + TIME(2,30,59)</f>
        <v>41772.104849537034</v>
      </c>
      <c r="C1840">
        <v>80</v>
      </c>
      <c r="D1840">
        <v>79.961265564000001</v>
      </c>
      <c r="E1840">
        <v>50</v>
      </c>
      <c r="F1840">
        <v>49.173522949000002</v>
      </c>
      <c r="G1840">
        <v>1385.1435547000001</v>
      </c>
      <c r="H1840">
        <v>1370.8636475000001</v>
      </c>
      <c r="I1840">
        <v>1288.9925536999999</v>
      </c>
      <c r="J1840">
        <v>1269.8448486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1473.5113160000001</v>
      </c>
      <c r="B1841" s="1">
        <f>DATE(2014,5,13) + TIME(12,16,17)</f>
        <v>41772.511307870373</v>
      </c>
      <c r="C1841">
        <v>80</v>
      </c>
      <c r="D1841">
        <v>79.961296082000004</v>
      </c>
      <c r="E1841">
        <v>50</v>
      </c>
      <c r="F1841">
        <v>49.150070190000001</v>
      </c>
      <c r="G1841">
        <v>1385.0878906</v>
      </c>
      <c r="H1841">
        <v>1370.8155518000001</v>
      </c>
      <c r="I1841">
        <v>1288.9853516000001</v>
      </c>
      <c r="J1841">
        <v>1269.8359375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1473.9245470000001</v>
      </c>
      <c r="B1842" s="1">
        <f>DATE(2014,5,13) + TIME(22,11,20)</f>
        <v>41772.924537037034</v>
      </c>
      <c r="C1842">
        <v>80</v>
      </c>
      <c r="D1842">
        <v>79.961318969999994</v>
      </c>
      <c r="E1842">
        <v>50</v>
      </c>
      <c r="F1842">
        <v>49.126312255999999</v>
      </c>
      <c r="G1842">
        <v>1385.0328368999999</v>
      </c>
      <c r="H1842">
        <v>1370.7680664</v>
      </c>
      <c r="I1842">
        <v>1288.9780272999999</v>
      </c>
      <c r="J1842">
        <v>1269.8267822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1474.3459339999999</v>
      </c>
      <c r="B1843" s="1">
        <f>DATE(2014,5,14) + TIME(8,18,8)</f>
        <v>41773.345925925925</v>
      </c>
      <c r="C1843">
        <v>80</v>
      </c>
      <c r="D1843">
        <v>79.961334229000002</v>
      </c>
      <c r="E1843">
        <v>50</v>
      </c>
      <c r="F1843">
        <v>49.102199554000002</v>
      </c>
      <c r="G1843">
        <v>1384.9783935999999</v>
      </c>
      <c r="H1843">
        <v>1370.7209473</v>
      </c>
      <c r="I1843">
        <v>1288.9705810999999</v>
      </c>
      <c r="J1843">
        <v>1269.8175048999999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1474.7769479999999</v>
      </c>
      <c r="B1844" s="1">
        <f>DATE(2014,5,14) + TIME(18,38,48)</f>
        <v>41773.776944444442</v>
      </c>
      <c r="C1844">
        <v>80</v>
      </c>
      <c r="D1844">
        <v>79.961349487000007</v>
      </c>
      <c r="E1844">
        <v>50</v>
      </c>
      <c r="F1844">
        <v>49.077678679999998</v>
      </c>
      <c r="G1844">
        <v>1384.9241943</v>
      </c>
      <c r="H1844">
        <v>1370.6741943</v>
      </c>
      <c r="I1844">
        <v>1288.9628906</v>
      </c>
      <c r="J1844">
        <v>1269.8079834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1475.219196</v>
      </c>
      <c r="B1845" s="1">
        <f>DATE(2014,5,15) + TIME(5,15,38)</f>
        <v>41774.219189814816</v>
      </c>
      <c r="C1845">
        <v>80</v>
      </c>
      <c r="D1845">
        <v>79.961364746000001</v>
      </c>
      <c r="E1845">
        <v>50</v>
      </c>
      <c r="F1845">
        <v>49.052680969000001</v>
      </c>
      <c r="G1845">
        <v>1384.8701172000001</v>
      </c>
      <c r="H1845">
        <v>1370.6274414</v>
      </c>
      <c r="I1845">
        <v>1288.9550781</v>
      </c>
      <c r="J1845">
        <v>1269.7983397999999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1475.674665</v>
      </c>
      <c r="B1846" s="1">
        <f>DATE(2014,5,15) + TIME(16,11,31)</f>
        <v>41774.674664351849</v>
      </c>
      <c r="C1846">
        <v>80</v>
      </c>
      <c r="D1846">
        <v>79.961372374999996</v>
      </c>
      <c r="E1846">
        <v>50</v>
      </c>
      <c r="F1846">
        <v>49.027114867999998</v>
      </c>
      <c r="G1846">
        <v>1384.815918</v>
      </c>
      <c r="H1846">
        <v>1370.5805664</v>
      </c>
      <c r="I1846">
        <v>1288.9471435999999</v>
      </c>
      <c r="J1846">
        <v>1269.7882079999999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1476.145033</v>
      </c>
      <c r="B1847" s="1">
        <f>DATE(2014,5,16) + TIME(3,28,50)</f>
        <v>41775.14502314815</v>
      </c>
      <c r="C1847">
        <v>80</v>
      </c>
      <c r="D1847">
        <v>79.961372374999996</v>
      </c>
      <c r="E1847">
        <v>50</v>
      </c>
      <c r="F1847">
        <v>49.000907898000001</v>
      </c>
      <c r="G1847">
        <v>1384.7615966999999</v>
      </c>
      <c r="H1847">
        <v>1370.5335693</v>
      </c>
      <c r="I1847">
        <v>1288.9388428</v>
      </c>
      <c r="J1847">
        <v>1269.7779541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1476.626307</v>
      </c>
      <c r="B1848" s="1">
        <f>DATE(2014,5,16) + TIME(15,1,52)</f>
        <v>41775.626296296294</v>
      </c>
      <c r="C1848">
        <v>80</v>
      </c>
      <c r="D1848">
        <v>79.961380004999995</v>
      </c>
      <c r="E1848">
        <v>50</v>
      </c>
      <c r="F1848">
        <v>48.974170684999997</v>
      </c>
      <c r="G1848">
        <v>1384.7066649999999</v>
      </c>
      <c r="H1848">
        <v>1370.4860839999999</v>
      </c>
      <c r="I1848">
        <v>1288.9302978999999</v>
      </c>
      <c r="J1848">
        <v>1269.7672118999999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1477.114957</v>
      </c>
      <c r="B1849" s="1">
        <f>DATE(2014,5,17) + TIME(2,45,32)</f>
        <v>41776.114953703705</v>
      </c>
      <c r="C1849">
        <v>80</v>
      </c>
      <c r="D1849">
        <v>79.961380004999995</v>
      </c>
      <c r="E1849">
        <v>50</v>
      </c>
      <c r="F1849">
        <v>48.947048187</v>
      </c>
      <c r="G1849">
        <v>1384.6519774999999</v>
      </c>
      <c r="H1849">
        <v>1370.4387207</v>
      </c>
      <c r="I1849">
        <v>1288.9215088000001</v>
      </c>
      <c r="J1849">
        <v>1269.7562256000001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1477.61241</v>
      </c>
      <c r="B1850" s="1">
        <f>DATE(2014,5,17) + TIME(14,41,52)</f>
        <v>41776.612407407411</v>
      </c>
      <c r="C1850">
        <v>80</v>
      </c>
      <c r="D1850">
        <v>79.961380004999995</v>
      </c>
      <c r="E1850">
        <v>50</v>
      </c>
      <c r="F1850">
        <v>48.919521332000002</v>
      </c>
      <c r="G1850">
        <v>1384.5976562000001</v>
      </c>
      <c r="H1850">
        <v>1370.3916016000001</v>
      </c>
      <c r="I1850">
        <v>1288.9125977000001</v>
      </c>
      <c r="J1850">
        <v>1269.7451172000001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1478.1201040000001</v>
      </c>
      <c r="B1851" s="1">
        <f>DATE(2014,5,18) + TIME(2,52,56)</f>
        <v>41777.120092592595</v>
      </c>
      <c r="C1851">
        <v>80</v>
      </c>
      <c r="D1851">
        <v>79.961380004999995</v>
      </c>
      <c r="E1851">
        <v>50</v>
      </c>
      <c r="F1851">
        <v>48.891559600999997</v>
      </c>
      <c r="G1851">
        <v>1384.5437012</v>
      </c>
      <c r="H1851">
        <v>1370.3448486</v>
      </c>
      <c r="I1851">
        <v>1288.9035644999999</v>
      </c>
      <c r="J1851">
        <v>1269.7336425999999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1478.6395789999999</v>
      </c>
      <c r="B1852" s="1">
        <f>DATE(2014,5,18) + TIME(15,20,59)</f>
        <v>41777.63957175926</v>
      </c>
      <c r="C1852">
        <v>80</v>
      </c>
      <c r="D1852">
        <v>79.961380004999995</v>
      </c>
      <c r="E1852">
        <v>50</v>
      </c>
      <c r="F1852">
        <v>48.863109588999997</v>
      </c>
      <c r="G1852">
        <v>1384.4898682</v>
      </c>
      <c r="H1852">
        <v>1370.2980957</v>
      </c>
      <c r="I1852">
        <v>1288.8942870999999</v>
      </c>
      <c r="J1852">
        <v>1269.7220459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1479.1725160000001</v>
      </c>
      <c r="B1853" s="1">
        <f>DATE(2014,5,19) + TIME(4,8,25)</f>
        <v>41778.172511574077</v>
      </c>
      <c r="C1853">
        <v>80</v>
      </c>
      <c r="D1853">
        <v>79.961380004999995</v>
      </c>
      <c r="E1853">
        <v>50</v>
      </c>
      <c r="F1853">
        <v>48.834102631</v>
      </c>
      <c r="G1853">
        <v>1384.4360352000001</v>
      </c>
      <c r="H1853">
        <v>1370.2513428</v>
      </c>
      <c r="I1853">
        <v>1288.8847656</v>
      </c>
      <c r="J1853">
        <v>1269.7099608999999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1479.718926</v>
      </c>
      <c r="B1854" s="1">
        <f>DATE(2014,5,19) + TIME(17,15,15)</f>
        <v>41778.718923611108</v>
      </c>
      <c r="C1854">
        <v>80</v>
      </c>
      <c r="D1854">
        <v>79.961372374999996</v>
      </c>
      <c r="E1854">
        <v>50</v>
      </c>
      <c r="F1854">
        <v>48.804527282999999</v>
      </c>
      <c r="G1854">
        <v>1384.3820800999999</v>
      </c>
      <c r="H1854">
        <v>1370.2044678</v>
      </c>
      <c r="I1854">
        <v>1288.8748779</v>
      </c>
      <c r="J1854">
        <v>1269.6976318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1480.2723229999999</v>
      </c>
      <c r="B1855" s="1">
        <f>DATE(2014,5,20) + TIME(6,32,8)</f>
        <v>41779.272314814814</v>
      </c>
      <c r="C1855">
        <v>80</v>
      </c>
      <c r="D1855">
        <v>79.961372374999996</v>
      </c>
      <c r="E1855">
        <v>50</v>
      </c>
      <c r="F1855">
        <v>48.774581908999998</v>
      </c>
      <c r="G1855">
        <v>1384.3280029</v>
      </c>
      <c r="H1855">
        <v>1370.1573486</v>
      </c>
      <c r="I1855">
        <v>1288.8648682</v>
      </c>
      <c r="J1855">
        <v>1269.6849365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1480.834687</v>
      </c>
      <c r="B1856" s="1">
        <f>DATE(2014,5,20) + TIME(20,1,56)</f>
        <v>41779.834675925929</v>
      </c>
      <c r="C1856">
        <v>80</v>
      </c>
      <c r="D1856">
        <v>79.961372374999996</v>
      </c>
      <c r="E1856">
        <v>50</v>
      </c>
      <c r="F1856">
        <v>48.744258881</v>
      </c>
      <c r="G1856">
        <v>1384.2744141000001</v>
      </c>
      <c r="H1856">
        <v>1370.1107178</v>
      </c>
      <c r="I1856">
        <v>1288.8546143000001</v>
      </c>
      <c r="J1856">
        <v>1269.6719971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1481.408023</v>
      </c>
      <c r="B1857" s="1">
        <f>DATE(2014,5,21) + TIME(9,47,33)</f>
        <v>41780.408020833333</v>
      </c>
      <c r="C1857">
        <v>80</v>
      </c>
      <c r="D1857">
        <v>79.961372374999996</v>
      </c>
      <c r="E1857">
        <v>50</v>
      </c>
      <c r="F1857">
        <v>48.713500977000002</v>
      </c>
      <c r="G1857">
        <v>1384.2210693</v>
      </c>
      <c r="H1857">
        <v>1370.0643310999999</v>
      </c>
      <c r="I1857">
        <v>1288.8441161999999</v>
      </c>
      <c r="J1857">
        <v>1269.6588135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1481.994541</v>
      </c>
      <c r="B1858" s="1">
        <f>DATE(2014,5,21) + TIME(23,52,8)</f>
        <v>41780.994537037041</v>
      </c>
      <c r="C1858">
        <v>80</v>
      </c>
      <c r="D1858">
        <v>79.961364746000001</v>
      </c>
      <c r="E1858">
        <v>50</v>
      </c>
      <c r="F1858">
        <v>48.682239531999997</v>
      </c>
      <c r="G1858">
        <v>1384.1679687999999</v>
      </c>
      <c r="H1858">
        <v>1370.0179443</v>
      </c>
      <c r="I1858">
        <v>1288.8334961</v>
      </c>
      <c r="J1858">
        <v>1269.6452637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1482.5968109999999</v>
      </c>
      <c r="B1859" s="1">
        <f>DATE(2014,5,22) + TIME(14,19,24)</f>
        <v>41781.596805555557</v>
      </c>
      <c r="C1859">
        <v>80</v>
      </c>
      <c r="D1859">
        <v>79.961364746000001</v>
      </c>
      <c r="E1859">
        <v>50</v>
      </c>
      <c r="F1859">
        <v>48.650371552000003</v>
      </c>
      <c r="G1859">
        <v>1384.1147461</v>
      </c>
      <c r="H1859">
        <v>1369.9715576000001</v>
      </c>
      <c r="I1859">
        <v>1288.8225098</v>
      </c>
      <c r="J1859">
        <v>1269.6313477000001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1483.217124</v>
      </c>
      <c r="B1860" s="1">
        <f>DATE(2014,5,23) + TIME(5,12,39)</f>
        <v>41782.217118055552</v>
      </c>
      <c r="C1860">
        <v>80</v>
      </c>
      <c r="D1860">
        <v>79.961364746000001</v>
      </c>
      <c r="E1860">
        <v>50</v>
      </c>
      <c r="F1860">
        <v>48.617794037000003</v>
      </c>
      <c r="G1860">
        <v>1384.0612793</v>
      </c>
      <c r="H1860">
        <v>1369.9248047000001</v>
      </c>
      <c r="I1860">
        <v>1288.8112793</v>
      </c>
      <c r="J1860">
        <v>1269.6169434000001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1483.858389</v>
      </c>
      <c r="B1861" s="1">
        <f>DATE(2014,5,23) + TIME(20,36,4)</f>
        <v>41782.85837962963</v>
      </c>
      <c r="C1861">
        <v>80</v>
      </c>
      <c r="D1861">
        <v>79.961364746000001</v>
      </c>
      <c r="E1861">
        <v>50</v>
      </c>
      <c r="F1861">
        <v>48.584388732999997</v>
      </c>
      <c r="G1861">
        <v>1384.0073242000001</v>
      </c>
      <c r="H1861">
        <v>1369.8776855000001</v>
      </c>
      <c r="I1861">
        <v>1288.7995605000001</v>
      </c>
      <c r="J1861">
        <v>1269.6021728999999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1484.523921</v>
      </c>
      <c r="B1862" s="1">
        <f>DATE(2014,5,24) + TIME(12,34,26)</f>
        <v>41783.523912037039</v>
      </c>
      <c r="C1862">
        <v>80</v>
      </c>
      <c r="D1862">
        <v>79.961364746000001</v>
      </c>
      <c r="E1862">
        <v>50</v>
      </c>
      <c r="F1862">
        <v>48.550014496000003</v>
      </c>
      <c r="G1862">
        <v>1383.9527588000001</v>
      </c>
      <c r="H1862">
        <v>1369.8299560999999</v>
      </c>
      <c r="I1862">
        <v>1288.7874756000001</v>
      </c>
      <c r="J1862">
        <v>1269.5866699000001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1485.2124510000001</v>
      </c>
      <c r="B1863" s="1">
        <f>DATE(2014,5,25) + TIME(5,5,55)</f>
        <v>41784.212442129632</v>
      </c>
      <c r="C1863">
        <v>80</v>
      </c>
      <c r="D1863">
        <v>79.961364746000001</v>
      </c>
      <c r="E1863">
        <v>50</v>
      </c>
      <c r="F1863">
        <v>48.514648438000002</v>
      </c>
      <c r="G1863">
        <v>1383.8973389</v>
      </c>
      <c r="H1863">
        <v>1369.7813721</v>
      </c>
      <c r="I1863">
        <v>1288.7749022999999</v>
      </c>
      <c r="J1863">
        <v>1269.5705565999999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1485.9071039999999</v>
      </c>
      <c r="B1864" s="1">
        <f>DATE(2014,5,25) + TIME(21,46,13)</f>
        <v>41784.907094907408</v>
      </c>
      <c r="C1864">
        <v>80</v>
      </c>
      <c r="D1864">
        <v>79.961364746000001</v>
      </c>
      <c r="E1864">
        <v>50</v>
      </c>
      <c r="F1864">
        <v>48.478759766000003</v>
      </c>
      <c r="G1864">
        <v>1383.8411865</v>
      </c>
      <c r="H1864">
        <v>1369.7320557</v>
      </c>
      <c r="I1864">
        <v>1288.7615966999999</v>
      </c>
      <c r="J1864">
        <v>1269.5538329999999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1486.6098910000001</v>
      </c>
      <c r="B1865" s="1">
        <f>DATE(2014,5,26) + TIME(14,38,14)</f>
        <v>41785.609884259262</v>
      </c>
      <c r="C1865">
        <v>80</v>
      </c>
      <c r="D1865">
        <v>79.961364746000001</v>
      </c>
      <c r="E1865">
        <v>50</v>
      </c>
      <c r="F1865">
        <v>48.442455291999998</v>
      </c>
      <c r="G1865">
        <v>1383.7857666</v>
      </c>
      <c r="H1865">
        <v>1369.6834716999999</v>
      </c>
      <c r="I1865">
        <v>1288.7482910000001</v>
      </c>
      <c r="J1865">
        <v>1269.5367432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1487.3227690000001</v>
      </c>
      <c r="B1866" s="1">
        <f>DATE(2014,5,27) + TIME(7,44,47)</f>
        <v>41786.322766203702</v>
      </c>
      <c r="C1866">
        <v>80</v>
      </c>
      <c r="D1866">
        <v>79.961364746000001</v>
      </c>
      <c r="E1866">
        <v>50</v>
      </c>
      <c r="F1866">
        <v>48.405754088999998</v>
      </c>
      <c r="G1866">
        <v>1383.7308350000001</v>
      </c>
      <c r="H1866">
        <v>1369.6351318</v>
      </c>
      <c r="I1866">
        <v>1288.7347411999999</v>
      </c>
      <c r="J1866">
        <v>1269.5194091999999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1488.044052</v>
      </c>
      <c r="B1867" s="1">
        <f>DATE(2014,5,28) + TIME(1,3,26)</f>
        <v>41787.044050925928</v>
      </c>
      <c r="C1867">
        <v>80</v>
      </c>
      <c r="D1867">
        <v>79.961364746000001</v>
      </c>
      <c r="E1867">
        <v>50</v>
      </c>
      <c r="F1867">
        <v>48.368732452000003</v>
      </c>
      <c r="G1867">
        <v>1383.6762695</v>
      </c>
      <c r="H1867">
        <v>1369.5870361</v>
      </c>
      <c r="I1867">
        <v>1288.7208252</v>
      </c>
      <c r="J1867">
        <v>1269.5015868999999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1488.7752949999999</v>
      </c>
      <c r="B1868" s="1">
        <f>DATE(2014,5,28) + TIME(18,36,25)</f>
        <v>41787.775289351855</v>
      </c>
      <c r="C1868">
        <v>80</v>
      </c>
      <c r="D1868">
        <v>79.961372374999996</v>
      </c>
      <c r="E1868">
        <v>50</v>
      </c>
      <c r="F1868">
        <v>48.331375121999997</v>
      </c>
      <c r="G1868">
        <v>1383.6220702999999</v>
      </c>
      <c r="H1868">
        <v>1369.5394286999999</v>
      </c>
      <c r="I1868">
        <v>1288.7066649999999</v>
      </c>
      <c r="J1868">
        <v>1269.4833983999999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1489.5192039999999</v>
      </c>
      <c r="B1869" s="1">
        <f>DATE(2014,5,29) + TIME(12,27,39)</f>
        <v>41788.519201388888</v>
      </c>
      <c r="C1869">
        <v>80</v>
      </c>
      <c r="D1869">
        <v>79.961372374999996</v>
      </c>
      <c r="E1869">
        <v>50</v>
      </c>
      <c r="F1869">
        <v>48.293609619000001</v>
      </c>
      <c r="G1869">
        <v>1383.5683594</v>
      </c>
      <c r="H1869">
        <v>1369.4919434000001</v>
      </c>
      <c r="I1869">
        <v>1288.6922606999999</v>
      </c>
      <c r="J1869">
        <v>1269.4649658000001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1490.2786530000001</v>
      </c>
      <c r="B1870" s="1">
        <f>DATE(2014,5,30) + TIME(6,41,15)</f>
        <v>41789.278645833336</v>
      </c>
      <c r="C1870">
        <v>80</v>
      </c>
      <c r="D1870">
        <v>79.961372374999996</v>
      </c>
      <c r="E1870">
        <v>50</v>
      </c>
      <c r="F1870">
        <v>48.255329132</v>
      </c>
      <c r="G1870">
        <v>1383.5146483999999</v>
      </c>
      <c r="H1870">
        <v>1369.4445800999999</v>
      </c>
      <c r="I1870">
        <v>1288.6774902</v>
      </c>
      <c r="J1870">
        <v>1269.4459228999999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1491.052778</v>
      </c>
      <c r="B1871" s="1">
        <f>DATE(2014,5,31) + TIME(1,16,0)</f>
        <v>41790.052777777775</v>
      </c>
      <c r="C1871">
        <v>80</v>
      </c>
      <c r="D1871">
        <v>79.961380004999995</v>
      </c>
      <c r="E1871">
        <v>50</v>
      </c>
      <c r="F1871">
        <v>48.216518401999998</v>
      </c>
      <c r="G1871">
        <v>1383.4609375</v>
      </c>
      <c r="H1871">
        <v>1369.3970947</v>
      </c>
      <c r="I1871">
        <v>1288.6623535000001</v>
      </c>
      <c r="J1871">
        <v>1269.4262695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1491.842703</v>
      </c>
      <c r="B1872" s="1">
        <f>DATE(2014,5,31) + TIME(20,13,29)</f>
        <v>41790.84269675926</v>
      </c>
      <c r="C1872">
        <v>80</v>
      </c>
      <c r="D1872">
        <v>79.961380004999995</v>
      </c>
      <c r="E1872">
        <v>50</v>
      </c>
      <c r="F1872">
        <v>48.177127837999997</v>
      </c>
      <c r="G1872">
        <v>1383.4072266000001</v>
      </c>
      <c r="H1872">
        <v>1369.3494873</v>
      </c>
      <c r="I1872">
        <v>1288.6467285000001</v>
      </c>
      <c r="J1872">
        <v>1269.4061279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1492</v>
      </c>
      <c r="B1873" s="1">
        <f>DATE(2014,6,1) + TIME(0,0,0)</f>
        <v>41791</v>
      </c>
      <c r="C1873">
        <v>80</v>
      </c>
      <c r="D1873">
        <v>79.961380004999995</v>
      </c>
      <c r="E1873">
        <v>50</v>
      </c>
      <c r="F1873">
        <v>48.164344788000001</v>
      </c>
      <c r="G1873">
        <v>1383.3544922000001</v>
      </c>
      <c r="H1873">
        <v>1369.3029785000001</v>
      </c>
      <c r="I1873">
        <v>1288.628418</v>
      </c>
      <c r="J1873">
        <v>1269.3884277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1492.8086949999999</v>
      </c>
      <c r="B1874" s="1">
        <f>DATE(2014,6,1) + TIME(19,24,31)</f>
        <v>41791.808692129627</v>
      </c>
      <c r="C1874">
        <v>80</v>
      </c>
      <c r="D1874">
        <v>79.961387634000005</v>
      </c>
      <c r="E1874">
        <v>50</v>
      </c>
      <c r="F1874">
        <v>48.126659392999997</v>
      </c>
      <c r="G1874">
        <v>1383.3426514</v>
      </c>
      <c r="H1874">
        <v>1369.2921143000001</v>
      </c>
      <c r="I1874">
        <v>1288.6275635</v>
      </c>
      <c r="J1874">
        <v>1269.3806152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1493.644751</v>
      </c>
      <c r="B1875" s="1">
        <f>DATE(2014,6,2) + TIME(15,28,26)</f>
        <v>41792.644745370373</v>
      </c>
      <c r="C1875">
        <v>80</v>
      </c>
      <c r="D1875">
        <v>79.961395264000004</v>
      </c>
      <c r="E1875">
        <v>50</v>
      </c>
      <c r="F1875">
        <v>48.086933135999999</v>
      </c>
      <c r="G1875">
        <v>1383.2890625</v>
      </c>
      <c r="H1875">
        <v>1369.2446289</v>
      </c>
      <c r="I1875">
        <v>1288.6109618999999</v>
      </c>
      <c r="J1875">
        <v>1269.3592529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1494.507151</v>
      </c>
      <c r="B1876" s="1">
        <f>DATE(2014,6,3) + TIME(12,10,17)</f>
        <v>41793.507141203707</v>
      </c>
      <c r="C1876">
        <v>80</v>
      </c>
      <c r="D1876">
        <v>79.961402892999999</v>
      </c>
      <c r="E1876">
        <v>50</v>
      </c>
      <c r="F1876">
        <v>48.045597076</v>
      </c>
      <c r="G1876">
        <v>1383.2344971</v>
      </c>
      <c r="H1876">
        <v>1369.1961670000001</v>
      </c>
      <c r="I1876">
        <v>1288.5936279</v>
      </c>
      <c r="J1876">
        <v>1269.3369141000001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1495.3995480000001</v>
      </c>
      <c r="B1877" s="1">
        <f>DATE(2014,6,4) + TIME(9,35,20)</f>
        <v>41794.399537037039</v>
      </c>
      <c r="C1877">
        <v>80</v>
      </c>
      <c r="D1877">
        <v>79.961410521999994</v>
      </c>
      <c r="E1877">
        <v>50</v>
      </c>
      <c r="F1877">
        <v>48.002803802000003</v>
      </c>
      <c r="G1877">
        <v>1383.1791992000001</v>
      </c>
      <c r="H1877">
        <v>1369.1469727000001</v>
      </c>
      <c r="I1877">
        <v>1288.5755615</v>
      </c>
      <c r="J1877">
        <v>1269.3133545000001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1496.3007680000001</v>
      </c>
      <c r="B1878" s="1">
        <f>DATE(2014,6,5) + TIME(7,13,6)</f>
        <v>41795.300763888888</v>
      </c>
      <c r="C1878">
        <v>80</v>
      </c>
      <c r="D1878">
        <v>79.961418151999993</v>
      </c>
      <c r="E1878">
        <v>50</v>
      </c>
      <c r="F1878">
        <v>47.959129333</v>
      </c>
      <c r="G1878">
        <v>1383.1230469</v>
      </c>
      <c r="H1878">
        <v>1369.0969238</v>
      </c>
      <c r="I1878">
        <v>1288.5566406</v>
      </c>
      <c r="J1878">
        <v>1269.2888184000001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1497.2054909999999</v>
      </c>
      <c r="B1879" s="1">
        <f>DATE(2014,6,6) + TIME(4,55,54)</f>
        <v>41796.20548611111</v>
      </c>
      <c r="C1879">
        <v>80</v>
      </c>
      <c r="D1879">
        <v>79.961425781000003</v>
      </c>
      <c r="E1879">
        <v>50</v>
      </c>
      <c r="F1879">
        <v>47.915027618000003</v>
      </c>
      <c r="G1879">
        <v>1383.0673827999999</v>
      </c>
      <c r="H1879">
        <v>1369.0472411999999</v>
      </c>
      <c r="I1879">
        <v>1288.5373535000001</v>
      </c>
      <c r="J1879">
        <v>1269.2636719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1498.116804</v>
      </c>
      <c r="B1880" s="1">
        <f>DATE(2014,6,7) + TIME(2,48,11)</f>
        <v>41797.116793981484</v>
      </c>
      <c r="C1880">
        <v>80</v>
      </c>
      <c r="D1880">
        <v>79.961433411000002</v>
      </c>
      <c r="E1880">
        <v>50</v>
      </c>
      <c r="F1880">
        <v>47.870639801000003</v>
      </c>
      <c r="G1880">
        <v>1383.0125731999999</v>
      </c>
      <c r="H1880">
        <v>1368.9982910000001</v>
      </c>
      <c r="I1880">
        <v>1288.5178223</v>
      </c>
      <c r="J1880">
        <v>1269.2380370999999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1499.0377960000001</v>
      </c>
      <c r="B1881" s="1">
        <f>DATE(2014,6,8) + TIME(0,54,25)</f>
        <v>41798.037789351853</v>
      </c>
      <c r="C1881">
        <v>80</v>
      </c>
      <c r="D1881">
        <v>79.961441039999997</v>
      </c>
      <c r="E1881">
        <v>50</v>
      </c>
      <c r="F1881">
        <v>47.825973511000001</v>
      </c>
      <c r="G1881">
        <v>1382.958374</v>
      </c>
      <c r="H1881">
        <v>1368.949707</v>
      </c>
      <c r="I1881">
        <v>1288.4979248</v>
      </c>
      <c r="J1881">
        <v>1269.2117920000001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1499.971616</v>
      </c>
      <c r="B1882" s="1">
        <f>DATE(2014,6,8) + TIME(23,19,7)</f>
        <v>41798.971608796295</v>
      </c>
      <c r="C1882">
        <v>80</v>
      </c>
      <c r="D1882">
        <v>79.961448669000006</v>
      </c>
      <c r="E1882">
        <v>50</v>
      </c>
      <c r="F1882">
        <v>47.780941009999999</v>
      </c>
      <c r="G1882">
        <v>1382.9045410000001</v>
      </c>
      <c r="H1882">
        <v>1368.9014893000001</v>
      </c>
      <c r="I1882">
        <v>1288.4775391000001</v>
      </c>
      <c r="J1882">
        <v>1269.1849365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1500.921546</v>
      </c>
      <c r="B1883" s="1">
        <f>DATE(2014,6,9) + TIME(22,7,1)</f>
        <v>41799.921539351853</v>
      </c>
      <c r="C1883">
        <v>80</v>
      </c>
      <c r="D1883">
        <v>79.961456299000005</v>
      </c>
      <c r="E1883">
        <v>50</v>
      </c>
      <c r="F1883">
        <v>47.735424041999998</v>
      </c>
      <c r="G1883">
        <v>1382.8509521000001</v>
      </c>
      <c r="H1883">
        <v>1368.8533935999999</v>
      </c>
      <c r="I1883">
        <v>1288.4566649999999</v>
      </c>
      <c r="J1883">
        <v>1269.1572266000001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1501.891067</v>
      </c>
      <c r="B1884" s="1">
        <f>DATE(2014,6,10) + TIME(21,23,8)</f>
        <v>41800.891064814816</v>
      </c>
      <c r="C1884">
        <v>80</v>
      </c>
      <c r="D1884">
        <v>79.961471558</v>
      </c>
      <c r="E1884">
        <v>50</v>
      </c>
      <c r="F1884">
        <v>47.689277648999997</v>
      </c>
      <c r="G1884">
        <v>1382.7972411999999</v>
      </c>
      <c r="H1884">
        <v>1368.8051757999999</v>
      </c>
      <c r="I1884">
        <v>1288.4351807</v>
      </c>
      <c r="J1884">
        <v>1269.1287841999999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1502.884157</v>
      </c>
      <c r="B1885" s="1">
        <f>DATE(2014,6,11) + TIME(21,13,11)</f>
        <v>41801.884155092594</v>
      </c>
      <c r="C1885">
        <v>80</v>
      </c>
      <c r="D1885">
        <v>79.961479186999995</v>
      </c>
      <c r="E1885">
        <v>50</v>
      </c>
      <c r="F1885">
        <v>47.642333983999997</v>
      </c>
      <c r="G1885">
        <v>1382.7435303</v>
      </c>
      <c r="H1885">
        <v>1368.7567139</v>
      </c>
      <c r="I1885">
        <v>1288.4129639</v>
      </c>
      <c r="J1885">
        <v>1269.0991211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1503.9054020000001</v>
      </c>
      <c r="B1886" s="1">
        <f>DATE(2014,6,12) + TIME(21,43,46)</f>
        <v>41802.905393518522</v>
      </c>
      <c r="C1886">
        <v>80</v>
      </c>
      <c r="D1886">
        <v>79.961494446000003</v>
      </c>
      <c r="E1886">
        <v>50</v>
      </c>
      <c r="F1886">
        <v>47.594406128000003</v>
      </c>
      <c r="G1886">
        <v>1382.6893310999999</v>
      </c>
      <c r="H1886">
        <v>1368.7078856999999</v>
      </c>
      <c r="I1886">
        <v>1288.3898925999999</v>
      </c>
      <c r="J1886">
        <v>1269.0683594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1504.9590840000001</v>
      </c>
      <c r="B1887" s="1">
        <f>DATE(2014,6,13) + TIME(23,1,4)</f>
        <v>41803.959074074075</v>
      </c>
      <c r="C1887">
        <v>80</v>
      </c>
      <c r="D1887">
        <v>79.961509704999997</v>
      </c>
      <c r="E1887">
        <v>50</v>
      </c>
      <c r="F1887">
        <v>47.545295715000002</v>
      </c>
      <c r="G1887">
        <v>1382.6345214999999</v>
      </c>
      <c r="H1887">
        <v>1368.6584473</v>
      </c>
      <c r="I1887">
        <v>1288.3658447</v>
      </c>
      <c r="J1887">
        <v>1269.0362548999999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1506.0383509999999</v>
      </c>
      <c r="B1888" s="1">
        <f>DATE(2014,6,15) + TIME(0,55,13)</f>
        <v>41805.038344907407</v>
      </c>
      <c r="C1888">
        <v>80</v>
      </c>
      <c r="D1888">
        <v>79.961517334000007</v>
      </c>
      <c r="E1888">
        <v>50</v>
      </c>
      <c r="F1888">
        <v>47.495033264</v>
      </c>
      <c r="G1888">
        <v>1382.5789795000001</v>
      </c>
      <c r="H1888">
        <v>1368.6082764</v>
      </c>
      <c r="I1888">
        <v>1288.3406981999999</v>
      </c>
      <c r="J1888">
        <v>1269.0025635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1507.1370750000001</v>
      </c>
      <c r="B1889" s="1">
        <f>DATE(2014,6,16) + TIME(3,17,23)</f>
        <v>41806.137071759258</v>
      </c>
      <c r="C1889">
        <v>80</v>
      </c>
      <c r="D1889">
        <v>79.961532593000001</v>
      </c>
      <c r="E1889">
        <v>50</v>
      </c>
      <c r="F1889">
        <v>47.443790436</v>
      </c>
      <c r="G1889">
        <v>1382.5230713000001</v>
      </c>
      <c r="H1889">
        <v>1368.5576172000001</v>
      </c>
      <c r="I1889">
        <v>1288.3145752</v>
      </c>
      <c r="J1889">
        <v>1268.9674072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1508.2407760000001</v>
      </c>
      <c r="B1890" s="1">
        <f>DATE(2014,6,17) + TIME(5,46,43)</f>
        <v>41807.24077546296</v>
      </c>
      <c r="C1890">
        <v>80</v>
      </c>
      <c r="D1890">
        <v>79.961547851999995</v>
      </c>
      <c r="E1890">
        <v>50</v>
      </c>
      <c r="F1890">
        <v>47.391975403000004</v>
      </c>
      <c r="G1890">
        <v>1382.4670410000001</v>
      </c>
      <c r="H1890">
        <v>1368.5068358999999</v>
      </c>
      <c r="I1890">
        <v>1288.2874756000001</v>
      </c>
      <c r="J1890">
        <v>1268.9310303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1509.3533</v>
      </c>
      <c r="B1891" s="1">
        <f>DATE(2014,6,18) + TIME(8,28,45)</f>
        <v>41808.353298611109</v>
      </c>
      <c r="C1891">
        <v>80</v>
      </c>
      <c r="D1891">
        <v>79.96156311</v>
      </c>
      <c r="E1891">
        <v>50</v>
      </c>
      <c r="F1891">
        <v>47.339767455999997</v>
      </c>
      <c r="G1891">
        <v>1382.4117432</v>
      </c>
      <c r="H1891">
        <v>1368.4566649999999</v>
      </c>
      <c r="I1891">
        <v>1288.2598877</v>
      </c>
      <c r="J1891">
        <v>1268.8936768000001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1510.4785649999999</v>
      </c>
      <c r="B1892" s="1">
        <f>DATE(2014,6,19) + TIME(11,29,8)</f>
        <v>41809.478564814817</v>
      </c>
      <c r="C1892">
        <v>80</v>
      </c>
      <c r="D1892">
        <v>79.961578368999994</v>
      </c>
      <c r="E1892">
        <v>50</v>
      </c>
      <c r="F1892">
        <v>47.287136078000003</v>
      </c>
      <c r="G1892">
        <v>1382.3569336</v>
      </c>
      <c r="H1892">
        <v>1368.4067382999999</v>
      </c>
      <c r="I1892">
        <v>1288.2316894999999</v>
      </c>
      <c r="J1892">
        <v>1268.8553466999999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1511.6205950000001</v>
      </c>
      <c r="B1893" s="1">
        <f>DATE(2014,6,20) + TIME(14,53,39)</f>
        <v>41810.62059027778</v>
      </c>
      <c r="C1893">
        <v>80</v>
      </c>
      <c r="D1893">
        <v>79.961593628000003</v>
      </c>
      <c r="E1893">
        <v>50</v>
      </c>
      <c r="F1893">
        <v>47.233963013</v>
      </c>
      <c r="G1893">
        <v>1382.3022461</v>
      </c>
      <c r="H1893">
        <v>1368.3570557</v>
      </c>
      <c r="I1893">
        <v>1288.2027588000001</v>
      </c>
      <c r="J1893">
        <v>1268.8157959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1512.7836380000001</v>
      </c>
      <c r="B1894" s="1">
        <f>DATE(2014,6,21) + TIME(18,48,26)</f>
        <v>41811.783634259256</v>
      </c>
      <c r="C1894">
        <v>80</v>
      </c>
      <c r="D1894">
        <v>79.961616516000007</v>
      </c>
      <c r="E1894">
        <v>50</v>
      </c>
      <c r="F1894">
        <v>47.180080414000003</v>
      </c>
      <c r="G1894">
        <v>1382.2478027</v>
      </c>
      <c r="H1894">
        <v>1368.3073730000001</v>
      </c>
      <c r="I1894">
        <v>1288.1728516000001</v>
      </c>
      <c r="J1894">
        <v>1268.7750243999999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1513.9722730000001</v>
      </c>
      <c r="B1895" s="1">
        <f>DATE(2014,6,22) + TIME(23,20,4)</f>
        <v>41812.972268518519</v>
      </c>
      <c r="C1895">
        <v>80</v>
      </c>
      <c r="D1895">
        <v>79.961631775000001</v>
      </c>
      <c r="E1895">
        <v>50</v>
      </c>
      <c r="F1895">
        <v>47.125293732000003</v>
      </c>
      <c r="G1895">
        <v>1382.1931152</v>
      </c>
      <c r="H1895">
        <v>1368.2574463000001</v>
      </c>
      <c r="I1895">
        <v>1288.1419678</v>
      </c>
      <c r="J1895">
        <v>1268.7325439000001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1515.1921090000001</v>
      </c>
      <c r="B1896" s="1">
        <f>DATE(2014,6,24) + TIME(4,36,38)</f>
        <v>41814.192106481481</v>
      </c>
      <c r="C1896">
        <v>80</v>
      </c>
      <c r="D1896">
        <v>79.961647033999995</v>
      </c>
      <c r="E1896">
        <v>50</v>
      </c>
      <c r="F1896">
        <v>47.069374084000003</v>
      </c>
      <c r="G1896">
        <v>1382.1381836</v>
      </c>
      <c r="H1896">
        <v>1368.2071533000001</v>
      </c>
      <c r="I1896">
        <v>1288.1098632999999</v>
      </c>
      <c r="J1896">
        <v>1268.6883545000001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1516.440081</v>
      </c>
      <c r="B1897" s="1">
        <f>DATE(2014,6,25) + TIME(10,33,43)</f>
        <v>41815.440081018518</v>
      </c>
      <c r="C1897">
        <v>80</v>
      </c>
      <c r="D1897">
        <v>79.961669921999999</v>
      </c>
      <c r="E1897">
        <v>50</v>
      </c>
      <c r="F1897">
        <v>47.012229918999999</v>
      </c>
      <c r="G1897">
        <v>1382.0826416</v>
      </c>
      <c r="H1897">
        <v>1368.15625</v>
      </c>
      <c r="I1897">
        <v>1288.0762939000001</v>
      </c>
      <c r="J1897">
        <v>1268.6420897999999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1517.7015739999999</v>
      </c>
      <c r="B1898" s="1">
        <f>DATE(2014,6,26) + TIME(16,50,16)</f>
        <v>41816.701574074075</v>
      </c>
      <c r="C1898">
        <v>80</v>
      </c>
      <c r="D1898">
        <v>79.961685181000007</v>
      </c>
      <c r="E1898">
        <v>50</v>
      </c>
      <c r="F1898">
        <v>46.954113006999997</v>
      </c>
      <c r="G1898">
        <v>1382.0267334</v>
      </c>
      <c r="H1898">
        <v>1368.1048584</v>
      </c>
      <c r="I1898">
        <v>1288.0415039</v>
      </c>
      <c r="J1898">
        <v>1268.5938721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1518.981495</v>
      </c>
      <c r="B1899" s="1">
        <f>DATE(2014,6,27) + TIME(23,33,21)</f>
        <v>41817.981493055559</v>
      </c>
      <c r="C1899">
        <v>80</v>
      </c>
      <c r="D1899">
        <v>79.961708068999997</v>
      </c>
      <c r="E1899">
        <v>50</v>
      </c>
      <c r="F1899">
        <v>46.895160675</v>
      </c>
      <c r="G1899">
        <v>1381.9710693</v>
      </c>
      <c r="H1899">
        <v>1368.0537108999999</v>
      </c>
      <c r="I1899">
        <v>1288.0056152</v>
      </c>
      <c r="J1899">
        <v>1268.5440673999999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1520.285081</v>
      </c>
      <c r="B1900" s="1">
        <f>DATE(2014,6,29) + TIME(6,50,31)</f>
        <v>41819.285081018519</v>
      </c>
      <c r="C1900">
        <v>80</v>
      </c>
      <c r="D1900">
        <v>79.961730957</v>
      </c>
      <c r="E1900">
        <v>50</v>
      </c>
      <c r="F1900">
        <v>46.835281371999997</v>
      </c>
      <c r="G1900">
        <v>1381.9154053</v>
      </c>
      <c r="H1900">
        <v>1368.0024414</v>
      </c>
      <c r="I1900">
        <v>1287.9686279</v>
      </c>
      <c r="J1900">
        <v>1268.4924315999999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1521.618025</v>
      </c>
      <c r="B1901" s="1">
        <f>DATE(2014,6,30) + TIME(14,49,57)</f>
        <v>41820.618020833332</v>
      </c>
      <c r="C1901">
        <v>80</v>
      </c>
      <c r="D1901">
        <v>79.961753845000004</v>
      </c>
      <c r="E1901">
        <v>50</v>
      </c>
      <c r="F1901">
        <v>46.774272918999998</v>
      </c>
      <c r="G1901">
        <v>1381.8596190999999</v>
      </c>
      <c r="H1901">
        <v>1367.9510498</v>
      </c>
      <c r="I1901">
        <v>1287.9302978999999</v>
      </c>
      <c r="J1901">
        <v>1268.4387207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1522</v>
      </c>
      <c r="B1902" s="1">
        <f>DATE(2014,7,1) + TIME(0,0,0)</f>
        <v>41821</v>
      </c>
      <c r="C1902">
        <v>80</v>
      </c>
      <c r="D1902">
        <v>79.961753845000004</v>
      </c>
      <c r="E1902">
        <v>50</v>
      </c>
      <c r="F1902">
        <v>46.743148804</v>
      </c>
      <c r="G1902">
        <v>1381.8038329999999</v>
      </c>
      <c r="H1902">
        <v>1367.8996582</v>
      </c>
      <c r="I1902">
        <v>1287.8896483999999</v>
      </c>
      <c r="J1902">
        <v>1268.3901367000001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1523.3521880000001</v>
      </c>
      <c r="B1903" s="1">
        <f>DATE(2014,7,2) + TIME(8,27,9)</f>
        <v>41822.352187500001</v>
      </c>
      <c r="C1903">
        <v>80</v>
      </c>
      <c r="D1903">
        <v>79.961784363000007</v>
      </c>
      <c r="E1903">
        <v>50</v>
      </c>
      <c r="F1903">
        <v>46.689117432000003</v>
      </c>
      <c r="G1903">
        <v>1381.7873535000001</v>
      </c>
      <c r="H1903">
        <v>1367.8841553</v>
      </c>
      <c r="I1903">
        <v>1287.8782959</v>
      </c>
      <c r="J1903">
        <v>1268.3641356999999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1524.730157</v>
      </c>
      <c r="B1904" s="1">
        <f>DATE(2014,7,3) + TIME(17,31,25)</f>
        <v>41823.730150462965</v>
      </c>
      <c r="C1904">
        <v>80</v>
      </c>
      <c r="D1904">
        <v>79.961807250999996</v>
      </c>
      <c r="E1904">
        <v>50</v>
      </c>
      <c r="F1904">
        <v>46.629096984999997</v>
      </c>
      <c r="G1904">
        <v>1381.7316894999999</v>
      </c>
      <c r="H1904">
        <v>1367.8326416</v>
      </c>
      <c r="I1904">
        <v>1287.8374022999999</v>
      </c>
      <c r="J1904">
        <v>1268.3071289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1526.133914</v>
      </c>
      <c r="B1905" s="1">
        <f>DATE(2014,7,5) + TIME(3,12,50)</f>
        <v>41825.133912037039</v>
      </c>
      <c r="C1905">
        <v>80</v>
      </c>
      <c r="D1905">
        <v>79.961830139</v>
      </c>
      <c r="E1905">
        <v>50</v>
      </c>
      <c r="F1905">
        <v>46.565963744999998</v>
      </c>
      <c r="G1905">
        <v>1381.6755370999999</v>
      </c>
      <c r="H1905">
        <v>1367.7806396000001</v>
      </c>
      <c r="I1905">
        <v>1287.7945557</v>
      </c>
      <c r="J1905">
        <v>1268.2468262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1527.5518770000001</v>
      </c>
      <c r="B1906" s="1">
        <f>DATE(2014,7,6) + TIME(13,14,42)</f>
        <v>41826.551874999997</v>
      </c>
      <c r="C1906">
        <v>80</v>
      </c>
      <c r="D1906">
        <v>79.961853027000004</v>
      </c>
      <c r="E1906">
        <v>50</v>
      </c>
      <c r="F1906">
        <v>46.501060486</v>
      </c>
      <c r="G1906">
        <v>1381.6191406</v>
      </c>
      <c r="H1906">
        <v>1367.7282714999999</v>
      </c>
      <c r="I1906">
        <v>1287.7502440999999</v>
      </c>
      <c r="J1906">
        <v>1268.1839600000001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1528.983733</v>
      </c>
      <c r="B1907" s="1">
        <f>DATE(2014,7,7) + TIME(23,36,34)</f>
        <v>41827.983726851853</v>
      </c>
      <c r="C1907">
        <v>80</v>
      </c>
      <c r="D1907">
        <v>79.961875915999997</v>
      </c>
      <c r="E1907">
        <v>50</v>
      </c>
      <c r="F1907">
        <v>46.435043335000003</v>
      </c>
      <c r="G1907">
        <v>1381.5631103999999</v>
      </c>
      <c r="H1907">
        <v>1367.6760254000001</v>
      </c>
      <c r="I1907">
        <v>1287.7045897999999</v>
      </c>
      <c r="J1907">
        <v>1268.1188964999999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1530.4349709999999</v>
      </c>
      <c r="B1908" s="1">
        <f>DATE(2014,7,9) + TIME(10,26,21)</f>
        <v>41829.434965277775</v>
      </c>
      <c r="C1908">
        <v>80</v>
      </c>
      <c r="D1908">
        <v>79.961906432999996</v>
      </c>
      <c r="E1908">
        <v>50</v>
      </c>
      <c r="F1908">
        <v>46.368064879999999</v>
      </c>
      <c r="G1908">
        <v>1381.5072021000001</v>
      </c>
      <c r="H1908">
        <v>1367.6240233999999</v>
      </c>
      <c r="I1908">
        <v>1287.6577147999999</v>
      </c>
      <c r="J1908">
        <v>1268.0516356999999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1531.911253</v>
      </c>
      <c r="B1909" s="1">
        <f>DATE(2014,7,10) + TIME(21,52,12)</f>
        <v>41830.911249999997</v>
      </c>
      <c r="C1909">
        <v>80</v>
      </c>
      <c r="D1909">
        <v>79.961929321</v>
      </c>
      <c r="E1909">
        <v>50</v>
      </c>
      <c r="F1909">
        <v>46.300022124999998</v>
      </c>
      <c r="G1909">
        <v>1381.4514160000001</v>
      </c>
      <c r="H1909">
        <v>1367.5718993999999</v>
      </c>
      <c r="I1909">
        <v>1287.6094971</v>
      </c>
      <c r="J1909">
        <v>1267.9821777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1533.419596</v>
      </c>
      <c r="B1910" s="1">
        <f>DATE(2014,7,12) + TIME(10,4,13)</f>
        <v>41832.419594907406</v>
      </c>
      <c r="C1910">
        <v>80</v>
      </c>
      <c r="D1910">
        <v>79.961959839000002</v>
      </c>
      <c r="E1910">
        <v>50</v>
      </c>
      <c r="F1910">
        <v>46.230682373</v>
      </c>
      <c r="G1910">
        <v>1381.3955077999999</v>
      </c>
      <c r="H1910">
        <v>1367.5196533000001</v>
      </c>
      <c r="I1910">
        <v>1287.5595702999999</v>
      </c>
      <c r="J1910">
        <v>1267.9100341999999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1534.9640569999999</v>
      </c>
      <c r="B1911" s="1">
        <f>DATE(2014,7,13) + TIME(23,8,14)</f>
        <v>41833.964050925926</v>
      </c>
      <c r="C1911">
        <v>80</v>
      </c>
      <c r="D1911">
        <v>79.961990356000001</v>
      </c>
      <c r="E1911">
        <v>50</v>
      </c>
      <c r="F1911">
        <v>46.159797668000003</v>
      </c>
      <c r="G1911">
        <v>1381.3391113</v>
      </c>
      <c r="H1911">
        <v>1367.4667969</v>
      </c>
      <c r="I1911">
        <v>1287.5078125</v>
      </c>
      <c r="J1911">
        <v>1267.8348389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1536.535496</v>
      </c>
      <c r="B1912" s="1">
        <f>DATE(2014,7,15) + TIME(12,51,6)</f>
        <v>41835.535486111112</v>
      </c>
      <c r="C1912">
        <v>80</v>
      </c>
      <c r="D1912">
        <v>79.962013244999994</v>
      </c>
      <c r="E1912">
        <v>50</v>
      </c>
      <c r="F1912">
        <v>46.087375641000001</v>
      </c>
      <c r="G1912">
        <v>1381.2822266000001</v>
      </c>
      <c r="H1912">
        <v>1367.4134521000001</v>
      </c>
      <c r="I1912">
        <v>1287.4538574000001</v>
      </c>
      <c r="J1912">
        <v>1267.7564697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1538.1315999999999</v>
      </c>
      <c r="B1913" s="1">
        <f>DATE(2014,7,17) + TIME(3,9,30)</f>
        <v>41837.131597222222</v>
      </c>
      <c r="C1913">
        <v>80</v>
      </c>
      <c r="D1913">
        <v>79.962043761999993</v>
      </c>
      <c r="E1913">
        <v>50</v>
      </c>
      <c r="F1913">
        <v>46.013565063000001</v>
      </c>
      <c r="G1913">
        <v>1381.2250977000001</v>
      </c>
      <c r="H1913">
        <v>1367.3597411999999</v>
      </c>
      <c r="I1913">
        <v>1287.3981934000001</v>
      </c>
      <c r="J1913">
        <v>1267.6750488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1539.735707</v>
      </c>
      <c r="B1914" s="1">
        <f>DATE(2014,7,18) + TIME(17,39,25)</f>
        <v>41838.735706018517</v>
      </c>
      <c r="C1914">
        <v>80</v>
      </c>
      <c r="D1914">
        <v>79.962074279999996</v>
      </c>
      <c r="E1914">
        <v>50</v>
      </c>
      <c r="F1914">
        <v>45.938728333</v>
      </c>
      <c r="G1914">
        <v>1381.1678466999999</v>
      </c>
      <c r="H1914">
        <v>1367.3057861</v>
      </c>
      <c r="I1914">
        <v>1287.3406981999999</v>
      </c>
      <c r="J1914">
        <v>1267.5909423999999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1541.353938</v>
      </c>
      <c r="B1915" s="1">
        <f>DATE(2014,7,20) + TIME(8,29,40)</f>
        <v>41840.353935185187</v>
      </c>
      <c r="C1915">
        <v>80</v>
      </c>
      <c r="D1915">
        <v>79.962104796999995</v>
      </c>
      <c r="E1915">
        <v>50</v>
      </c>
      <c r="F1915">
        <v>45.863128662000001</v>
      </c>
      <c r="G1915">
        <v>1381.1110839999999</v>
      </c>
      <c r="H1915">
        <v>1367.2523193</v>
      </c>
      <c r="I1915">
        <v>1287.2819824000001</v>
      </c>
      <c r="J1915">
        <v>1267.5045166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1542.97217</v>
      </c>
      <c r="B1916" s="1">
        <f>DATE(2014,7,21) + TIME(23,19,55)</f>
        <v>41841.97216435185</v>
      </c>
      <c r="C1916">
        <v>80</v>
      </c>
      <c r="D1916">
        <v>79.962135314999998</v>
      </c>
      <c r="E1916">
        <v>50</v>
      </c>
      <c r="F1916">
        <v>45.787010193</v>
      </c>
      <c r="G1916">
        <v>1381.0545654</v>
      </c>
      <c r="H1916">
        <v>1367.1989745999999</v>
      </c>
      <c r="I1916">
        <v>1287.2220459</v>
      </c>
      <c r="J1916">
        <v>1267.4158935999999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1544.637524</v>
      </c>
      <c r="B1917" s="1">
        <f>DATE(2014,7,23) + TIME(15,18,2)</f>
        <v>41843.637523148151</v>
      </c>
      <c r="C1917">
        <v>80</v>
      </c>
      <c r="D1917">
        <v>79.962165833</v>
      </c>
      <c r="E1917">
        <v>50</v>
      </c>
      <c r="F1917">
        <v>45.709903717000003</v>
      </c>
      <c r="G1917">
        <v>1380.9987793</v>
      </c>
      <c r="H1917">
        <v>1367.1462402</v>
      </c>
      <c r="I1917">
        <v>1287.1611327999999</v>
      </c>
      <c r="J1917">
        <v>1267.3253173999999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1546.327315</v>
      </c>
      <c r="B1918" s="1">
        <f>DATE(2014,7,25) + TIME(7,51,19)</f>
        <v>41845.327303240738</v>
      </c>
      <c r="C1918">
        <v>80</v>
      </c>
      <c r="D1918">
        <v>79.962203978999995</v>
      </c>
      <c r="E1918">
        <v>50</v>
      </c>
      <c r="F1918">
        <v>45.631343842</v>
      </c>
      <c r="G1918">
        <v>1380.9422606999999</v>
      </c>
      <c r="H1918">
        <v>1367.0925293</v>
      </c>
      <c r="I1918">
        <v>1287.0976562000001</v>
      </c>
      <c r="J1918">
        <v>1267.230957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1548.0415399999999</v>
      </c>
      <c r="B1919" s="1">
        <f>DATE(2014,7,27) + TIME(0,59,49)</f>
        <v>41847.041539351849</v>
      </c>
      <c r="C1919">
        <v>80</v>
      </c>
      <c r="D1919">
        <v>79.962234496999997</v>
      </c>
      <c r="E1919">
        <v>50</v>
      </c>
      <c r="F1919">
        <v>45.551506042</v>
      </c>
      <c r="G1919">
        <v>1380.8854980000001</v>
      </c>
      <c r="H1919">
        <v>1367.0386963000001</v>
      </c>
      <c r="I1919">
        <v>1287.0324707</v>
      </c>
      <c r="J1919">
        <v>1267.1335449000001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1549.786642</v>
      </c>
      <c r="B1920" s="1">
        <f>DATE(2014,7,28) + TIME(18,52,45)</f>
        <v>41848.786631944444</v>
      </c>
      <c r="C1920">
        <v>80</v>
      </c>
      <c r="D1920">
        <v>79.962272643999995</v>
      </c>
      <c r="E1920">
        <v>50</v>
      </c>
      <c r="F1920">
        <v>45.470375060999999</v>
      </c>
      <c r="G1920">
        <v>1380.8287353999999</v>
      </c>
      <c r="H1920">
        <v>1366.9846190999999</v>
      </c>
      <c r="I1920">
        <v>1286.9654541</v>
      </c>
      <c r="J1920">
        <v>1267.0332031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1551.569467</v>
      </c>
      <c r="B1921" s="1">
        <f>DATE(2014,7,30) + TIME(13,40,1)</f>
        <v>41850.569456018522</v>
      </c>
      <c r="C1921">
        <v>80</v>
      </c>
      <c r="D1921">
        <v>79.962303161999998</v>
      </c>
      <c r="E1921">
        <v>50</v>
      </c>
      <c r="F1921">
        <v>45.387760161999999</v>
      </c>
      <c r="G1921">
        <v>1380.7716064000001</v>
      </c>
      <c r="H1921">
        <v>1366.9301757999999</v>
      </c>
      <c r="I1921">
        <v>1286.8966064000001</v>
      </c>
      <c r="J1921">
        <v>1266.9293213000001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1553</v>
      </c>
      <c r="B1922" s="1">
        <f>DATE(2014,8,1) + TIME(0,0,0)</f>
        <v>41852</v>
      </c>
      <c r="C1922">
        <v>80</v>
      </c>
      <c r="D1922">
        <v>79.962333678999997</v>
      </c>
      <c r="E1922">
        <v>50</v>
      </c>
      <c r="F1922">
        <v>45.310363770000002</v>
      </c>
      <c r="G1922">
        <v>1380.7138672000001</v>
      </c>
      <c r="H1922">
        <v>1366.8752440999999</v>
      </c>
      <c r="I1922">
        <v>1286.8256836</v>
      </c>
      <c r="J1922">
        <v>1266.8244629000001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1554.809223</v>
      </c>
      <c r="B1923" s="1">
        <f>DATE(2014,8,2) + TIME(19,25,16)</f>
        <v>41853.809212962966</v>
      </c>
      <c r="C1923">
        <v>80</v>
      </c>
      <c r="D1923">
        <v>79.962364196999999</v>
      </c>
      <c r="E1923">
        <v>50</v>
      </c>
      <c r="F1923">
        <v>45.232963562000002</v>
      </c>
      <c r="G1923">
        <v>1380.6682129000001</v>
      </c>
      <c r="H1923">
        <v>1366.8314209</v>
      </c>
      <c r="I1923">
        <v>1286.7667236</v>
      </c>
      <c r="J1923">
        <v>1266.7318115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1556.651873</v>
      </c>
      <c r="B1924" s="1">
        <f>DATE(2014,8,4) + TIME(15,38,41)</f>
        <v>41855.651863425926</v>
      </c>
      <c r="C1924">
        <v>80</v>
      </c>
      <c r="D1924">
        <v>79.962402343999997</v>
      </c>
      <c r="E1924">
        <v>50</v>
      </c>
      <c r="F1924">
        <v>45.149829865000001</v>
      </c>
      <c r="G1924">
        <v>1380.6110839999999</v>
      </c>
      <c r="H1924">
        <v>1366.7767334</v>
      </c>
      <c r="I1924">
        <v>1286.6937256000001</v>
      </c>
      <c r="J1924">
        <v>1266.621582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1558.5084830000001</v>
      </c>
      <c r="B1925" s="1">
        <f>DATE(2014,8,6) + TIME(12,12,12)</f>
        <v>41857.508472222224</v>
      </c>
      <c r="C1925">
        <v>80</v>
      </c>
      <c r="D1925">
        <v>79.962440490999995</v>
      </c>
      <c r="E1925">
        <v>50</v>
      </c>
      <c r="F1925">
        <v>45.064201355000002</v>
      </c>
      <c r="G1925">
        <v>1380.5535889</v>
      </c>
      <c r="H1925">
        <v>1366.7216797000001</v>
      </c>
      <c r="I1925">
        <v>1286.6184082</v>
      </c>
      <c r="J1925">
        <v>1266.5068358999999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1560.3857149999999</v>
      </c>
      <c r="B1926" s="1">
        <f>DATE(2014,8,8) + TIME(9,15,25)</f>
        <v>41859.385706018518</v>
      </c>
      <c r="C1926">
        <v>80</v>
      </c>
      <c r="D1926">
        <v>79.962478637999993</v>
      </c>
      <c r="E1926">
        <v>50</v>
      </c>
      <c r="F1926">
        <v>44.977432251000003</v>
      </c>
      <c r="G1926">
        <v>1380.4963379000001</v>
      </c>
      <c r="H1926">
        <v>1366.666626</v>
      </c>
      <c r="I1926">
        <v>1286.541626</v>
      </c>
      <c r="J1926">
        <v>1266.3894043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1562.2903710000001</v>
      </c>
      <c r="B1927" s="1">
        <f>DATE(2014,8,10) + TIME(6,58,8)</f>
        <v>41861.290370370371</v>
      </c>
      <c r="C1927">
        <v>80</v>
      </c>
      <c r="D1927">
        <v>79.962516785000005</v>
      </c>
      <c r="E1927">
        <v>50</v>
      </c>
      <c r="F1927">
        <v>44.889812468999999</v>
      </c>
      <c r="G1927">
        <v>1380.4390868999999</v>
      </c>
      <c r="H1927">
        <v>1366.6115723</v>
      </c>
      <c r="I1927">
        <v>1286.463501</v>
      </c>
      <c r="J1927">
        <v>1266.2691649999999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1564.195027</v>
      </c>
      <c r="B1928" s="1">
        <f>DATE(2014,8,12) + TIME(4,40,50)</f>
        <v>41863.195023148146</v>
      </c>
      <c r="C1928">
        <v>80</v>
      </c>
      <c r="D1928">
        <v>79.962554932000003</v>
      </c>
      <c r="E1928">
        <v>50</v>
      </c>
      <c r="F1928">
        <v>44.801780700999998</v>
      </c>
      <c r="G1928">
        <v>1380.3817139</v>
      </c>
      <c r="H1928">
        <v>1366.5562743999999</v>
      </c>
      <c r="I1928">
        <v>1286.3837891000001</v>
      </c>
      <c r="J1928">
        <v>1266.1462402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1566.1765419999999</v>
      </c>
      <c r="B1929" s="1">
        <f>DATE(2014,8,14) + TIME(4,14,13)</f>
        <v>41865.176539351851</v>
      </c>
      <c r="C1929">
        <v>80</v>
      </c>
      <c r="D1929">
        <v>79.962593079000001</v>
      </c>
      <c r="E1929">
        <v>50</v>
      </c>
      <c r="F1929">
        <v>44.712936401</v>
      </c>
      <c r="G1929">
        <v>1380.3249512</v>
      </c>
      <c r="H1929">
        <v>1366.5014647999999</v>
      </c>
      <c r="I1929">
        <v>1286.3034668</v>
      </c>
      <c r="J1929">
        <v>1266.0216064000001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1568.2089530000001</v>
      </c>
      <c r="B1930" s="1">
        <f>DATE(2014,8,16) + TIME(5,0,53)</f>
        <v>41867.20894675926</v>
      </c>
      <c r="C1930">
        <v>80</v>
      </c>
      <c r="D1930">
        <v>79.962638854999994</v>
      </c>
      <c r="E1930">
        <v>50</v>
      </c>
      <c r="F1930">
        <v>44.622280121000003</v>
      </c>
      <c r="G1930">
        <v>1380.2666016000001</v>
      </c>
      <c r="H1930">
        <v>1366.4450684000001</v>
      </c>
      <c r="I1930">
        <v>1286.2198486</v>
      </c>
      <c r="J1930">
        <v>1265.8917236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1570.25098</v>
      </c>
      <c r="B1931" s="1">
        <f>DATE(2014,8,18) + TIME(6,1,24)</f>
        <v>41869.250972222224</v>
      </c>
      <c r="C1931">
        <v>80</v>
      </c>
      <c r="D1931">
        <v>79.962677002000007</v>
      </c>
      <c r="E1931">
        <v>50</v>
      </c>
      <c r="F1931">
        <v>44.530643462999997</v>
      </c>
      <c r="G1931">
        <v>1380.2073975000001</v>
      </c>
      <c r="H1931">
        <v>1366.3876952999999</v>
      </c>
      <c r="I1931">
        <v>1286.1339111</v>
      </c>
      <c r="J1931">
        <v>1265.7578125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1572.302373</v>
      </c>
      <c r="B1932" s="1">
        <f>DATE(2014,8,20) + TIME(7,15,25)</f>
        <v>41871.302372685182</v>
      </c>
      <c r="C1932">
        <v>80</v>
      </c>
      <c r="D1932">
        <v>79.962715149000005</v>
      </c>
      <c r="E1932">
        <v>50</v>
      </c>
      <c r="F1932">
        <v>44.439147949000002</v>
      </c>
      <c r="G1932">
        <v>1380.1485596</v>
      </c>
      <c r="H1932">
        <v>1366.3306885</v>
      </c>
      <c r="I1932">
        <v>1286.0472411999999</v>
      </c>
      <c r="J1932">
        <v>1265.6221923999999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1574.372179</v>
      </c>
      <c r="B1933" s="1">
        <f>DATE(2014,8,22) + TIME(8,55,56)</f>
        <v>41873.372175925928</v>
      </c>
      <c r="C1933">
        <v>80</v>
      </c>
      <c r="D1933">
        <v>79.962760924999998</v>
      </c>
      <c r="E1933">
        <v>50</v>
      </c>
      <c r="F1933">
        <v>44.348140717</v>
      </c>
      <c r="G1933">
        <v>1380.0902100000001</v>
      </c>
      <c r="H1933">
        <v>1366.2739257999999</v>
      </c>
      <c r="I1933">
        <v>1285.9600829999999</v>
      </c>
      <c r="J1933">
        <v>1265.4853516000001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1576.4679860000001</v>
      </c>
      <c r="B1934" s="1">
        <f>DATE(2014,8,24) + TIME(11,13,54)</f>
        <v>41875.467986111114</v>
      </c>
      <c r="C1934">
        <v>80</v>
      </c>
      <c r="D1934">
        <v>79.962806701999995</v>
      </c>
      <c r="E1934">
        <v>50</v>
      </c>
      <c r="F1934">
        <v>44.257614136000001</v>
      </c>
      <c r="G1934">
        <v>1380.0318603999999</v>
      </c>
      <c r="H1934">
        <v>1366.2171631000001</v>
      </c>
      <c r="I1934">
        <v>1285.8723144999999</v>
      </c>
      <c r="J1934">
        <v>1265.3469238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1578.597591</v>
      </c>
      <c r="B1935" s="1">
        <f>DATE(2014,8,26) + TIME(14,20,31)</f>
        <v>41877.597581018519</v>
      </c>
      <c r="C1935">
        <v>80</v>
      </c>
      <c r="D1935">
        <v>79.962844849000007</v>
      </c>
      <c r="E1935">
        <v>50</v>
      </c>
      <c r="F1935">
        <v>44.167510986000003</v>
      </c>
      <c r="G1935">
        <v>1379.9735106999999</v>
      </c>
      <c r="H1935">
        <v>1366.1602783000001</v>
      </c>
      <c r="I1935">
        <v>1285.7836914</v>
      </c>
      <c r="J1935">
        <v>1265.2066649999999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1580.7692830000001</v>
      </c>
      <c r="B1936" s="1">
        <f>DATE(2014,8,28) + TIME(18,27,46)</f>
        <v>41879.769282407404</v>
      </c>
      <c r="C1936">
        <v>80</v>
      </c>
      <c r="D1936">
        <v>79.962890625</v>
      </c>
      <c r="E1936">
        <v>50</v>
      </c>
      <c r="F1936">
        <v>44.077770233000003</v>
      </c>
      <c r="G1936">
        <v>1379.9147949000001</v>
      </c>
      <c r="H1936">
        <v>1366.1030272999999</v>
      </c>
      <c r="I1936">
        <v>1285.6939697</v>
      </c>
      <c r="J1936">
        <v>1265.0642089999999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1582.9409760000001</v>
      </c>
      <c r="B1937" s="1">
        <f>DATE(2014,8,30) + TIME(22,35,0)</f>
        <v>41881.940972222219</v>
      </c>
      <c r="C1937">
        <v>80</v>
      </c>
      <c r="D1937">
        <v>79.962936400999993</v>
      </c>
      <c r="E1937">
        <v>50</v>
      </c>
      <c r="F1937">
        <v>43.988952636999997</v>
      </c>
      <c r="G1937">
        <v>1379.8555908000001</v>
      </c>
      <c r="H1937">
        <v>1366.0450439000001</v>
      </c>
      <c r="I1937">
        <v>1285.6031493999999</v>
      </c>
      <c r="J1937">
        <v>1264.9197998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1584</v>
      </c>
      <c r="B1938" s="1">
        <f>DATE(2014,9,1) + TIME(0,0,0)</f>
        <v>41883</v>
      </c>
      <c r="C1938">
        <v>80</v>
      </c>
      <c r="D1938">
        <v>79.962951660000002</v>
      </c>
      <c r="E1938">
        <v>50</v>
      </c>
      <c r="F1938">
        <v>43.922153473000002</v>
      </c>
      <c r="G1938">
        <v>1379.796875</v>
      </c>
      <c r="H1938">
        <v>1365.987793</v>
      </c>
      <c r="I1938">
        <v>1285.5158690999999</v>
      </c>
      <c r="J1938">
        <v>1264.7875977000001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1586.1716919999999</v>
      </c>
      <c r="B1939" s="1">
        <f>DATE(2014,9,3) + TIME(4,7,14)</f>
        <v>41885.171689814815</v>
      </c>
      <c r="C1939">
        <v>80</v>
      </c>
      <c r="D1939">
        <v>79.962997436999999</v>
      </c>
      <c r="E1939">
        <v>50</v>
      </c>
      <c r="F1939">
        <v>43.854061127000001</v>
      </c>
      <c r="G1939">
        <v>1379.7683105000001</v>
      </c>
      <c r="H1939">
        <v>1365.9594727000001</v>
      </c>
      <c r="I1939">
        <v>1285.4659423999999</v>
      </c>
      <c r="J1939">
        <v>1264.6981201000001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1588.4547</v>
      </c>
      <c r="B1940" s="1">
        <f>DATE(2014,9,5) + TIME(10,54,46)</f>
        <v>41887.454699074071</v>
      </c>
      <c r="C1940">
        <v>80</v>
      </c>
      <c r="D1940">
        <v>79.963050842000001</v>
      </c>
      <c r="E1940">
        <v>50</v>
      </c>
      <c r="F1940">
        <v>43.775062560999999</v>
      </c>
      <c r="G1940">
        <v>1379.7106934000001</v>
      </c>
      <c r="H1940">
        <v>1365.9030762</v>
      </c>
      <c r="I1940">
        <v>1285.3792725000001</v>
      </c>
      <c r="J1940">
        <v>1264.5601807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1590.7377080000001</v>
      </c>
      <c r="B1941" s="1">
        <f>DATE(2014,9,7) + TIME(17,42,17)</f>
        <v>41889.737696759257</v>
      </c>
      <c r="C1941">
        <v>80</v>
      </c>
      <c r="D1941">
        <v>79.963096618999998</v>
      </c>
      <c r="E1941">
        <v>50</v>
      </c>
      <c r="F1941">
        <v>43.693428040000001</v>
      </c>
      <c r="G1941">
        <v>1379.6506348</v>
      </c>
      <c r="H1941">
        <v>1365.8439940999999</v>
      </c>
      <c r="I1941">
        <v>1285.2879639</v>
      </c>
      <c r="J1941">
        <v>1264.4140625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1593.06619</v>
      </c>
      <c r="B1942" s="1">
        <f>DATE(2014,9,10) + TIME(1,35,18)</f>
        <v>41892.066180555557</v>
      </c>
      <c r="C1942">
        <v>80</v>
      </c>
      <c r="D1942">
        <v>79.963142395000006</v>
      </c>
      <c r="E1942">
        <v>50</v>
      </c>
      <c r="F1942">
        <v>43.613399506</v>
      </c>
      <c r="G1942">
        <v>1379.5910644999999</v>
      </c>
      <c r="H1942">
        <v>1365.7854004000001</v>
      </c>
      <c r="I1942">
        <v>1285.1971435999999</v>
      </c>
      <c r="J1942">
        <v>1264.2674560999999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1595.4324999999999</v>
      </c>
      <c r="B1943" s="1">
        <f>DATE(2014,9,12) + TIME(10,22,47)</f>
        <v>41894.432488425926</v>
      </c>
      <c r="C1943">
        <v>80</v>
      </c>
      <c r="D1943">
        <v>79.963188170999999</v>
      </c>
      <c r="E1943">
        <v>50</v>
      </c>
      <c r="F1943">
        <v>43.535850525000001</v>
      </c>
      <c r="G1943">
        <v>1379.5308838000001</v>
      </c>
      <c r="H1943">
        <v>1365.7260742000001</v>
      </c>
      <c r="I1943">
        <v>1285.1060791</v>
      </c>
      <c r="J1943">
        <v>1264.1202393000001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1597.845262</v>
      </c>
      <c r="B1944" s="1">
        <f>DATE(2014,9,14) + TIME(20,17,10)</f>
        <v>41896.845254629632</v>
      </c>
      <c r="C1944">
        <v>80</v>
      </c>
      <c r="D1944">
        <v>79.963233947999996</v>
      </c>
      <c r="E1944">
        <v>50</v>
      </c>
      <c r="F1944">
        <v>43.461544037000003</v>
      </c>
      <c r="G1944">
        <v>1379.4703368999999</v>
      </c>
      <c r="H1944">
        <v>1365.6662598</v>
      </c>
      <c r="I1944">
        <v>1285.0153809000001</v>
      </c>
      <c r="J1944">
        <v>1263.9730225000001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1600.2823679999999</v>
      </c>
      <c r="B1945" s="1">
        <f>DATE(2014,9,17) + TIME(6,46,36)</f>
        <v>41899.282361111109</v>
      </c>
      <c r="C1945">
        <v>80</v>
      </c>
      <c r="D1945">
        <v>79.963287354000002</v>
      </c>
      <c r="E1945">
        <v>50</v>
      </c>
      <c r="F1945">
        <v>43.391231537000003</v>
      </c>
      <c r="G1945">
        <v>1379.4090576000001</v>
      </c>
      <c r="H1945">
        <v>1365.6058350000001</v>
      </c>
      <c r="I1945">
        <v>1284.9250488</v>
      </c>
      <c r="J1945">
        <v>1263.8262939000001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1602.7590419999999</v>
      </c>
      <c r="B1946" s="1">
        <f>DATE(2014,9,19) + TIME(18,13,1)</f>
        <v>41901.759039351855</v>
      </c>
      <c r="C1946">
        <v>80</v>
      </c>
      <c r="D1946">
        <v>79.963340759000005</v>
      </c>
      <c r="E1946">
        <v>50</v>
      </c>
      <c r="F1946">
        <v>43.325839995999999</v>
      </c>
      <c r="G1946">
        <v>1379.3479004000001</v>
      </c>
      <c r="H1946">
        <v>1365.5452881000001</v>
      </c>
      <c r="I1946">
        <v>1284.8361815999999</v>
      </c>
      <c r="J1946">
        <v>1263.6815185999999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1605.2845669999999</v>
      </c>
      <c r="B1947" s="1">
        <f>DATE(2014,9,22) + TIME(6,49,46)</f>
        <v>41904.284560185188</v>
      </c>
      <c r="C1947">
        <v>80</v>
      </c>
      <c r="D1947">
        <v>79.963386536000002</v>
      </c>
      <c r="E1947">
        <v>50</v>
      </c>
      <c r="F1947">
        <v>43.265911101999997</v>
      </c>
      <c r="G1947">
        <v>1379.2862548999999</v>
      </c>
      <c r="H1947">
        <v>1365.4842529</v>
      </c>
      <c r="I1947">
        <v>1284.7485352000001</v>
      </c>
      <c r="J1947">
        <v>1263.5386963000001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1607.8406110000001</v>
      </c>
      <c r="B1948" s="1">
        <f>DATE(2014,9,24) + TIME(20,10,28)</f>
        <v>41906.840601851851</v>
      </c>
      <c r="C1948">
        <v>80</v>
      </c>
      <c r="D1948">
        <v>79.963439941000004</v>
      </c>
      <c r="E1948">
        <v>50</v>
      </c>
      <c r="F1948">
        <v>43.212253570999998</v>
      </c>
      <c r="G1948">
        <v>1379.223999</v>
      </c>
      <c r="H1948">
        <v>1365.4224853999999</v>
      </c>
      <c r="I1948">
        <v>1284.6622314000001</v>
      </c>
      <c r="J1948">
        <v>1263.3979492000001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1610.396655</v>
      </c>
      <c r="B1949" s="1">
        <f>DATE(2014,9,27) + TIME(9,31,10)</f>
        <v>41909.396643518521</v>
      </c>
      <c r="C1949">
        <v>80</v>
      </c>
      <c r="D1949">
        <v>79.963493346999996</v>
      </c>
      <c r="E1949">
        <v>50</v>
      </c>
      <c r="F1949">
        <v>43.166084290000001</v>
      </c>
      <c r="G1949">
        <v>1379.1616211</v>
      </c>
      <c r="H1949">
        <v>1365.3605957</v>
      </c>
      <c r="I1949">
        <v>1284.5782471</v>
      </c>
      <c r="J1949">
        <v>1263.2612305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1612.9526989999999</v>
      </c>
      <c r="B1950" s="1">
        <f>DATE(2014,9,29) + TIME(22,51,53)</f>
        <v>41911.952696759261</v>
      </c>
      <c r="C1950">
        <v>80</v>
      </c>
      <c r="D1950">
        <v>79.963539123999993</v>
      </c>
      <c r="E1950">
        <v>50</v>
      </c>
      <c r="F1950">
        <v>43.128490448000001</v>
      </c>
      <c r="G1950">
        <v>1379.0997314000001</v>
      </c>
      <c r="H1950">
        <v>1365.2990723</v>
      </c>
      <c r="I1950">
        <v>1284.4978027</v>
      </c>
      <c r="J1950">
        <v>1263.130249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1614</v>
      </c>
      <c r="B1951" s="1">
        <f>DATE(2014,10,1) + TIME(0,0,0)</f>
        <v>41913</v>
      </c>
      <c r="C1951">
        <v>80</v>
      </c>
      <c r="D1951">
        <v>79.963562011999997</v>
      </c>
      <c r="E1951">
        <v>50</v>
      </c>
      <c r="F1951">
        <v>43.107711792000003</v>
      </c>
      <c r="G1951">
        <v>1379.0384521000001</v>
      </c>
      <c r="H1951">
        <v>1365.2384033000001</v>
      </c>
      <c r="I1951">
        <v>1284.4276123</v>
      </c>
      <c r="J1951">
        <v>1263.0189209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1616.5560439999999</v>
      </c>
      <c r="B1952" s="1">
        <f>DATE(2014,10,3) + TIME(13,20,42)</f>
        <v>41915.556041666663</v>
      </c>
      <c r="C1952">
        <v>80</v>
      </c>
      <c r="D1952">
        <v>79.963615417</v>
      </c>
      <c r="E1952">
        <v>50</v>
      </c>
      <c r="F1952">
        <v>43.090309142999999</v>
      </c>
      <c r="G1952">
        <v>1379.0133057</v>
      </c>
      <c r="H1952">
        <v>1365.2128906</v>
      </c>
      <c r="I1952">
        <v>1284.3873291</v>
      </c>
      <c r="J1952">
        <v>1262.9505615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1619.2556509999999</v>
      </c>
      <c r="B1953" s="1">
        <f>DATE(2014,10,6) + TIME(6,8,8)</f>
        <v>41918.255648148152</v>
      </c>
      <c r="C1953">
        <v>80</v>
      </c>
      <c r="D1953">
        <v>79.963668823000006</v>
      </c>
      <c r="E1953">
        <v>50</v>
      </c>
      <c r="F1953">
        <v>43.077724457000002</v>
      </c>
      <c r="G1953">
        <v>1378.9528809000001</v>
      </c>
      <c r="H1953">
        <v>1365.152832</v>
      </c>
      <c r="I1953">
        <v>1284.3192139</v>
      </c>
      <c r="J1953">
        <v>1262.8410644999999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1621.955258</v>
      </c>
      <c r="B1954" s="1">
        <f>DATE(2014,10,8) + TIME(22,55,34)</f>
        <v>41920.955254629633</v>
      </c>
      <c r="C1954">
        <v>80</v>
      </c>
      <c r="D1954">
        <v>79.963722228999998</v>
      </c>
      <c r="E1954">
        <v>50</v>
      </c>
      <c r="F1954">
        <v>43.074840545999997</v>
      </c>
      <c r="G1954">
        <v>1378.8896483999999</v>
      </c>
      <c r="H1954">
        <v>1365.0897216999999</v>
      </c>
      <c r="I1954">
        <v>1284.2501221</v>
      </c>
      <c r="J1954">
        <v>1262.7305908000001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1624.6548640000001</v>
      </c>
      <c r="B1955" s="1">
        <f>DATE(2014,10,11) + TIME(15,43,0)</f>
        <v>41923.654861111114</v>
      </c>
      <c r="C1955">
        <v>80</v>
      </c>
      <c r="D1955">
        <v>79.963775635000005</v>
      </c>
      <c r="E1955">
        <v>50</v>
      </c>
      <c r="F1955">
        <v>43.083873748999999</v>
      </c>
      <c r="G1955">
        <v>1378.8267822</v>
      </c>
      <c r="H1955">
        <v>1365.0272216999999</v>
      </c>
      <c r="I1955">
        <v>1284.1850586</v>
      </c>
      <c r="J1955">
        <v>1262.6274414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1627.4644450000001</v>
      </c>
      <c r="B1956" s="1">
        <f>DATE(2014,10,14) + TIME(11,8,48)</f>
        <v>41926.464444444442</v>
      </c>
      <c r="C1956">
        <v>80</v>
      </c>
      <c r="D1956">
        <v>79.963829040999997</v>
      </c>
      <c r="E1956">
        <v>50</v>
      </c>
      <c r="F1956">
        <v>43.105895996000001</v>
      </c>
      <c r="G1956">
        <v>1378.7646483999999</v>
      </c>
      <c r="H1956">
        <v>1364.9650879000001</v>
      </c>
      <c r="I1956">
        <v>1284.1243896000001</v>
      </c>
      <c r="J1956">
        <v>1262.5329589999999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1630.274026</v>
      </c>
      <c r="B1957" s="1">
        <f>DATE(2014,10,17) + TIME(6,34,35)</f>
        <v>41929.274016203701</v>
      </c>
      <c r="C1957">
        <v>80</v>
      </c>
      <c r="D1957">
        <v>79.963882446</v>
      </c>
      <c r="E1957">
        <v>50</v>
      </c>
      <c r="F1957">
        <v>43.142383574999997</v>
      </c>
      <c r="G1957">
        <v>1378.7006836</v>
      </c>
      <c r="H1957">
        <v>1364.9012451000001</v>
      </c>
      <c r="I1957">
        <v>1284.0673827999999</v>
      </c>
      <c r="J1957">
        <v>1262.4455565999999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1633.0836059999999</v>
      </c>
      <c r="B1958" s="1">
        <f>DATE(2014,10,20) + TIME(2,0,23)</f>
        <v>41932.083599537036</v>
      </c>
      <c r="C1958">
        <v>80</v>
      </c>
      <c r="D1958">
        <v>79.963935852000006</v>
      </c>
      <c r="E1958">
        <v>50</v>
      </c>
      <c r="F1958">
        <v>43.193523407000001</v>
      </c>
      <c r="G1958">
        <v>1378.637207</v>
      </c>
      <c r="H1958">
        <v>1364.8378906</v>
      </c>
      <c r="I1958">
        <v>1284.015625</v>
      </c>
      <c r="J1958">
        <v>1262.3685303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1635.8931869999999</v>
      </c>
      <c r="B1959" s="1">
        <f>DATE(2014,10,22) + TIME(21,26,11)</f>
        <v>41934.893182870372</v>
      </c>
      <c r="C1959">
        <v>80</v>
      </c>
      <c r="D1959">
        <v>79.963989257999998</v>
      </c>
      <c r="E1959">
        <v>50</v>
      </c>
      <c r="F1959">
        <v>43.259414673000002</v>
      </c>
      <c r="G1959">
        <v>1378.5744629000001</v>
      </c>
      <c r="H1959">
        <v>1364.7752685999999</v>
      </c>
      <c r="I1959">
        <v>1283.9694824000001</v>
      </c>
      <c r="J1959">
        <v>1262.3022461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1638.7027680000001</v>
      </c>
      <c r="B1960" s="1">
        <f>DATE(2014,10,25) + TIME(16,51,59)</f>
        <v>41937.702766203707</v>
      </c>
      <c r="C1960">
        <v>80</v>
      </c>
      <c r="D1960">
        <v>79.964042664000004</v>
      </c>
      <c r="E1960">
        <v>50</v>
      </c>
      <c r="F1960">
        <v>43.339969635000003</v>
      </c>
      <c r="G1960">
        <v>1378.5124512</v>
      </c>
      <c r="H1960">
        <v>1364.7132568</v>
      </c>
      <c r="I1960">
        <v>1283.9289550999999</v>
      </c>
      <c r="J1960">
        <v>1262.2470702999999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1641.7091109999999</v>
      </c>
      <c r="B1961" s="1">
        <f>DATE(2014,10,28) + TIME(17,1,7)</f>
        <v>41940.709108796298</v>
      </c>
      <c r="C1961">
        <v>80</v>
      </c>
      <c r="D1961">
        <v>79.964103699000006</v>
      </c>
      <c r="E1961">
        <v>50</v>
      </c>
      <c r="F1961">
        <v>43.436355591000002</v>
      </c>
      <c r="G1961">
        <v>1378.4510498</v>
      </c>
      <c r="H1961">
        <v>1364.6519774999999</v>
      </c>
      <c r="I1961">
        <v>1283.8934326000001</v>
      </c>
      <c r="J1961">
        <v>1262.2025146000001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1644.7154539999999</v>
      </c>
      <c r="B1962" s="1">
        <f>DATE(2014,10,31) + TIME(17,10,15)</f>
        <v>41943.715451388889</v>
      </c>
      <c r="C1962">
        <v>80</v>
      </c>
      <c r="D1962">
        <v>79.964157103999995</v>
      </c>
      <c r="E1962">
        <v>50</v>
      </c>
      <c r="F1962">
        <v>43.551963806000003</v>
      </c>
      <c r="G1962">
        <v>1378.3862305</v>
      </c>
      <c r="H1962">
        <v>1364.5871582</v>
      </c>
      <c r="I1962">
        <v>1283.8621826000001</v>
      </c>
      <c r="J1962">
        <v>1262.1668701000001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1645</v>
      </c>
      <c r="B1963" s="1">
        <f>DATE(2014,11,1) + TIME(0,0,0)</f>
        <v>41944</v>
      </c>
      <c r="C1963">
        <v>80</v>
      </c>
      <c r="D1963">
        <v>79.964157103999995</v>
      </c>
      <c r="E1963">
        <v>50</v>
      </c>
      <c r="F1963">
        <v>43.594913482999999</v>
      </c>
      <c r="G1963">
        <v>1378.324707</v>
      </c>
      <c r="H1963">
        <v>1364.5266113</v>
      </c>
      <c r="I1963">
        <v>1283.8618164</v>
      </c>
      <c r="J1963">
        <v>1262.1497803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1645.0000010000001</v>
      </c>
      <c r="B1964" s="1">
        <f>DATE(2014,11,1) + TIME(0,0,0)</f>
        <v>41944</v>
      </c>
      <c r="C1964">
        <v>80</v>
      </c>
      <c r="D1964">
        <v>79.964035034000005</v>
      </c>
      <c r="E1964">
        <v>50</v>
      </c>
      <c r="F1964">
        <v>43.595027924</v>
      </c>
      <c r="G1964">
        <v>1363.6546631000001</v>
      </c>
      <c r="H1964">
        <v>1352.1392822</v>
      </c>
      <c r="I1964">
        <v>1306.6947021000001</v>
      </c>
      <c r="J1964">
        <v>1284.7573242000001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1645.000004</v>
      </c>
      <c r="B1965" s="1">
        <f>DATE(2014,11,1) + TIME(0,0,0)</f>
        <v>41944</v>
      </c>
      <c r="C1965">
        <v>80</v>
      </c>
      <c r="D1965">
        <v>79.963722228999998</v>
      </c>
      <c r="E1965">
        <v>50</v>
      </c>
      <c r="F1965">
        <v>43.595348358000003</v>
      </c>
      <c r="G1965">
        <v>1361.4520264</v>
      </c>
      <c r="H1965">
        <v>1349.9362793</v>
      </c>
      <c r="I1965">
        <v>1309.0737305</v>
      </c>
      <c r="J1965">
        <v>1287.1740723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1645.0000130000001</v>
      </c>
      <c r="B1966" s="1">
        <f>DATE(2014,11,1) + TIME(0,0,1)</f>
        <v>41944.000011574077</v>
      </c>
      <c r="C1966">
        <v>80</v>
      </c>
      <c r="D1966">
        <v>79.963088988999999</v>
      </c>
      <c r="E1966">
        <v>50</v>
      </c>
      <c r="F1966">
        <v>43.596099854000002</v>
      </c>
      <c r="G1966">
        <v>1357.0057373</v>
      </c>
      <c r="H1966">
        <v>1345.489624</v>
      </c>
      <c r="I1966">
        <v>1314.5683594</v>
      </c>
      <c r="J1966">
        <v>1292.7329102000001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1645.0000399999999</v>
      </c>
      <c r="B1967" s="1">
        <f>DATE(2014,11,1) + TIME(0,0,3)</f>
        <v>41944.000034722223</v>
      </c>
      <c r="C1967">
        <v>80</v>
      </c>
      <c r="D1967">
        <v>79.962165833</v>
      </c>
      <c r="E1967">
        <v>50</v>
      </c>
      <c r="F1967">
        <v>43.597480773999997</v>
      </c>
      <c r="G1967">
        <v>1350.5108643000001</v>
      </c>
      <c r="H1967">
        <v>1338.9960937999999</v>
      </c>
      <c r="I1967">
        <v>1324.1229248</v>
      </c>
      <c r="J1967">
        <v>1302.331543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1645.000121</v>
      </c>
      <c r="B1968" s="1">
        <f>DATE(2014,11,1) + TIME(0,0,10)</f>
        <v>41944.000115740739</v>
      </c>
      <c r="C1968">
        <v>80</v>
      </c>
      <c r="D1968">
        <v>79.961128235000004</v>
      </c>
      <c r="E1968">
        <v>50</v>
      </c>
      <c r="F1968">
        <v>43.599586487000003</v>
      </c>
      <c r="G1968">
        <v>1343.2838135</v>
      </c>
      <c r="H1968">
        <v>1331.7731934000001</v>
      </c>
      <c r="I1968">
        <v>1336.208374</v>
      </c>
      <c r="J1968">
        <v>1314.4206543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1645.000364</v>
      </c>
      <c r="B1969" s="1">
        <f>DATE(2014,11,1) + TIME(0,0,31)</f>
        <v>41944.000358796293</v>
      </c>
      <c r="C1969">
        <v>80</v>
      </c>
      <c r="D1969">
        <v>79.960052489999995</v>
      </c>
      <c r="E1969">
        <v>50</v>
      </c>
      <c r="F1969">
        <v>43.603015900000003</v>
      </c>
      <c r="G1969">
        <v>1336.0206298999999</v>
      </c>
      <c r="H1969">
        <v>1324.5152588000001</v>
      </c>
      <c r="I1969">
        <v>1348.8978271000001</v>
      </c>
      <c r="J1969">
        <v>1327.1047363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1645.0010930000001</v>
      </c>
      <c r="B1970" s="1">
        <f>DATE(2014,11,1) + TIME(0,1,34)</f>
        <v>41944.001087962963</v>
      </c>
      <c r="C1970">
        <v>80</v>
      </c>
      <c r="D1970">
        <v>79.958900451999995</v>
      </c>
      <c r="E1970">
        <v>50</v>
      </c>
      <c r="F1970">
        <v>43.610225677000003</v>
      </c>
      <c r="G1970">
        <v>1328.7219238</v>
      </c>
      <c r="H1970">
        <v>1317.2030029</v>
      </c>
      <c r="I1970">
        <v>1361.7752685999999</v>
      </c>
      <c r="J1970">
        <v>1339.9641113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1645.0032799999999</v>
      </c>
      <c r="B1971" s="1">
        <f>DATE(2014,11,1) + TIME(0,4,43)</f>
        <v>41944.003275462965</v>
      </c>
      <c r="C1971">
        <v>80</v>
      </c>
      <c r="D1971">
        <v>79.957473754999995</v>
      </c>
      <c r="E1971">
        <v>50</v>
      </c>
      <c r="F1971">
        <v>43.628723145000002</v>
      </c>
      <c r="G1971">
        <v>1321.1944579999999</v>
      </c>
      <c r="H1971">
        <v>1309.5837402</v>
      </c>
      <c r="I1971">
        <v>1374.8254394999999</v>
      </c>
      <c r="J1971">
        <v>1352.9722899999999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1645.0098410000001</v>
      </c>
      <c r="B1972" s="1">
        <f>DATE(2014,11,1) + TIME(0,14,10)</f>
        <v>41944.009837962964</v>
      </c>
      <c r="C1972">
        <v>80</v>
      </c>
      <c r="D1972">
        <v>79.955322265999996</v>
      </c>
      <c r="E1972">
        <v>50</v>
      </c>
      <c r="F1972">
        <v>43.680633544999999</v>
      </c>
      <c r="G1972">
        <v>1313.6907959</v>
      </c>
      <c r="H1972">
        <v>1301.8962402</v>
      </c>
      <c r="I1972">
        <v>1386.9705810999999</v>
      </c>
      <c r="J1972">
        <v>1365.0848389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1645.029524</v>
      </c>
      <c r="B1973" s="1">
        <f>DATE(2014,11,1) + TIME(0,42,30)</f>
        <v>41944.029513888891</v>
      </c>
      <c r="C1973">
        <v>80</v>
      </c>
      <c r="D1973">
        <v>79.951210021999998</v>
      </c>
      <c r="E1973">
        <v>50</v>
      </c>
      <c r="F1973">
        <v>43.829544067</v>
      </c>
      <c r="G1973">
        <v>1307.6019286999999</v>
      </c>
      <c r="H1973">
        <v>1295.6225586</v>
      </c>
      <c r="I1973">
        <v>1395.6539307</v>
      </c>
      <c r="J1973">
        <v>1373.8050536999999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1645.088573</v>
      </c>
      <c r="B1974" s="1">
        <f>DATE(2014,11,1) + TIME(2,7,32)</f>
        <v>41944.088564814818</v>
      </c>
      <c r="C1974">
        <v>80</v>
      </c>
      <c r="D1974">
        <v>79.941444396999998</v>
      </c>
      <c r="E1974">
        <v>50</v>
      </c>
      <c r="F1974">
        <v>44.243705749999997</v>
      </c>
      <c r="G1974">
        <v>1304.4868164</v>
      </c>
      <c r="H1974">
        <v>1292.4011230000001</v>
      </c>
      <c r="I1974">
        <v>1399.1042480000001</v>
      </c>
      <c r="J1974">
        <v>1377.4121094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1645.155323</v>
      </c>
      <c r="B1975" s="1">
        <f>DATE(2014,11,1) + TIME(3,43,39)</f>
        <v>41944.155312499999</v>
      </c>
      <c r="C1975">
        <v>80</v>
      </c>
      <c r="D1975">
        <v>79.931037903000004</v>
      </c>
      <c r="E1975">
        <v>50</v>
      </c>
      <c r="F1975">
        <v>44.676475525000001</v>
      </c>
      <c r="G1975">
        <v>1303.8095702999999</v>
      </c>
      <c r="H1975">
        <v>1291.6989745999999</v>
      </c>
      <c r="I1975">
        <v>1399.4414062000001</v>
      </c>
      <c r="J1975">
        <v>1377.901001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1645.2261149999999</v>
      </c>
      <c r="B1976" s="1">
        <f>DATE(2014,11,1) + TIME(5,25,36)</f>
        <v>41944.226111111115</v>
      </c>
      <c r="C1976">
        <v>80</v>
      </c>
      <c r="D1976">
        <v>79.920318604000002</v>
      </c>
      <c r="E1976">
        <v>50</v>
      </c>
      <c r="F1976">
        <v>45.099182128999999</v>
      </c>
      <c r="G1976">
        <v>1303.6541748</v>
      </c>
      <c r="H1976">
        <v>1291.5385742000001</v>
      </c>
      <c r="I1976">
        <v>1399.269043</v>
      </c>
      <c r="J1976">
        <v>1377.8717041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1645.301496</v>
      </c>
      <c r="B1977" s="1">
        <f>DATE(2014,11,1) + TIME(7,14,9)</f>
        <v>41944.301493055558</v>
      </c>
      <c r="C1977">
        <v>80</v>
      </c>
      <c r="D1977">
        <v>79.909179687999995</v>
      </c>
      <c r="E1977">
        <v>50</v>
      </c>
      <c r="F1977">
        <v>45.511592864999997</v>
      </c>
      <c r="G1977">
        <v>1303.6125488</v>
      </c>
      <c r="H1977">
        <v>1291.496582</v>
      </c>
      <c r="I1977">
        <v>1399.0335693</v>
      </c>
      <c r="J1977">
        <v>1377.7730713000001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1645.382155</v>
      </c>
      <c r="B1978" s="1">
        <f>DATE(2014,11,1) + TIME(9,10,18)</f>
        <v>41944.382152777776</v>
      </c>
      <c r="C1978">
        <v>80</v>
      </c>
      <c r="D1978">
        <v>79.897552489999995</v>
      </c>
      <c r="E1978">
        <v>50</v>
      </c>
      <c r="F1978">
        <v>45.913516997999999</v>
      </c>
      <c r="G1978">
        <v>1303.5981445</v>
      </c>
      <c r="H1978">
        <v>1291.4829102000001</v>
      </c>
      <c r="I1978">
        <v>1398.8001709</v>
      </c>
      <c r="J1978">
        <v>1377.6712646000001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1645.4689490000001</v>
      </c>
      <c r="B1979" s="1">
        <f>DATE(2014,11,1) + TIME(11,15,17)</f>
        <v>41944.468946759262</v>
      </c>
      <c r="C1979">
        <v>80</v>
      </c>
      <c r="D1979">
        <v>79.885345459000007</v>
      </c>
      <c r="E1979">
        <v>50</v>
      </c>
      <c r="F1979">
        <v>46.304691314999999</v>
      </c>
      <c r="G1979">
        <v>1303.5908202999999</v>
      </c>
      <c r="H1979">
        <v>1291.4764404</v>
      </c>
      <c r="I1979">
        <v>1398.5753173999999</v>
      </c>
      <c r="J1979">
        <v>1377.5729980000001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1645.562946</v>
      </c>
      <c r="B1980" s="1">
        <f>DATE(2014,11,1) + TIME(13,30,38)</f>
        <v>41944.562939814816</v>
      </c>
      <c r="C1980">
        <v>80</v>
      </c>
      <c r="D1980">
        <v>79.872451781999999</v>
      </c>
      <c r="E1980">
        <v>50</v>
      </c>
      <c r="F1980">
        <v>46.684761047000002</v>
      </c>
      <c r="G1980">
        <v>1303.5852050999999</v>
      </c>
      <c r="H1980">
        <v>1291.4718018000001</v>
      </c>
      <c r="I1980">
        <v>1398.3577881000001</v>
      </c>
      <c r="J1980">
        <v>1377.4770507999999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1645.665493</v>
      </c>
      <c r="B1981" s="1">
        <f>DATE(2014,11,1) + TIME(15,58,18)</f>
        <v>41944.665486111109</v>
      </c>
      <c r="C1981">
        <v>80</v>
      </c>
      <c r="D1981">
        <v>79.85874939</v>
      </c>
      <c r="E1981">
        <v>50</v>
      </c>
      <c r="F1981">
        <v>47.053222656000003</v>
      </c>
      <c r="G1981">
        <v>1303.5799560999999</v>
      </c>
      <c r="H1981">
        <v>1291.4674072</v>
      </c>
      <c r="I1981">
        <v>1398.1467285000001</v>
      </c>
      <c r="J1981">
        <v>1377.3828125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1645.7783569999999</v>
      </c>
      <c r="B1982" s="1">
        <f>DATE(2014,11,1) + TIME(18,40,50)</f>
        <v>41944.778356481482</v>
      </c>
      <c r="C1982">
        <v>80</v>
      </c>
      <c r="D1982">
        <v>79.844078064000001</v>
      </c>
      <c r="E1982">
        <v>50</v>
      </c>
      <c r="F1982">
        <v>47.409519195999998</v>
      </c>
      <c r="G1982">
        <v>1303.5745850000001</v>
      </c>
      <c r="H1982">
        <v>1291.4628906</v>
      </c>
      <c r="I1982">
        <v>1397.9415283000001</v>
      </c>
      <c r="J1982">
        <v>1377.2895507999999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1645.9038909999999</v>
      </c>
      <c r="B1983" s="1">
        <f>DATE(2014,11,1) + TIME(21,41,36)</f>
        <v>41944.90388888889</v>
      </c>
      <c r="C1983">
        <v>80</v>
      </c>
      <c r="D1983">
        <v>79.828216553000004</v>
      </c>
      <c r="E1983">
        <v>50</v>
      </c>
      <c r="F1983">
        <v>47.752922058000003</v>
      </c>
      <c r="G1983">
        <v>1303.5688477000001</v>
      </c>
      <c r="H1983">
        <v>1291.4577637</v>
      </c>
      <c r="I1983">
        <v>1397.7415771000001</v>
      </c>
      <c r="J1983">
        <v>1377.1967772999999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1646.045294</v>
      </c>
      <c r="B1984" s="1">
        <f>DATE(2014,11,2) + TIME(1,5,13)</f>
        <v>41945.045289351852</v>
      </c>
      <c r="C1984">
        <v>80</v>
      </c>
      <c r="D1984">
        <v>79.810890197999996</v>
      </c>
      <c r="E1984">
        <v>50</v>
      </c>
      <c r="F1984">
        <v>48.082473755000002</v>
      </c>
      <c r="G1984">
        <v>1303.5627440999999</v>
      </c>
      <c r="H1984">
        <v>1291.4522704999999</v>
      </c>
      <c r="I1984">
        <v>1397.5466309000001</v>
      </c>
      <c r="J1984">
        <v>1377.104126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1646.2070719999999</v>
      </c>
      <c r="B1985" s="1">
        <f>DATE(2014,11,2) + TIME(4,58,11)</f>
        <v>41945.207071759258</v>
      </c>
      <c r="C1985">
        <v>80</v>
      </c>
      <c r="D1985">
        <v>79.791702271000005</v>
      </c>
      <c r="E1985">
        <v>50</v>
      </c>
      <c r="F1985">
        <v>48.396903991999999</v>
      </c>
      <c r="G1985">
        <v>1303.5559082</v>
      </c>
      <c r="H1985">
        <v>1291.4460449000001</v>
      </c>
      <c r="I1985">
        <v>1397.3565673999999</v>
      </c>
      <c r="J1985">
        <v>1377.0109863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1646.3958299999999</v>
      </c>
      <c r="B1986" s="1">
        <f>DATE(2014,11,2) + TIME(9,29,59)</f>
        <v>41945.395821759259</v>
      </c>
      <c r="C1986">
        <v>80</v>
      </c>
      <c r="D1986">
        <v>79.770111084000007</v>
      </c>
      <c r="E1986">
        <v>50</v>
      </c>
      <c r="F1986">
        <v>48.694534302000001</v>
      </c>
      <c r="G1986">
        <v>1303.5483397999999</v>
      </c>
      <c r="H1986">
        <v>1291.4389647999999</v>
      </c>
      <c r="I1986">
        <v>1397.1707764</v>
      </c>
      <c r="J1986">
        <v>1376.9168701000001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1646.6217260000001</v>
      </c>
      <c r="B1987" s="1">
        <f>DATE(2014,11,2) + TIME(14,55,17)</f>
        <v>41945.621724537035</v>
      </c>
      <c r="C1987">
        <v>80</v>
      </c>
      <c r="D1987">
        <v>79.745323181000003</v>
      </c>
      <c r="E1987">
        <v>50</v>
      </c>
      <c r="F1987">
        <v>48.973098755000002</v>
      </c>
      <c r="G1987">
        <v>1303.5399170000001</v>
      </c>
      <c r="H1987">
        <v>1291.4306641000001</v>
      </c>
      <c r="I1987">
        <v>1396.9890137</v>
      </c>
      <c r="J1987">
        <v>1376.8208007999999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1646.8702370000001</v>
      </c>
      <c r="B1988" s="1">
        <f>DATE(2014,11,2) + TIME(20,53,8)</f>
        <v>41945.87023148148</v>
      </c>
      <c r="C1988">
        <v>80</v>
      </c>
      <c r="D1988">
        <v>79.718605041999993</v>
      </c>
      <c r="E1988">
        <v>50</v>
      </c>
      <c r="F1988">
        <v>49.207618713000002</v>
      </c>
      <c r="G1988">
        <v>1303.5300293</v>
      </c>
      <c r="H1988">
        <v>1291.4208983999999</v>
      </c>
      <c r="I1988">
        <v>1396.8243408000001</v>
      </c>
      <c r="J1988">
        <v>1376.7282714999999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1647.122507</v>
      </c>
      <c r="B1989" s="1">
        <f>DATE(2014,11,3) + TIME(2,56,24)</f>
        <v>41946.122499999998</v>
      </c>
      <c r="C1989">
        <v>80</v>
      </c>
      <c r="D1989">
        <v>79.691490173000005</v>
      </c>
      <c r="E1989">
        <v>50</v>
      </c>
      <c r="F1989">
        <v>49.389152527</v>
      </c>
      <c r="G1989">
        <v>1303.5194091999999</v>
      </c>
      <c r="H1989">
        <v>1291.4102783000001</v>
      </c>
      <c r="I1989">
        <v>1396.6838379000001</v>
      </c>
      <c r="J1989">
        <v>1376.6435547000001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1647.3846060000001</v>
      </c>
      <c r="B1990" s="1">
        <f>DATE(2014,11,3) + TIME(9,13,49)</f>
        <v>41946.384594907409</v>
      </c>
      <c r="C1990">
        <v>80</v>
      </c>
      <c r="D1990">
        <v>79.663543700999995</v>
      </c>
      <c r="E1990">
        <v>50</v>
      </c>
      <c r="F1990">
        <v>49.531654357999997</v>
      </c>
      <c r="G1990">
        <v>1303.5089111</v>
      </c>
      <c r="H1990">
        <v>1291.3995361</v>
      </c>
      <c r="I1990">
        <v>1396.5621338000001</v>
      </c>
      <c r="J1990">
        <v>1376.5666504000001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1647.66011</v>
      </c>
      <c r="B1991" s="1">
        <f>DATE(2014,11,3) + TIME(15,50,33)</f>
        <v>41946.660104166665</v>
      </c>
      <c r="C1991">
        <v>80</v>
      </c>
      <c r="D1991">
        <v>79.634475707999997</v>
      </c>
      <c r="E1991">
        <v>50</v>
      </c>
      <c r="F1991">
        <v>49.643451691000003</v>
      </c>
      <c r="G1991">
        <v>1303.4980469</v>
      </c>
      <c r="H1991">
        <v>1291.3883057</v>
      </c>
      <c r="I1991">
        <v>1396.4549560999999</v>
      </c>
      <c r="J1991">
        <v>1376.4953613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1647.9532429999999</v>
      </c>
      <c r="B1992" s="1">
        <f>DATE(2014,11,3) + TIME(22,52,40)</f>
        <v>41946.953240740739</v>
      </c>
      <c r="C1992">
        <v>80</v>
      </c>
      <c r="D1992">
        <v>79.603965759000005</v>
      </c>
      <c r="E1992">
        <v>50</v>
      </c>
      <c r="F1992">
        <v>49.730838775999999</v>
      </c>
      <c r="G1992">
        <v>1303.4869385</v>
      </c>
      <c r="H1992">
        <v>1291.3765868999999</v>
      </c>
      <c r="I1992">
        <v>1396.3588867000001</v>
      </c>
      <c r="J1992">
        <v>1376.4282227000001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1648.2660880000001</v>
      </c>
      <c r="B1993" s="1">
        <f>DATE(2014,11,4) + TIME(6,23,9)</f>
        <v>41947.266076388885</v>
      </c>
      <c r="C1993">
        <v>80</v>
      </c>
      <c r="D1993">
        <v>79.571846007999994</v>
      </c>
      <c r="E1993">
        <v>50</v>
      </c>
      <c r="F1993">
        <v>49.798187255999999</v>
      </c>
      <c r="G1993">
        <v>1303.4753418</v>
      </c>
      <c r="H1993">
        <v>1291.3641356999999</v>
      </c>
      <c r="I1993">
        <v>1396.2716064000001</v>
      </c>
      <c r="J1993">
        <v>1376.3642577999999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1648.6006339999999</v>
      </c>
      <c r="B1994" s="1">
        <f>DATE(2014,11,4) + TIME(14,24,54)</f>
        <v>41947.600624999999</v>
      </c>
      <c r="C1994">
        <v>80</v>
      </c>
      <c r="D1994">
        <v>79.537948607999994</v>
      </c>
      <c r="E1994">
        <v>50</v>
      </c>
      <c r="F1994">
        <v>49.849254608000003</v>
      </c>
      <c r="G1994">
        <v>1303.4630127</v>
      </c>
      <c r="H1994">
        <v>1291.3509521000001</v>
      </c>
      <c r="I1994">
        <v>1396.1914062000001</v>
      </c>
      <c r="J1994">
        <v>1376.3028564000001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1648.9624699999999</v>
      </c>
      <c r="B1995" s="1">
        <f>DATE(2014,11,4) + TIME(23,5,57)</f>
        <v>41947.962465277778</v>
      </c>
      <c r="C1995">
        <v>80</v>
      </c>
      <c r="D1995">
        <v>79.501876831000004</v>
      </c>
      <c r="E1995">
        <v>50</v>
      </c>
      <c r="F1995">
        <v>49.887546538999999</v>
      </c>
      <c r="G1995">
        <v>1303.4500731999999</v>
      </c>
      <c r="H1995">
        <v>1291.3369141000001</v>
      </c>
      <c r="I1995">
        <v>1396.1166992000001</v>
      </c>
      <c r="J1995">
        <v>1376.2432861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1649.358369</v>
      </c>
      <c r="B1996" s="1">
        <f>DATE(2014,11,5) + TIME(8,36,3)</f>
        <v>41948.358368055553</v>
      </c>
      <c r="C1996">
        <v>80</v>
      </c>
      <c r="D1996">
        <v>79.463111877000003</v>
      </c>
      <c r="E1996">
        <v>50</v>
      </c>
      <c r="F1996">
        <v>49.915824890000003</v>
      </c>
      <c r="G1996">
        <v>1303.4361572</v>
      </c>
      <c r="H1996">
        <v>1291.3217772999999</v>
      </c>
      <c r="I1996">
        <v>1396.0458983999999</v>
      </c>
      <c r="J1996">
        <v>1376.1849365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1649.797262</v>
      </c>
      <c r="B1997" s="1">
        <f>DATE(2014,11,5) + TIME(19,8,3)</f>
        <v>41948.797256944446</v>
      </c>
      <c r="C1997">
        <v>80</v>
      </c>
      <c r="D1997">
        <v>79.421012877999999</v>
      </c>
      <c r="E1997">
        <v>50</v>
      </c>
      <c r="F1997">
        <v>49.936313628999997</v>
      </c>
      <c r="G1997">
        <v>1303.4210204999999</v>
      </c>
      <c r="H1997">
        <v>1291.3052978999999</v>
      </c>
      <c r="I1997">
        <v>1395.9772949000001</v>
      </c>
      <c r="J1997">
        <v>1376.1268310999999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1650.291352</v>
      </c>
      <c r="B1998" s="1">
        <f>DATE(2014,11,6) + TIME(6,59,32)</f>
        <v>41949.291342592594</v>
      </c>
      <c r="C1998">
        <v>80</v>
      </c>
      <c r="D1998">
        <v>79.374732971</v>
      </c>
      <c r="E1998">
        <v>50</v>
      </c>
      <c r="F1998">
        <v>49.950809479</v>
      </c>
      <c r="G1998">
        <v>1303.4045410000001</v>
      </c>
      <c r="H1998">
        <v>1291.2871094</v>
      </c>
      <c r="I1998">
        <v>1395.9095459</v>
      </c>
      <c r="J1998">
        <v>1376.0679932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1650.8124969999999</v>
      </c>
      <c r="B1999" s="1">
        <f>DATE(2014,11,6) + TIME(19,29,59)</f>
        <v>41949.812488425923</v>
      </c>
      <c r="C1999">
        <v>80</v>
      </c>
      <c r="D1999">
        <v>79.325660705999994</v>
      </c>
      <c r="E1999">
        <v>50</v>
      </c>
      <c r="F1999">
        <v>49.960269928000002</v>
      </c>
      <c r="G1999">
        <v>1303.3859863</v>
      </c>
      <c r="H1999">
        <v>1291.2667236</v>
      </c>
      <c r="I1999">
        <v>1395.8415527</v>
      </c>
      <c r="J1999">
        <v>1376.0079346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1651.3400549999999</v>
      </c>
      <c r="B2000" s="1">
        <f>DATE(2014,11,7) + TIME(8,9,40)</f>
        <v>41950.340046296296</v>
      </c>
      <c r="C2000">
        <v>80</v>
      </c>
      <c r="D2000">
        <v>79.275230407999999</v>
      </c>
      <c r="E2000">
        <v>50</v>
      </c>
      <c r="F2000">
        <v>49.966201781999999</v>
      </c>
      <c r="G2000">
        <v>1303.3663329999999</v>
      </c>
      <c r="H2000">
        <v>1291.2453613</v>
      </c>
      <c r="I2000">
        <v>1395.7768555</v>
      </c>
      <c r="J2000">
        <v>1375.9500731999999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1651.8822680000001</v>
      </c>
      <c r="B2001" s="1">
        <f>DATE(2014,11,7) + TIME(21,10,27)</f>
        <v>41950.882256944446</v>
      </c>
      <c r="C2001">
        <v>80</v>
      </c>
      <c r="D2001">
        <v>79.223411560000002</v>
      </c>
      <c r="E2001">
        <v>50</v>
      </c>
      <c r="F2001">
        <v>49.969970703000001</v>
      </c>
      <c r="G2001">
        <v>1303.3466797000001</v>
      </c>
      <c r="H2001">
        <v>1291.2236327999999</v>
      </c>
      <c r="I2001">
        <v>1395.7170410000001</v>
      </c>
      <c r="J2001">
        <v>1375.8963623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1652.446913</v>
      </c>
      <c r="B2002" s="1">
        <f>DATE(2014,11,8) + TIME(10,43,33)</f>
        <v>41951.446909722225</v>
      </c>
      <c r="C2002">
        <v>80</v>
      </c>
      <c r="D2002">
        <v>79.169944763000004</v>
      </c>
      <c r="E2002">
        <v>50</v>
      </c>
      <c r="F2002">
        <v>49.972381591999998</v>
      </c>
      <c r="G2002">
        <v>1303.3266602000001</v>
      </c>
      <c r="H2002">
        <v>1291.2012939000001</v>
      </c>
      <c r="I2002">
        <v>1395.6605225000001</v>
      </c>
      <c r="J2002">
        <v>1375.8453368999999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1653.0420160000001</v>
      </c>
      <c r="B2003" s="1">
        <f>DATE(2014,11,9) + TIME(1,0,30)</f>
        <v>41952.042013888888</v>
      </c>
      <c r="C2003">
        <v>80</v>
      </c>
      <c r="D2003">
        <v>79.114395142000006</v>
      </c>
      <c r="E2003">
        <v>50</v>
      </c>
      <c r="F2003">
        <v>49.973934174</v>
      </c>
      <c r="G2003">
        <v>1303.3059082</v>
      </c>
      <c r="H2003">
        <v>1291.1781006000001</v>
      </c>
      <c r="I2003">
        <v>1395.6060791</v>
      </c>
      <c r="J2003">
        <v>1375.7962646000001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1653.6769340000001</v>
      </c>
      <c r="B2004" s="1">
        <f>DATE(2014,11,9) + TIME(16,14,47)</f>
        <v>41952.676932870374</v>
      </c>
      <c r="C2004">
        <v>80</v>
      </c>
      <c r="D2004">
        <v>79.056167603000006</v>
      </c>
      <c r="E2004">
        <v>50</v>
      </c>
      <c r="F2004">
        <v>49.974937439000001</v>
      </c>
      <c r="G2004">
        <v>1303.2840576000001</v>
      </c>
      <c r="H2004">
        <v>1291.1536865</v>
      </c>
      <c r="I2004">
        <v>1395.5528564000001</v>
      </c>
      <c r="J2004">
        <v>1375.7481689000001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1654.363153</v>
      </c>
      <c r="B2005" s="1">
        <f>DATE(2014,11,10) + TIME(8,42,56)</f>
        <v>41953.36314814815</v>
      </c>
      <c r="C2005">
        <v>80</v>
      </c>
      <c r="D2005">
        <v>78.994522094999994</v>
      </c>
      <c r="E2005">
        <v>50</v>
      </c>
      <c r="F2005">
        <v>49.975589751999998</v>
      </c>
      <c r="G2005">
        <v>1303.2608643000001</v>
      </c>
      <c r="H2005">
        <v>1291.1276855000001</v>
      </c>
      <c r="I2005">
        <v>1395.5</v>
      </c>
      <c r="J2005">
        <v>1375.7004394999999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1655.1077620000001</v>
      </c>
      <c r="B2006" s="1">
        <f>DATE(2014,11,11) + TIME(2,35,10)</f>
        <v>41954.107754629629</v>
      </c>
      <c r="C2006">
        <v>80</v>
      </c>
      <c r="D2006">
        <v>78.928840636999993</v>
      </c>
      <c r="E2006">
        <v>50</v>
      </c>
      <c r="F2006">
        <v>49.976013184000003</v>
      </c>
      <c r="G2006">
        <v>1303.2358397999999</v>
      </c>
      <c r="H2006">
        <v>1291.0996094</v>
      </c>
      <c r="I2006">
        <v>1395.4468993999999</v>
      </c>
      <c r="J2006">
        <v>1375.6524658000001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1655.915561</v>
      </c>
      <c r="B2007" s="1">
        <f>DATE(2014,11,11) + TIME(21,58,24)</f>
        <v>41954.915555555555</v>
      </c>
      <c r="C2007">
        <v>80</v>
      </c>
      <c r="D2007">
        <v>78.858642578000001</v>
      </c>
      <c r="E2007">
        <v>50</v>
      </c>
      <c r="F2007">
        <v>49.976291656000001</v>
      </c>
      <c r="G2007">
        <v>1303.2087402</v>
      </c>
      <c r="H2007">
        <v>1291.0690918</v>
      </c>
      <c r="I2007">
        <v>1395.3930664</v>
      </c>
      <c r="J2007">
        <v>1375.604126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1656.7593460000001</v>
      </c>
      <c r="B2008" s="1">
        <f>DATE(2014,11,12) + TIME(18,13,27)</f>
        <v>41955.759340277778</v>
      </c>
      <c r="C2008">
        <v>80</v>
      </c>
      <c r="D2008">
        <v>78.784904479999994</v>
      </c>
      <c r="E2008">
        <v>50</v>
      </c>
      <c r="F2008">
        <v>49.976470947000003</v>
      </c>
      <c r="G2008">
        <v>1303.1791992000001</v>
      </c>
      <c r="H2008">
        <v>1291.0360106999999</v>
      </c>
      <c r="I2008">
        <v>1395.3388672000001</v>
      </c>
      <c r="J2008">
        <v>1375.5552978999999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1657.611169</v>
      </c>
      <c r="B2009" s="1">
        <f>DATE(2014,11,13) + TIME(14,40,4)</f>
        <v>41956.611157407409</v>
      </c>
      <c r="C2009">
        <v>80</v>
      </c>
      <c r="D2009">
        <v>78.709381104000002</v>
      </c>
      <c r="E2009">
        <v>50</v>
      </c>
      <c r="F2009">
        <v>49.976585387999997</v>
      </c>
      <c r="G2009">
        <v>1303.1483154</v>
      </c>
      <c r="H2009">
        <v>1291.0014647999999</v>
      </c>
      <c r="I2009">
        <v>1395.2860106999999</v>
      </c>
      <c r="J2009">
        <v>1375.5078125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1658.4833920000001</v>
      </c>
      <c r="B2010" s="1">
        <f>DATE(2014,11,14) + TIME(11,36,5)</f>
        <v>41957.483391203707</v>
      </c>
      <c r="C2010">
        <v>80</v>
      </c>
      <c r="D2010">
        <v>78.632446289000001</v>
      </c>
      <c r="E2010">
        <v>50</v>
      </c>
      <c r="F2010">
        <v>49.976661682</v>
      </c>
      <c r="G2010">
        <v>1303.1171875</v>
      </c>
      <c r="H2010">
        <v>1290.9663086</v>
      </c>
      <c r="I2010">
        <v>1395.2362060999999</v>
      </c>
      <c r="J2010">
        <v>1375.4632568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1659.3881329999999</v>
      </c>
      <c r="B2011" s="1">
        <f>DATE(2014,11,15) + TIME(9,18,54)</f>
        <v>41958.388124999998</v>
      </c>
      <c r="C2011">
        <v>80</v>
      </c>
      <c r="D2011">
        <v>78.553794861</v>
      </c>
      <c r="E2011">
        <v>50</v>
      </c>
      <c r="F2011">
        <v>49.976715087999999</v>
      </c>
      <c r="G2011">
        <v>1303.0853271000001</v>
      </c>
      <c r="H2011">
        <v>1290.9301757999999</v>
      </c>
      <c r="I2011">
        <v>1395.1884766000001</v>
      </c>
      <c r="J2011">
        <v>1375.4204102000001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1660.3381010000001</v>
      </c>
      <c r="B2012" s="1">
        <f>DATE(2014,11,16) + TIME(8,6,51)</f>
        <v>41959.338090277779</v>
      </c>
      <c r="C2012">
        <v>80</v>
      </c>
      <c r="D2012">
        <v>78.472770690999994</v>
      </c>
      <c r="E2012">
        <v>50</v>
      </c>
      <c r="F2012">
        <v>49.976753234999997</v>
      </c>
      <c r="G2012">
        <v>1303.052124</v>
      </c>
      <c r="H2012">
        <v>1290.8924560999999</v>
      </c>
      <c r="I2012">
        <v>1395.1418457</v>
      </c>
      <c r="J2012">
        <v>1375.3786620999999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1661.348129</v>
      </c>
      <c r="B2013" s="1">
        <f>DATE(2014,11,17) + TIME(8,21,18)</f>
        <v>41960.348124999997</v>
      </c>
      <c r="C2013">
        <v>80</v>
      </c>
      <c r="D2013">
        <v>78.388465881000002</v>
      </c>
      <c r="E2013">
        <v>50</v>
      </c>
      <c r="F2013">
        <v>49.976787567000002</v>
      </c>
      <c r="G2013">
        <v>1303.0173339999999</v>
      </c>
      <c r="H2013">
        <v>1290.8527832</v>
      </c>
      <c r="I2013">
        <v>1395.0958252</v>
      </c>
      <c r="J2013">
        <v>1375.3375243999999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1662.4365210000001</v>
      </c>
      <c r="B2014" s="1">
        <f>DATE(2014,11,18) + TIME(10,28,35)</f>
        <v>41961.436516203707</v>
      </c>
      <c r="C2014">
        <v>80</v>
      </c>
      <c r="D2014">
        <v>78.299766540999997</v>
      </c>
      <c r="E2014">
        <v>50</v>
      </c>
      <c r="F2014">
        <v>49.976814269999998</v>
      </c>
      <c r="G2014">
        <v>1302.9801024999999</v>
      </c>
      <c r="H2014">
        <v>1290.8103027</v>
      </c>
      <c r="I2014">
        <v>1395.0495605000001</v>
      </c>
      <c r="J2014">
        <v>1375.2962646000001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1663.6270199999999</v>
      </c>
      <c r="B2015" s="1">
        <f>DATE(2014,11,19) + TIME(15,2,54)</f>
        <v>41962.627013888887</v>
      </c>
      <c r="C2015">
        <v>80</v>
      </c>
      <c r="D2015">
        <v>78.205238342000001</v>
      </c>
      <c r="E2015">
        <v>50</v>
      </c>
      <c r="F2015">
        <v>49.976837158000002</v>
      </c>
      <c r="G2015">
        <v>1302.9398193</v>
      </c>
      <c r="H2015">
        <v>1290.7644043</v>
      </c>
      <c r="I2015">
        <v>1395.0026855000001</v>
      </c>
      <c r="J2015">
        <v>1375.2542725000001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1664.825572</v>
      </c>
      <c r="B2016" s="1">
        <f>DATE(2014,11,20) + TIME(19,48,49)</f>
        <v>41963.825567129628</v>
      </c>
      <c r="C2016">
        <v>80</v>
      </c>
      <c r="D2016">
        <v>78.107154846</v>
      </c>
      <c r="E2016">
        <v>50</v>
      </c>
      <c r="F2016">
        <v>49.976856232000003</v>
      </c>
      <c r="G2016">
        <v>1302.8952637</v>
      </c>
      <c r="H2016">
        <v>1290.7138672000001</v>
      </c>
      <c r="I2016">
        <v>1394.9542236</v>
      </c>
      <c r="J2016">
        <v>1375.2109375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1666.041839</v>
      </c>
      <c r="B2017" s="1">
        <f>DATE(2014,11,22) + TIME(1,0,14)</f>
        <v>41965.041828703703</v>
      </c>
      <c r="C2017">
        <v>80</v>
      </c>
      <c r="D2017">
        <v>78.007553100999999</v>
      </c>
      <c r="E2017">
        <v>50</v>
      </c>
      <c r="F2017">
        <v>49.976875305</v>
      </c>
      <c r="G2017">
        <v>1302.8500977000001</v>
      </c>
      <c r="H2017">
        <v>1290.6622314000001</v>
      </c>
      <c r="I2017">
        <v>1394.9083252</v>
      </c>
      <c r="J2017">
        <v>1375.1699219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1667.2932350000001</v>
      </c>
      <c r="B2018" s="1">
        <f>DATE(2014,11,23) + TIME(7,2,15)</f>
        <v>41966.293229166666</v>
      </c>
      <c r="C2018">
        <v>80</v>
      </c>
      <c r="D2018">
        <v>77.906593322999996</v>
      </c>
      <c r="E2018">
        <v>50</v>
      </c>
      <c r="F2018">
        <v>49.976890564000001</v>
      </c>
      <c r="G2018">
        <v>1302.8039550999999</v>
      </c>
      <c r="H2018">
        <v>1290.6092529</v>
      </c>
      <c r="I2018">
        <v>1394.8642577999999</v>
      </c>
      <c r="J2018">
        <v>1375.1304932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1668.5974450000001</v>
      </c>
      <c r="B2019" s="1">
        <f>DATE(2014,11,24) + TIME(14,20,19)</f>
        <v>41967.597442129627</v>
      </c>
      <c r="C2019">
        <v>80</v>
      </c>
      <c r="D2019">
        <v>77.803565978999998</v>
      </c>
      <c r="E2019">
        <v>50</v>
      </c>
      <c r="F2019">
        <v>49.976909636999999</v>
      </c>
      <c r="G2019">
        <v>1302.7561035000001</v>
      </c>
      <c r="H2019">
        <v>1290.5540771000001</v>
      </c>
      <c r="I2019">
        <v>1394.8212891000001</v>
      </c>
      <c r="J2019">
        <v>1375.0920410000001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1669.974103</v>
      </c>
      <c r="B2020" s="1">
        <f>DATE(2014,11,25) + TIME(23,22,42)</f>
        <v>41968.974097222221</v>
      </c>
      <c r="C2020">
        <v>80</v>
      </c>
      <c r="D2020">
        <v>77.697372436999999</v>
      </c>
      <c r="E2020">
        <v>50</v>
      </c>
      <c r="F2020">
        <v>49.976928710999999</v>
      </c>
      <c r="G2020">
        <v>1302.7056885</v>
      </c>
      <c r="H2020">
        <v>1290.4959716999999</v>
      </c>
      <c r="I2020">
        <v>1394.7788086</v>
      </c>
      <c r="J2020">
        <v>1375.0539550999999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1671.445117</v>
      </c>
      <c r="B2021" s="1">
        <f>DATE(2014,11,27) + TIME(10,40,58)</f>
        <v>41970.445115740738</v>
      </c>
      <c r="C2021">
        <v>80</v>
      </c>
      <c r="D2021">
        <v>77.586692810000002</v>
      </c>
      <c r="E2021">
        <v>50</v>
      </c>
      <c r="F2021">
        <v>49.976951599000003</v>
      </c>
      <c r="G2021">
        <v>1302.6518555</v>
      </c>
      <c r="H2021">
        <v>1290.4337158000001</v>
      </c>
      <c r="I2021">
        <v>1394.7362060999999</v>
      </c>
      <c r="J2021">
        <v>1375.0157471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1673.019884</v>
      </c>
      <c r="B2022" s="1">
        <f>DATE(2014,11,29) + TIME(0,28,37)</f>
        <v>41972.019872685189</v>
      </c>
      <c r="C2022">
        <v>80</v>
      </c>
      <c r="D2022">
        <v>77.470436096</v>
      </c>
      <c r="E2022">
        <v>50</v>
      </c>
      <c r="F2022">
        <v>49.976970672999997</v>
      </c>
      <c r="G2022">
        <v>1302.59375</v>
      </c>
      <c r="H2022">
        <v>1290.3663329999999</v>
      </c>
      <c r="I2022">
        <v>1394.6929932</v>
      </c>
      <c r="J2022">
        <v>1374.9768065999999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1674.623879</v>
      </c>
      <c r="B2023" s="1">
        <f>DATE(2014,11,30) + TIME(14,58,23)</f>
        <v>41973.623877314814</v>
      </c>
      <c r="C2023">
        <v>80</v>
      </c>
      <c r="D2023">
        <v>77.350028992000006</v>
      </c>
      <c r="E2023">
        <v>50</v>
      </c>
      <c r="F2023">
        <v>49.976993561</v>
      </c>
      <c r="G2023">
        <v>1302.5303954999999</v>
      </c>
      <c r="H2023">
        <v>1290.2929687999999</v>
      </c>
      <c r="I2023">
        <v>1394.6489257999999</v>
      </c>
      <c r="J2023">
        <v>1374.9371338000001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1675</v>
      </c>
      <c r="B2024" s="1">
        <f>DATE(2014,12,1) + TIME(0,0,0)</f>
        <v>41974</v>
      </c>
      <c r="C2024">
        <v>80</v>
      </c>
      <c r="D2024">
        <v>77.293449401999993</v>
      </c>
      <c r="E2024">
        <v>50</v>
      </c>
      <c r="F2024">
        <v>49.976993561</v>
      </c>
      <c r="G2024">
        <v>1302.4636230000001</v>
      </c>
      <c r="H2024">
        <v>1290.2219238</v>
      </c>
      <c r="I2024">
        <v>1394.6060791</v>
      </c>
      <c r="J2024">
        <v>1374.8985596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1676.6229619999999</v>
      </c>
      <c r="B2025" s="1">
        <f>DATE(2014,12,2) + TIME(14,57,3)</f>
        <v>41975.62295138889</v>
      </c>
      <c r="C2025">
        <v>80</v>
      </c>
      <c r="D2025">
        <v>77.189842224000003</v>
      </c>
      <c r="E2025">
        <v>50</v>
      </c>
      <c r="F2025">
        <v>49.977020263999997</v>
      </c>
      <c r="G2025">
        <v>1302.4484863</v>
      </c>
      <c r="H2025">
        <v>1290.1964111</v>
      </c>
      <c r="I2025">
        <v>1394.5966797000001</v>
      </c>
      <c r="J2025">
        <v>1374.8896483999999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1678.301653</v>
      </c>
      <c r="B2026" s="1">
        <f>DATE(2014,12,4) + TIME(7,14,22)</f>
        <v>41977.30164351852</v>
      </c>
      <c r="C2026">
        <v>80</v>
      </c>
      <c r="D2026">
        <v>77.073204040999997</v>
      </c>
      <c r="E2026">
        <v>50</v>
      </c>
      <c r="F2026">
        <v>49.977043152</v>
      </c>
      <c r="G2026">
        <v>1302.3812256000001</v>
      </c>
      <c r="H2026">
        <v>1290.1185303</v>
      </c>
      <c r="I2026">
        <v>1394.5561522999999</v>
      </c>
      <c r="J2026">
        <v>1374.8529053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1680.049614</v>
      </c>
      <c r="B2027" s="1">
        <f>DATE(2014,12,6) + TIME(1,11,26)</f>
        <v>41979.04960648148</v>
      </c>
      <c r="C2027">
        <v>80</v>
      </c>
      <c r="D2027">
        <v>76.950027465999995</v>
      </c>
      <c r="E2027">
        <v>50</v>
      </c>
      <c r="F2027">
        <v>49.977069855000003</v>
      </c>
      <c r="G2027">
        <v>1302.3099365</v>
      </c>
      <c r="H2027">
        <v>1290.0350341999999</v>
      </c>
      <c r="I2027">
        <v>1394.5161132999999</v>
      </c>
      <c r="J2027">
        <v>1374.8164062000001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1681.8930009999999</v>
      </c>
      <c r="B2028" s="1">
        <f>DATE(2014,12,7) + TIME(21,25,55)</f>
        <v>41980.892997685187</v>
      </c>
      <c r="C2028">
        <v>80</v>
      </c>
      <c r="D2028">
        <v>76.821800232000001</v>
      </c>
      <c r="E2028">
        <v>50</v>
      </c>
      <c r="F2028">
        <v>49.977096558</v>
      </c>
      <c r="G2028">
        <v>1302.2341309000001</v>
      </c>
      <c r="H2028">
        <v>1289.9460449000001</v>
      </c>
      <c r="I2028">
        <v>1394.4760742000001</v>
      </c>
      <c r="J2028">
        <v>1374.7797852000001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1683.736388</v>
      </c>
      <c r="B2029" s="1">
        <f>DATE(2014,12,9) + TIME(17,40,23)</f>
        <v>41982.736377314817</v>
      </c>
      <c r="C2029">
        <v>80</v>
      </c>
      <c r="D2029">
        <v>76.690612793</v>
      </c>
      <c r="E2029">
        <v>50</v>
      </c>
      <c r="F2029">
        <v>49.977123259999999</v>
      </c>
      <c r="G2029">
        <v>1302.1525879000001</v>
      </c>
      <c r="H2029">
        <v>1289.8499756000001</v>
      </c>
      <c r="I2029">
        <v>1394.4357910000001</v>
      </c>
      <c r="J2029">
        <v>1374.7427978999999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1685.783899</v>
      </c>
      <c r="B2030" s="1">
        <f>DATE(2014,12,11) + TIME(18,48,48)</f>
        <v>41984.783888888887</v>
      </c>
      <c r="C2030">
        <v>80</v>
      </c>
      <c r="D2030">
        <v>76.555328368999994</v>
      </c>
      <c r="E2030">
        <v>50</v>
      </c>
      <c r="F2030">
        <v>49.977149963000002</v>
      </c>
      <c r="G2030">
        <v>1302.0690918</v>
      </c>
      <c r="H2030">
        <v>1289.7506103999999</v>
      </c>
      <c r="I2030">
        <v>1394.3973389</v>
      </c>
      <c r="J2030">
        <v>1374.7071533000001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1687.8488560000001</v>
      </c>
      <c r="B2031" s="1">
        <f>DATE(2014,12,13) + TIME(20,22,21)</f>
        <v>41986.848854166667</v>
      </c>
      <c r="C2031">
        <v>80</v>
      </c>
      <c r="D2031">
        <v>76.414016724000007</v>
      </c>
      <c r="E2031">
        <v>50</v>
      </c>
      <c r="F2031">
        <v>49.977180480999998</v>
      </c>
      <c r="G2031">
        <v>1301.9744873</v>
      </c>
      <c r="H2031">
        <v>1289.6384277</v>
      </c>
      <c r="I2031">
        <v>1394.3562012</v>
      </c>
      <c r="J2031">
        <v>1374.6690673999999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1689.9579550000001</v>
      </c>
      <c r="B2032" s="1">
        <f>DATE(2014,12,15) + TIME(22,59,27)</f>
        <v>41988.957951388889</v>
      </c>
      <c r="C2032">
        <v>80</v>
      </c>
      <c r="D2032">
        <v>76.270881653000004</v>
      </c>
      <c r="E2032">
        <v>50</v>
      </c>
      <c r="F2032">
        <v>49.977210999</v>
      </c>
      <c r="G2032">
        <v>1301.8764647999999</v>
      </c>
      <c r="H2032">
        <v>1289.5213623</v>
      </c>
      <c r="I2032">
        <v>1394.3165283000001</v>
      </c>
      <c r="J2032">
        <v>1374.6319579999999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1692.067055</v>
      </c>
      <c r="B2033" s="1">
        <f>DATE(2014,12,18) + TIME(1,36,33)</f>
        <v>41991.067048611112</v>
      </c>
      <c r="C2033">
        <v>80</v>
      </c>
      <c r="D2033">
        <v>76.127281189000001</v>
      </c>
      <c r="E2033">
        <v>50</v>
      </c>
      <c r="F2033">
        <v>49.977241515999999</v>
      </c>
      <c r="G2033">
        <v>1301.7735596</v>
      </c>
      <c r="H2033">
        <v>1289.3980713000001</v>
      </c>
      <c r="I2033">
        <v>1394.2777100000001</v>
      </c>
      <c r="J2033">
        <v>1374.5954589999999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1694.1761550000001</v>
      </c>
      <c r="B2034" s="1">
        <f>DATE(2014,12,20) + TIME(4,13,39)</f>
        <v>41993.176145833335</v>
      </c>
      <c r="C2034">
        <v>80</v>
      </c>
      <c r="D2034">
        <v>75.984802246000001</v>
      </c>
      <c r="E2034">
        <v>50</v>
      </c>
      <c r="F2034">
        <v>49.977272034000002</v>
      </c>
      <c r="G2034">
        <v>1301.6679687999999</v>
      </c>
      <c r="H2034">
        <v>1289.2707519999999</v>
      </c>
      <c r="I2034">
        <v>1394.2403564000001</v>
      </c>
      <c r="J2034">
        <v>1374.5600586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1696.285255</v>
      </c>
      <c r="B2035" s="1">
        <f>DATE(2014,12,22) + TIME(6,50,46)</f>
        <v>41995.285254629627</v>
      </c>
      <c r="C2035">
        <v>80</v>
      </c>
      <c r="D2035">
        <v>75.843803406000006</v>
      </c>
      <c r="E2035">
        <v>50</v>
      </c>
      <c r="F2035">
        <v>49.977306366000001</v>
      </c>
      <c r="G2035">
        <v>1301.5594481999999</v>
      </c>
      <c r="H2035">
        <v>1289.1394043</v>
      </c>
      <c r="I2035">
        <v>1394.2044678</v>
      </c>
      <c r="J2035">
        <v>1374.5258789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1698.635168</v>
      </c>
      <c r="B2036" s="1">
        <f>DATE(2014,12,24) + TIME(15,14,38)</f>
        <v>41997.635162037041</v>
      </c>
      <c r="C2036">
        <v>80</v>
      </c>
      <c r="D2036">
        <v>75.699958800999994</v>
      </c>
      <c r="E2036">
        <v>50</v>
      </c>
      <c r="F2036">
        <v>49.977340697999999</v>
      </c>
      <c r="G2036">
        <v>1301.4479980000001</v>
      </c>
      <c r="H2036">
        <v>1289.003418</v>
      </c>
      <c r="I2036">
        <v>1394.1697998</v>
      </c>
      <c r="J2036">
        <v>1374.4925536999999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1700.985081</v>
      </c>
      <c r="B2037" s="1">
        <f>DATE(2014,12,26) + TIME(23,38,31)</f>
        <v>41999.985081018516</v>
      </c>
      <c r="C2037">
        <v>80</v>
      </c>
      <c r="D2037">
        <v>75.549362183</v>
      </c>
      <c r="E2037">
        <v>50</v>
      </c>
      <c r="F2037">
        <v>49.977375031000001</v>
      </c>
      <c r="G2037">
        <v>1301.3214111</v>
      </c>
      <c r="H2037">
        <v>1288.8493652</v>
      </c>
      <c r="I2037">
        <v>1394.1325684000001</v>
      </c>
      <c r="J2037">
        <v>1374.456543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1703.4316799999999</v>
      </c>
      <c r="B2038" s="1">
        <f>DATE(2014,12,29) + TIME(10,21,37)</f>
        <v>42002.43167824074</v>
      </c>
      <c r="C2038">
        <v>80</v>
      </c>
      <c r="D2038">
        <v>75.396392821999996</v>
      </c>
      <c r="E2038">
        <v>50</v>
      </c>
      <c r="F2038">
        <v>49.977413177000003</v>
      </c>
      <c r="G2038">
        <v>1301.1904297000001</v>
      </c>
      <c r="H2038">
        <v>1288.6885986</v>
      </c>
      <c r="I2038">
        <v>1394.0965576000001</v>
      </c>
      <c r="J2038">
        <v>1374.4216309000001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1706</v>
      </c>
      <c r="B2039" s="1">
        <f>DATE(2015,1,1) + TIME(0,0,0)</f>
        <v>42005</v>
      </c>
      <c r="C2039">
        <v>80</v>
      </c>
      <c r="D2039">
        <v>75.238899231000005</v>
      </c>
      <c r="E2039">
        <v>50</v>
      </c>
      <c r="F2039">
        <v>49.977451324</v>
      </c>
      <c r="G2039">
        <v>1301.0504149999999</v>
      </c>
      <c r="H2039">
        <v>1288.5159911999999</v>
      </c>
      <c r="I2039">
        <v>1394.0604248</v>
      </c>
      <c r="J2039">
        <v>1374.3861084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1708.4465990000001</v>
      </c>
      <c r="B2040" s="1">
        <f>DATE(2015,1,3) + TIME(10,43,6)</f>
        <v>42007.446597222224</v>
      </c>
      <c r="C2040">
        <v>80</v>
      </c>
      <c r="D2040">
        <v>75.079414368000002</v>
      </c>
      <c r="E2040">
        <v>50</v>
      </c>
      <c r="F2040">
        <v>49.977485657000003</v>
      </c>
      <c r="G2040">
        <v>1300.8994141000001</v>
      </c>
      <c r="H2040">
        <v>1288.3295897999999</v>
      </c>
      <c r="I2040">
        <v>1394.0238036999999</v>
      </c>
      <c r="J2040">
        <v>1374.3498535000001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1711.06789</v>
      </c>
      <c r="B2041" s="1">
        <f>DATE(2015,1,6) + TIME(1,37,45)</f>
        <v>42010.067881944444</v>
      </c>
      <c r="C2041">
        <v>80</v>
      </c>
      <c r="D2041">
        <v>74.921073914000004</v>
      </c>
      <c r="E2041">
        <v>50</v>
      </c>
      <c r="F2041">
        <v>49.977527618000003</v>
      </c>
      <c r="G2041">
        <v>1300.75</v>
      </c>
      <c r="H2041">
        <v>1288.1429443</v>
      </c>
      <c r="I2041">
        <v>1393.9901123</v>
      </c>
      <c r="J2041">
        <v>1374.3161620999999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1713.689181</v>
      </c>
      <c r="B2042" s="1">
        <f>DATE(2015,1,8) + TIME(16,32,25)</f>
        <v>42012.68917824074</v>
      </c>
      <c r="C2042">
        <v>80</v>
      </c>
      <c r="D2042">
        <v>74.758186339999995</v>
      </c>
      <c r="E2042">
        <v>50</v>
      </c>
      <c r="F2042">
        <v>49.977565765000001</v>
      </c>
      <c r="G2042">
        <v>1300.5866699000001</v>
      </c>
      <c r="H2042">
        <v>1287.9392089999999</v>
      </c>
      <c r="I2042">
        <v>1393.9550781</v>
      </c>
      <c r="J2042">
        <v>1374.2808838000001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1716.4046080000001</v>
      </c>
      <c r="B2043" s="1">
        <f>DATE(2015,1,11) + TIME(9,42,38)</f>
        <v>42015.404606481483</v>
      </c>
      <c r="C2043">
        <v>80</v>
      </c>
      <c r="D2043">
        <v>74.593132018999995</v>
      </c>
      <c r="E2043">
        <v>50</v>
      </c>
      <c r="F2043">
        <v>49.977607726999999</v>
      </c>
      <c r="G2043">
        <v>1300.4179687999999</v>
      </c>
      <c r="H2043">
        <v>1287.7269286999999</v>
      </c>
      <c r="I2043">
        <v>1393.9211425999999</v>
      </c>
      <c r="J2043">
        <v>1374.2464600000001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1719.157015</v>
      </c>
      <c r="B2044" s="1">
        <f>DATE(2015,1,14) + TIME(3,46,6)</f>
        <v>42018.157013888886</v>
      </c>
      <c r="C2044">
        <v>80</v>
      </c>
      <c r="D2044">
        <v>74.424163817999997</v>
      </c>
      <c r="E2044">
        <v>50</v>
      </c>
      <c r="F2044">
        <v>49.977649689000003</v>
      </c>
      <c r="G2044">
        <v>1300.2386475000001</v>
      </c>
      <c r="H2044">
        <v>1287.5006103999999</v>
      </c>
      <c r="I2044">
        <v>1393.8869629000001</v>
      </c>
      <c r="J2044">
        <v>1374.2116699000001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1721.9094219999999</v>
      </c>
      <c r="B2045" s="1">
        <f>DATE(2015,1,16) + TIME(21,49,34)</f>
        <v>42020.909421296295</v>
      </c>
      <c r="C2045">
        <v>80</v>
      </c>
      <c r="D2045">
        <v>74.252967834000003</v>
      </c>
      <c r="E2045">
        <v>50</v>
      </c>
      <c r="F2045">
        <v>49.977687836000001</v>
      </c>
      <c r="G2045">
        <v>1300.0513916</v>
      </c>
      <c r="H2045">
        <v>1287.2631836</v>
      </c>
      <c r="I2045">
        <v>1393.8535156</v>
      </c>
      <c r="J2045">
        <v>1374.1770019999999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1724.661828</v>
      </c>
      <c r="B2046" s="1">
        <f>DATE(2015,1,19) + TIME(15,53,1)</f>
        <v>42023.661817129629</v>
      </c>
      <c r="C2046">
        <v>80</v>
      </c>
      <c r="D2046">
        <v>74.080886840999995</v>
      </c>
      <c r="E2046">
        <v>50</v>
      </c>
      <c r="F2046">
        <v>49.977729797000002</v>
      </c>
      <c r="G2046">
        <v>1299.8586425999999</v>
      </c>
      <c r="H2046">
        <v>1287.0174560999999</v>
      </c>
      <c r="I2046">
        <v>1393.8209228999999</v>
      </c>
      <c r="J2046">
        <v>1374.1431885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1727.414235</v>
      </c>
      <c r="B2047" s="1">
        <f>DATE(2015,1,22) + TIME(9,56,29)</f>
        <v>42026.414224537039</v>
      </c>
      <c r="C2047">
        <v>80</v>
      </c>
      <c r="D2047">
        <v>73.907951354999994</v>
      </c>
      <c r="E2047">
        <v>50</v>
      </c>
      <c r="F2047">
        <v>49.977771758999999</v>
      </c>
      <c r="G2047">
        <v>1299.6606445</v>
      </c>
      <c r="H2047">
        <v>1286.7636719</v>
      </c>
      <c r="I2047">
        <v>1393.7891846</v>
      </c>
      <c r="J2047">
        <v>1374.1098632999999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1730.1666419999999</v>
      </c>
      <c r="B2048" s="1">
        <f>DATE(2015,1,25) + TIME(3,59,57)</f>
        <v>42029.166631944441</v>
      </c>
      <c r="C2048">
        <v>80</v>
      </c>
      <c r="D2048">
        <v>73.733901978000006</v>
      </c>
      <c r="E2048">
        <v>50</v>
      </c>
      <c r="F2048">
        <v>49.977813720999997</v>
      </c>
      <c r="G2048">
        <v>1299.4573975000001</v>
      </c>
      <c r="H2048">
        <v>1286.5019531</v>
      </c>
      <c r="I2048">
        <v>1393.7583007999999</v>
      </c>
      <c r="J2048">
        <v>1374.0772704999999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1732.9190490000001</v>
      </c>
      <c r="B2049" s="1">
        <f>DATE(2015,1,27) + TIME(22,3,25)</f>
        <v>42031.919039351851</v>
      </c>
      <c r="C2049">
        <v>80</v>
      </c>
      <c r="D2049">
        <v>73.558380127000007</v>
      </c>
      <c r="E2049">
        <v>50</v>
      </c>
      <c r="F2049">
        <v>49.977855681999998</v>
      </c>
      <c r="G2049">
        <v>1299.2490233999999</v>
      </c>
      <c r="H2049">
        <v>1286.2324219</v>
      </c>
      <c r="I2049">
        <v>1393.7281493999999</v>
      </c>
      <c r="J2049">
        <v>1374.0451660000001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1735.671456</v>
      </c>
      <c r="B2050" s="1">
        <f>DATE(2015,1,30) + TIME(16,6,53)</f>
        <v>42034.671446759261</v>
      </c>
      <c r="C2050">
        <v>80</v>
      </c>
      <c r="D2050">
        <v>73.381034850999995</v>
      </c>
      <c r="E2050">
        <v>50</v>
      </c>
      <c r="F2050">
        <v>49.977897644000002</v>
      </c>
      <c r="G2050">
        <v>1299.0356445</v>
      </c>
      <c r="H2050">
        <v>1285.9552002</v>
      </c>
      <c r="I2050">
        <v>1393.6987305</v>
      </c>
      <c r="J2050">
        <v>1374.0136719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1737</v>
      </c>
      <c r="B2051" s="1">
        <f>DATE(2015,2,1) + TIME(0,0,0)</f>
        <v>42036</v>
      </c>
      <c r="C2051">
        <v>80</v>
      </c>
      <c r="D2051">
        <v>73.237937927000004</v>
      </c>
      <c r="E2051">
        <v>50</v>
      </c>
      <c r="F2051">
        <v>49.977916718000003</v>
      </c>
      <c r="G2051">
        <v>1298.8222656</v>
      </c>
      <c r="H2051">
        <v>1285.6834716999999</v>
      </c>
      <c r="I2051">
        <v>1393.6694336</v>
      </c>
      <c r="J2051">
        <v>1373.9824219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1740.0298089999999</v>
      </c>
      <c r="B2052" s="1">
        <f>DATE(2015,2,4) + TIME(0,42,55)</f>
        <v>42039.029803240737</v>
      </c>
      <c r="C2052">
        <v>80</v>
      </c>
      <c r="D2052">
        <v>73.096908568999993</v>
      </c>
      <c r="E2052">
        <v>50</v>
      </c>
      <c r="F2052">
        <v>49.977962494000003</v>
      </c>
      <c r="G2052">
        <v>1298.6988524999999</v>
      </c>
      <c r="H2052">
        <v>1285.5108643000001</v>
      </c>
      <c r="I2052">
        <v>1393.6563721</v>
      </c>
      <c r="J2052">
        <v>1373.9672852000001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1743.0596169999999</v>
      </c>
      <c r="B2053" s="1">
        <f>DATE(2015,2,7) + TIME(1,25,50)</f>
        <v>42042.059606481482</v>
      </c>
      <c r="C2053">
        <v>80</v>
      </c>
      <c r="D2053">
        <v>72.907691955999994</v>
      </c>
      <c r="E2053">
        <v>50</v>
      </c>
      <c r="F2053">
        <v>49.978004456000001</v>
      </c>
      <c r="G2053">
        <v>1298.4617920000001</v>
      </c>
      <c r="H2053">
        <v>1285.203125</v>
      </c>
      <c r="I2053">
        <v>1393.6256103999999</v>
      </c>
      <c r="J2053">
        <v>1373.9344481999999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1746.089426</v>
      </c>
      <c r="B2054" s="1">
        <f>DATE(2015,2,10) + TIME(2,8,46)</f>
        <v>42045.089421296296</v>
      </c>
      <c r="C2054">
        <v>80</v>
      </c>
      <c r="D2054">
        <v>72.704742432000003</v>
      </c>
      <c r="E2054">
        <v>50</v>
      </c>
      <c r="F2054">
        <v>49.978050232000001</v>
      </c>
      <c r="G2054">
        <v>1298.2105713000001</v>
      </c>
      <c r="H2054">
        <v>1284.8725586</v>
      </c>
      <c r="I2054">
        <v>1393.5955810999999</v>
      </c>
      <c r="J2054">
        <v>1373.9017334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1749.119234</v>
      </c>
      <c r="B2055" s="1">
        <f>DATE(2015,2,13) + TIME(2,51,41)</f>
        <v>42048.11922453704</v>
      </c>
      <c r="C2055">
        <v>80</v>
      </c>
      <c r="D2055">
        <v>72.495330811000002</v>
      </c>
      <c r="E2055">
        <v>50</v>
      </c>
      <c r="F2055">
        <v>49.978096008000001</v>
      </c>
      <c r="G2055">
        <v>1297.9521483999999</v>
      </c>
      <c r="H2055">
        <v>1284.5305175999999</v>
      </c>
      <c r="I2055">
        <v>1393.5661620999999</v>
      </c>
      <c r="J2055">
        <v>1373.8693848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1752.1490429999999</v>
      </c>
      <c r="B2056" s="1">
        <f>DATE(2015,2,16) + TIME(3,34,37)</f>
        <v>42051.149039351854</v>
      </c>
      <c r="C2056">
        <v>80</v>
      </c>
      <c r="D2056">
        <v>72.280715942</v>
      </c>
      <c r="E2056">
        <v>50</v>
      </c>
      <c r="F2056">
        <v>49.978137969999999</v>
      </c>
      <c r="G2056">
        <v>1297.6883545000001</v>
      </c>
      <c r="H2056">
        <v>1284.1795654</v>
      </c>
      <c r="I2056">
        <v>1393.5372314000001</v>
      </c>
      <c r="J2056">
        <v>1373.8374022999999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1755.1788509999999</v>
      </c>
      <c r="B2057" s="1">
        <f>DATE(2015,2,19) + TIME(4,17,32)</f>
        <v>42054.178842592592</v>
      </c>
      <c r="C2057">
        <v>80</v>
      </c>
      <c r="D2057">
        <v>72.060798645000006</v>
      </c>
      <c r="E2057">
        <v>50</v>
      </c>
      <c r="F2057">
        <v>49.978183745999999</v>
      </c>
      <c r="G2057">
        <v>1297.4194336</v>
      </c>
      <c r="H2057">
        <v>1283.8203125</v>
      </c>
      <c r="I2057">
        <v>1393.5087891000001</v>
      </c>
      <c r="J2057">
        <v>1373.8060303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1758.20866</v>
      </c>
      <c r="B2058" s="1">
        <f>DATE(2015,2,22) + TIME(5,0,28)</f>
        <v>42057.208657407406</v>
      </c>
      <c r="C2058">
        <v>80</v>
      </c>
      <c r="D2058">
        <v>71.835243224999999</v>
      </c>
      <c r="E2058">
        <v>50</v>
      </c>
      <c r="F2058">
        <v>49.978225707999997</v>
      </c>
      <c r="G2058">
        <v>1297.145874</v>
      </c>
      <c r="H2058">
        <v>1283.4533690999999</v>
      </c>
      <c r="I2058">
        <v>1393.4808350000001</v>
      </c>
      <c r="J2058">
        <v>1373.7749022999999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1761.238468</v>
      </c>
      <c r="B2059" s="1">
        <f>DATE(2015,2,25) + TIME(5,43,23)</f>
        <v>42060.23846064815</v>
      </c>
      <c r="C2059">
        <v>80</v>
      </c>
      <c r="D2059">
        <v>71.603645325000002</v>
      </c>
      <c r="E2059">
        <v>50</v>
      </c>
      <c r="F2059">
        <v>49.978267670000001</v>
      </c>
      <c r="G2059">
        <v>1296.8679199000001</v>
      </c>
      <c r="H2059">
        <v>1283.0788574000001</v>
      </c>
      <c r="I2059">
        <v>1393.4532471</v>
      </c>
      <c r="J2059">
        <v>1373.7441406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1764.2682769999999</v>
      </c>
      <c r="B2060" s="1">
        <f>DATE(2015,2,28) + TIME(6,26,19)</f>
        <v>42063.268275462964</v>
      </c>
      <c r="C2060">
        <v>80</v>
      </c>
      <c r="D2060">
        <v>71.365631104000002</v>
      </c>
      <c r="E2060">
        <v>50</v>
      </c>
      <c r="F2060">
        <v>49.978313446000001</v>
      </c>
      <c r="G2060">
        <v>1296.5856934000001</v>
      </c>
      <c r="H2060">
        <v>1282.6972656</v>
      </c>
      <c r="I2060">
        <v>1393.4261475000001</v>
      </c>
      <c r="J2060">
        <v>1373.7138672000001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1765</v>
      </c>
      <c r="B2061" s="1">
        <f>DATE(2015,3,1) + TIME(0,0,0)</f>
        <v>42064</v>
      </c>
      <c r="C2061">
        <v>80</v>
      </c>
      <c r="D2061">
        <v>71.219429016000007</v>
      </c>
      <c r="E2061">
        <v>50</v>
      </c>
      <c r="F2061">
        <v>49.978321074999997</v>
      </c>
      <c r="G2061">
        <v>1296.3145752</v>
      </c>
      <c r="H2061">
        <v>1282.3499756000001</v>
      </c>
      <c r="I2061">
        <v>1393.3984375</v>
      </c>
      <c r="J2061">
        <v>1373.6838379000001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1768.0298089999999</v>
      </c>
      <c r="B2062" s="1">
        <f>DATE(2015,3,4) + TIME(0,42,55)</f>
        <v>42067.029803240737</v>
      </c>
      <c r="C2062">
        <v>80</v>
      </c>
      <c r="D2062">
        <v>71.041221618999998</v>
      </c>
      <c r="E2062">
        <v>50</v>
      </c>
      <c r="F2062">
        <v>49.978366852000001</v>
      </c>
      <c r="G2062">
        <v>1296.2125243999999</v>
      </c>
      <c r="H2062">
        <v>1282.1846923999999</v>
      </c>
      <c r="I2062">
        <v>1393.3929443</v>
      </c>
      <c r="J2062">
        <v>1373.6757812000001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1771.0596169999999</v>
      </c>
      <c r="B2063" s="1">
        <f>DATE(2015,3,7) + TIME(1,25,50)</f>
        <v>42070.059606481482</v>
      </c>
      <c r="C2063">
        <v>80</v>
      </c>
      <c r="D2063">
        <v>70.802261353000006</v>
      </c>
      <c r="E2063">
        <v>50</v>
      </c>
      <c r="F2063">
        <v>49.978408813000001</v>
      </c>
      <c r="G2063">
        <v>1295.9355469</v>
      </c>
      <c r="H2063">
        <v>1281.8112793</v>
      </c>
      <c r="I2063">
        <v>1393.3664550999999</v>
      </c>
      <c r="J2063">
        <v>1373.6468506000001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1774.089426</v>
      </c>
      <c r="B2064" s="1">
        <f>DATE(2015,3,10) + TIME(2,8,46)</f>
        <v>42073.089421296296</v>
      </c>
      <c r="C2064">
        <v>80</v>
      </c>
      <c r="D2064">
        <v>70.544311523000005</v>
      </c>
      <c r="E2064">
        <v>50</v>
      </c>
      <c r="F2064">
        <v>49.978450774999999</v>
      </c>
      <c r="G2064">
        <v>1295.6444091999999</v>
      </c>
      <c r="H2064">
        <v>1281.4138184000001</v>
      </c>
      <c r="I2064">
        <v>1393.3402100000001</v>
      </c>
      <c r="J2064">
        <v>1373.6175536999999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1777.131314</v>
      </c>
      <c r="B2065" s="1">
        <f>DATE(2015,3,13) + TIME(3,9,5)</f>
        <v>42076.131307870368</v>
      </c>
      <c r="C2065">
        <v>80</v>
      </c>
      <c r="D2065">
        <v>70.276031493999994</v>
      </c>
      <c r="E2065">
        <v>50</v>
      </c>
      <c r="F2065">
        <v>49.978492737000003</v>
      </c>
      <c r="G2065">
        <v>1295.3480225000001</v>
      </c>
      <c r="H2065">
        <v>1281.0065918</v>
      </c>
      <c r="I2065">
        <v>1393.3142089999999</v>
      </c>
      <c r="J2065">
        <v>1373.588501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1780.2227800000001</v>
      </c>
      <c r="B2066" s="1">
        <f>DATE(2015,3,16) + TIME(5,20,48)</f>
        <v>42079.222777777781</v>
      </c>
      <c r="C2066">
        <v>80</v>
      </c>
      <c r="D2066">
        <v>69.997985839999998</v>
      </c>
      <c r="E2066">
        <v>50</v>
      </c>
      <c r="F2066">
        <v>49.978534697999997</v>
      </c>
      <c r="G2066">
        <v>1295.0472411999999</v>
      </c>
      <c r="H2066">
        <v>1280.5916748</v>
      </c>
      <c r="I2066">
        <v>1393.2883300999999</v>
      </c>
      <c r="J2066">
        <v>1373.5595702999999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1783.314245</v>
      </c>
      <c r="B2067" s="1">
        <f>DATE(2015,3,19) + TIME(7,32,30)</f>
        <v>42082.314236111109</v>
      </c>
      <c r="C2067">
        <v>80</v>
      </c>
      <c r="D2067">
        <v>69.708351135000001</v>
      </c>
      <c r="E2067">
        <v>50</v>
      </c>
      <c r="F2067">
        <v>49.978576660000002</v>
      </c>
      <c r="G2067">
        <v>1294.7395019999999</v>
      </c>
      <c r="H2067">
        <v>1280.1660156</v>
      </c>
      <c r="I2067">
        <v>1393.262207</v>
      </c>
      <c r="J2067">
        <v>1373.5305175999999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1786.5179820000001</v>
      </c>
      <c r="B2068" s="1">
        <f>DATE(2015,3,22) + TIME(12,25,53)</f>
        <v>42085.517974537041</v>
      </c>
      <c r="C2068">
        <v>80</v>
      </c>
      <c r="D2068">
        <v>69.407348632999998</v>
      </c>
      <c r="E2068">
        <v>50</v>
      </c>
      <c r="F2068">
        <v>49.978618621999999</v>
      </c>
      <c r="G2068">
        <v>1294.4287108999999</v>
      </c>
      <c r="H2068">
        <v>1279.7336425999999</v>
      </c>
      <c r="I2068">
        <v>1393.2363281</v>
      </c>
      <c r="J2068">
        <v>1373.5015868999999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1789.757711</v>
      </c>
      <c r="B2069" s="1">
        <f>DATE(2015,3,25) + TIME(18,11,6)</f>
        <v>42088.757708333331</v>
      </c>
      <c r="C2069">
        <v>80</v>
      </c>
      <c r="D2069">
        <v>69.089530945000007</v>
      </c>
      <c r="E2069">
        <v>50</v>
      </c>
      <c r="F2069">
        <v>49.978660583</v>
      </c>
      <c r="G2069">
        <v>1294.105957</v>
      </c>
      <c r="H2069">
        <v>1279.2840576000001</v>
      </c>
      <c r="I2069">
        <v>1393.2095947</v>
      </c>
      <c r="J2069">
        <v>1373.4719238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1792.997441</v>
      </c>
      <c r="B2070" s="1">
        <f>DATE(2015,3,28) + TIME(23,56,18)</f>
        <v>42091.997430555559</v>
      </c>
      <c r="C2070">
        <v>80</v>
      </c>
      <c r="D2070">
        <v>68.758552550999994</v>
      </c>
      <c r="E2070">
        <v>50</v>
      </c>
      <c r="F2070">
        <v>49.978702544999997</v>
      </c>
      <c r="G2070">
        <v>1293.7770995999999</v>
      </c>
      <c r="H2070">
        <v>1278.8240966999999</v>
      </c>
      <c r="I2070">
        <v>1393.1826172000001</v>
      </c>
      <c r="J2070">
        <v>1373.4421387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1796</v>
      </c>
      <c r="B2071" s="1">
        <f>DATE(2015,4,1) + TIME(0,0,0)</f>
        <v>42095</v>
      </c>
      <c r="C2071">
        <v>80</v>
      </c>
      <c r="D2071">
        <v>68.422599792</v>
      </c>
      <c r="E2071">
        <v>50</v>
      </c>
      <c r="F2071">
        <v>49.978740692000002</v>
      </c>
      <c r="G2071">
        <v>1293.4466553</v>
      </c>
      <c r="H2071">
        <v>1278.3610839999999</v>
      </c>
      <c r="I2071">
        <v>1393.1557617000001</v>
      </c>
      <c r="J2071">
        <v>1373.4124756000001</v>
      </c>
      <c r="K2071">
        <v>0</v>
      </c>
      <c r="L2071">
        <v>2400</v>
      </c>
      <c r="M2071">
        <v>2400</v>
      </c>
      <c r="N207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2022-05-31T12:52:13Z</dcterms:created>
  <dcterms:modified xsi:type="dcterms:W3CDTF">2022-05-31T12:52:49Z</dcterms:modified>
</cp:coreProperties>
</file>