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S19_two_clay_layers/"/>
    </mc:Choice>
  </mc:AlternateContent>
  <xr:revisionPtr revIDLastSave="0" documentId="8_{92456D12-35F9-4E2D-A23F-D400143F9BFC}" xr6:coauthVersionLast="47" xr6:coauthVersionMax="47" xr10:uidLastSave="{00000000-0000-0000-0000-000000000000}"/>
  <bookViews>
    <workbookView xWindow="1905" yWindow="765" windowWidth="21600" windowHeight="11385" xr2:uid="{0DB8B67A-21BA-4CD0-B706-A867B9140CE1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92" i="1" l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<sst xmlns="http://schemas.openxmlformats.org/spreadsheetml/2006/main" count="15" uniqueCount="15">
  <si>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MODEL\SCENARIOS\2022\S19_two_clay_layers\S19_two_clay_layers.sr3</t>
  </si>
  <si>
    <t>Time (day)</t>
  </si>
  <si>
    <t>Date</t>
  </si>
  <si>
    <t>Hot well INJ-Fluid Rate SC (m³/day)</t>
  </si>
  <si>
    <t>Hot well PROD-Fluid Rate SC (m³/day)</t>
  </si>
  <si>
    <t>Warm well INJ-Fluid Rate SC (m³/day)</t>
  </si>
  <si>
    <t>Warm well PROD-Fluid Rate SC (m³/day)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</si>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</sst>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9056A8-E11A-4DDA-8CE6-59FCA860F328}" name="Table1" displayName="Table1" ref="A3:N1992" totalsRowShown="0">
  <autoFilter ref="A3:N1992" xr:uid="{529056A8-E11A-4DDA-8CE6-59FCA860F328}"/>
  <tableColumns count="14">
    <tableColumn id="1" xr3:uid="{F89C92C4-84FD-465A-9A67-EE7F9B4B8599}" name="Time (day)"/>
    <tableColumn id="2" xr3:uid="{4FE9F778-8B6C-4904-A603-E4544914DCE9}" name="Date" dataDxfId="0"/>
    <tableColumn id="3" xr3:uid="{EF9184B5-5DEE-46E2-8816-3C1739297CE7}" name="Hot well INJ-Fluid Rate SC (m³/day)"/>
    <tableColumn id="4" xr3:uid="{0C9E4BFD-950B-4FB4-B0C2-77A3E8A75A68}" name="Hot well PROD-Fluid Rate SC (m³/day)"/>
    <tableColumn id="5" xr3:uid="{228078A1-B2F6-47B0-9F36-6077FBB26575}" name="Warm well INJ-Fluid Rate SC (m³/day)"/>
    <tableColumn id="6" xr3:uid="{5BCB0E03-9862-421D-B6F6-D2F60DBF58CE}" name="Warm well PROD-Fluid Rate SC (m³/day)"/>
    <tableColumn id="7" xr3:uid="{C9DF8B18-E7EB-4DCE-9285-F7FEA9747873}" name="Hot well INJ-Well Bottom-hole Pressure (kPa)"/>
    <tableColumn id="8" xr3:uid="{9F55472B-9F9D-4FC9-A0C6-86DEC1653DEE}" name="Hot well PROD-Well Bottom-hole Pressure (kPa)"/>
    <tableColumn id="9" xr3:uid="{D86A44EE-7F1D-4C39-A060-845A6EFAAA8A}" name="Warm well INJ-Well Bottom-hole Pressure (kPa)"/>
    <tableColumn id="10" xr3:uid="{5D2ECDA0-CDF0-4990-B8F5-1DB3BA408096}" name="Warm well PROD-Well Bottom-hole Pressure (kPa)"/>
    <tableColumn id="11" xr3:uid="{FEC9DE3B-6239-4117-933A-7B6CD5A893CB}" name="Hot well INJ-Well bottom hole temperature (C)"/>
    <tableColumn id="12" xr3:uid="{4FE12BA2-6470-4ADF-AB06-777CB226E228}" name="Hot well PROD-Well bottom hole temperature (C)"/>
    <tableColumn id="13" xr3:uid="{4544B218-D456-48D5-83C9-DA81AEEB4E45}" name="Warm well INJ-Well bottom hole temperature (C)"/>
    <tableColumn id="14" xr3:uid="{ED7D69AC-5FA4-4574-ADB8-73F9DAF9D3A7}" name="Warm well PROD-Well bottom hole temperature (C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297E6-31A4-43EB-AD82-80843B6A495B}">
  <dimension ref="A1:N1992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34.140625" customWidth="1"/>
    <col min="4" max="5" width="36.42578125" customWidth="1"/>
    <col min="6" max="6" width="38.7109375" customWidth="1"/>
    <col min="7" max="7" width="43.5703125" customWidth="1"/>
    <col min="8" max="9" width="45.85546875" customWidth="1"/>
    <col min="10" max="10" width="48.140625" customWidth="1"/>
    <col min="11" max="11" width="44.85546875" customWidth="1"/>
    <col min="12" max="13" width="47.140625" customWidth="1"/>
    <col min="14" max="14" width="49.4257812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2400</v>
      </c>
      <c r="D4">
        <v>0</v>
      </c>
      <c r="E4">
        <v>0</v>
      </c>
      <c r="F4">
        <v>2400</v>
      </c>
      <c r="G4">
        <v>1369.2734375</v>
      </c>
      <c r="H4">
        <v>1329.8487548999999</v>
      </c>
      <c r="I4">
        <v>1328.9722899999999</v>
      </c>
      <c r="J4">
        <v>1289.5472411999999</v>
      </c>
      <c r="K4">
        <v>80</v>
      </c>
      <c r="L4">
        <v>15.000118256</v>
      </c>
      <c r="M4">
        <v>50</v>
      </c>
      <c r="N4">
        <v>14.999955177</v>
      </c>
    </row>
    <row r="5" spans="1:14" x14ac:dyDescent="0.25">
      <c r="A5">
        <v>3.9999999999999998E-6</v>
      </c>
      <c r="B5" s="1">
        <f>DATE(2010,5,1) + TIME(0,0,0)</f>
        <v>40299</v>
      </c>
      <c r="C5">
        <v>2400</v>
      </c>
      <c r="D5">
        <v>0</v>
      </c>
      <c r="E5">
        <v>0</v>
      </c>
      <c r="F5">
        <v>2400</v>
      </c>
      <c r="G5">
        <v>1370.5151367000001</v>
      </c>
      <c r="H5">
        <v>1331.0906981999999</v>
      </c>
      <c r="I5">
        <v>1327.7357178</v>
      </c>
      <c r="J5">
        <v>1288.3105469</v>
      </c>
      <c r="K5">
        <v>80</v>
      </c>
      <c r="L5">
        <v>15.000466347</v>
      </c>
      <c r="M5">
        <v>50</v>
      </c>
      <c r="N5">
        <v>14.999827385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2400</v>
      </c>
      <c r="D6">
        <v>0</v>
      </c>
      <c r="E6">
        <v>0</v>
      </c>
      <c r="F6">
        <v>2400</v>
      </c>
      <c r="G6">
        <v>1373.6900635</v>
      </c>
      <c r="H6">
        <v>1334.2666016000001</v>
      </c>
      <c r="I6">
        <v>1324.5737305</v>
      </c>
      <c r="J6">
        <v>1285.1480713000001</v>
      </c>
      <c r="K6">
        <v>80</v>
      </c>
      <c r="L6">
        <v>15.001453400000001</v>
      </c>
      <c r="M6">
        <v>50</v>
      </c>
      <c r="N6">
        <v>14.999503136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2400</v>
      </c>
      <c r="D7">
        <v>0</v>
      </c>
      <c r="E7">
        <v>0</v>
      </c>
      <c r="F7">
        <v>2400</v>
      </c>
      <c r="G7">
        <v>1380.2468262</v>
      </c>
      <c r="H7">
        <v>1340.8260498</v>
      </c>
      <c r="I7">
        <v>1318.0427245999999</v>
      </c>
      <c r="J7">
        <v>1278.6160889</v>
      </c>
      <c r="K7">
        <v>80</v>
      </c>
      <c r="L7">
        <v>15.004107475</v>
      </c>
      <c r="M7">
        <v>50</v>
      </c>
      <c r="N7">
        <v>14.998830795</v>
      </c>
    </row>
    <row r="8" spans="1:14" x14ac:dyDescent="0.25">
      <c r="A8">
        <v>1.21E-4</v>
      </c>
      <c r="B8" s="1">
        <f>DATE(2010,5,1) + TIME(0,0,10)</f>
        <v>40299.000115740739</v>
      </c>
      <c r="C8">
        <v>2400</v>
      </c>
      <c r="D8">
        <v>0</v>
      </c>
      <c r="E8">
        <v>0</v>
      </c>
      <c r="F8">
        <v>2400</v>
      </c>
      <c r="G8">
        <v>1390.09375</v>
      </c>
      <c r="H8">
        <v>1350.6801757999999</v>
      </c>
      <c r="I8">
        <v>1308.2298584</v>
      </c>
      <c r="J8">
        <v>1268.8018798999999</v>
      </c>
      <c r="K8">
        <v>80</v>
      </c>
      <c r="L8">
        <v>15.011060714999999</v>
      </c>
      <c r="M8">
        <v>50</v>
      </c>
      <c r="N8">
        <v>14.997821807999999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2400</v>
      </c>
      <c r="D9">
        <v>0</v>
      </c>
      <c r="E9">
        <v>0</v>
      </c>
      <c r="F9">
        <v>2400</v>
      </c>
      <c r="G9">
        <v>1401.2490233999999</v>
      </c>
      <c r="H9">
        <v>1361.8552245999999</v>
      </c>
      <c r="I9">
        <v>1297.0949707</v>
      </c>
      <c r="J9">
        <v>1257.6657714999999</v>
      </c>
      <c r="K9">
        <v>80</v>
      </c>
      <c r="L9">
        <v>15.030023575</v>
      </c>
      <c r="M9">
        <v>50</v>
      </c>
      <c r="N9">
        <v>14.996678352</v>
      </c>
    </row>
    <row r="10" spans="1:14" x14ac:dyDescent="0.25">
      <c r="A10">
        <v>1.093E-3</v>
      </c>
      <c r="B10" s="1">
        <f>DATE(2010,5,1) + TIME(0,1,34)</f>
        <v>40299.001087962963</v>
      </c>
      <c r="C10">
        <v>2400</v>
      </c>
      <c r="D10">
        <v>0</v>
      </c>
      <c r="E10">
        <v>0</v>
      </c>
      <c r="F10">
        <v>2400</v>
      </c>
      <c r="G10">
        <v>1412.4659423999999</v>
      </c>
      <c r="H10">
        <v>1373.1287841999999</v>
      </c>
      <c r="I10">
        <v>1285.8410644999999</v>
      </c>
      <c r="J10">
        <v>1246.4105225000001</v>
      </c>
      <c r="K10">
        <v>80</v>
      </c>
      <c r="L10">
        <v>15.084580421</v>
      </c>
      <c r="M10">
        <v>50</v>
      </c>
      <c r="N10">
        <v>14.995523453000001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2400</v>
      </c>
      <c r="D11">
        <v>0</v>
      </c>
      <c r="E11">
        <v>0</v>
      </c>
      <c r="F11">
        <v>2400</v>
      </c>
      <c r="G11">
        <v>1423.4650879000001</v>
      </c>
      <c r="H11">
        <v>1384.2937012</v>
      </c>
      <c r="I11">
        <v>1274.635376</v>
      </c>
      <c r="J11">
        <v>1235.2036132999999</v>
      </c>
      <c r="K11">
        <v>80</v>
      </c>
      <c r="L11">
        <v>15.245538712</v>
      </c>
      <c r="M11">
        <v>50</v>
      </c>
      <c r="N11">
        <v>14.994379996999999</v>
      </c>
    </row>
    <row r="12" spans="1:14" x14ac:dyDescent="0.25">
      <c r="A12">
        <v>9.8410000000000008E-3</v>
      </c>
      <c r="B12" s="1">
        <f>DATE(2010,5,1) + TIME(0,14,10)</f>
        <v>40299.009837962964</v>
      </c>
      <c r="C12">
        <v>2400</v>
      </c>
      <c r="D12">
        <v>0</v>
      </c>
      <c r="E12">
        <v>0</v>
      </c>
      <c r="F12">
        <v>2400</v>
      </c>
      <c r="G12">
        <v>1433.5368652</v>
      </c>
      <c r="H12">
        <v>1394.8500977000001</v>
      </c>
      <c r="I12">
        <v>1263.8704834</v>
      </c>
      <c r="J12">
        <v>1224.4373779</v>
      </c>
      <c r="K12">
        <v>80</v>
      </c>
      <c r="L12">
        <v>15.72271347</v>
      </c>
      <c r="M12">
        <v>50</v>
      </c>
      <c r="N12">
        <v>14.993297577</v>
      </c>
    </row>
    <row r="13" spans="1:14" x14ac:dyDescent="0.25">
      <c r="A13">
        <v>2.3591000000000001E-2</v>
      </c>
      <c r="B13" s="1">
        <f>DATE(2010,5,1) + TIME(0,33,58)</f>
        <v>40299.023587962962</v>
      </c>
      <c r="C13">
        <v>2400</v>
      </c>
      <c r="D13">
        <v>0</v>
      </c>
      <c r="E13">
        <v>0</v>
      </c>
      <c r="F13">
        <v>2400</v>
      </c>
      <c r="G13">
        <v>1439.5991211</v>
      </c>
      <c r="H13">
        <v>1401.880249</v>
      </c>
      <c r="I13">
        <v>1256.4527588000001</v>
      </c>
      <c r="J13">
        <v>1217.0189209</v>
      </c>
      <c r="K13">
        <v>80</v>
      </c>
      <c r="L13">
        <v>16.708248137999998</v>
      </c>
      <c r="M13">
        <v>50</v>
      </c>
      <c r="N13">
        <v>14.992580414000001</v>
      </c>
    </row>
    <row r="14" spans="1:14" x14ac:dyDescent="0.25">
      <c r="A14">
        <v>3.7541999999999999E-2</v>
      </c>
      <c r="B14" s="1">
        <f>DATE(2010,5,1) + TIME(0,54,3)</f>
        <v>40299.037534722222</v>
      </c>
      <c r="C14">
        <v>2400</v>
      </c>
      <c r="D14">
        <v>0</v>
      </c>
      <c r="E14">
        <v>0</v>
      </c>
      <c r="F14">
        <v>2400</v>
      </c>
      <c r="G14">
        <v>1441.5538329999999</v>
      </c>
      <c r="H14">
        <v>1404.7562256000001</v>
      </c>
      <c r="I14">
        <v>1253.2572021000001</v>
      </c>
      <c r="J14">
        <v>1213.822876</v>
      </c>
      <c r="K14">
        <v>80</v>
      </c>
      <c r="L14">
        <v>17.694444656000002</v>
      </c>
      <c r="M14">
        <v>50</v>
      </c>
      <c r="N14">
        <v>14.992290497000001</v>
      </c>
    </row>
    <row r="15" spans="1:14" x14ac:dyDescent="0.25">
      <c r="A15">
        <v>5.1688999999999999E-2</v>
      </c>
      <c r="B15" s="1">
        <f>DATE(2010,5,1) + TIME(1,14,25)</f>
        <v>40299.051678240743</v>
      </c>
      <c r="C15">
        <v>2400</v>
      </c>
      <c r="D15">
        <v>0</v>
      </c>
      <c r="E15">
        <v>0</v>
      </c>
      <c r="F15">
        <v>2400</v>
      </c>
      <c r="G15">
        <v>1441.9371338000001</v>
      </c>
      <c r="H15">
        <v>1406.0234375</v>
      </c>
      <c r="I15">
        <v>1251.7180175999999</v>
      </c>
      <c r="J15">
        <v>1212.2832031</v>
      </c>
      <c r="K15">
        <v>80</v>
      </c>
      <c r="L15">
        <v>18.680906296</v>
      </c>
      <c r="M15">
        <v>50</v>
      </c>
      <c r="N15">
        <v>14.992168426999999</v>
      </c>
    </row>
    <row r="16" spans="1:14" x14ac:dyDescent="0.25">
      <c r="A16">
        <v>6.6030000000000005E-2</v>
      </c>
      <c r="B16" s="1">
        <f>DATE(2010,5,1) + TIME(1,35,4)</f>
        <v>40299.066018518519</v>
      </c>
      <c r="C16">
        <v>2400</v>
      </c>
      <c r="D16">
        <v>0</v>
      </c>
      <c r="E16">
        <v>0</v>
      </c>
      <c r="F16">
        <v>2400</v>
      </c>
      <c r="G16">
        <v>1441.612793</v>
      </c>
      <c r="H16">
        <v>1406.5467529</v>
      </c>
      <c r="I16">
        <v>1250.9440918</v>
      </c>
      <c r="J16">
        <v>1211.5086670000001</v>
      </c>
      <c r="K16">
        <v>80</v>
      </c>
      <c r="L16">
        <v>19.667188643999999</v>
      </c>
      <c r="M16">
        <v>50</v>
      </c>
      <c r="N16">
        <v>14.992123604</v>
      </c>
    </row>
    <row r="17" spans="1:14" x14ac:dyDescent="0.25">
      <c r="A17">
        <v>8.0570000000000003E-2</v>
      </c>
      <c r="B17" s="1">
        <f>DATE(2010,5,1) + TIME(1,56,1)</f>
        <v>40299.080567129633</v>
      </c>
      <c r="C17">
        <v>2400</v>
      </c>
      <c r="D17">
        <v>0</v>
      </c>
      <c r="E17">
        <v>0</v>
      </c>
      <c r="F17">
        <v>2400</v>
      </c>
      <c r="G17">
        <v>1440.9426269999999</v>
      </c>
      <c r="H17">
        <v>1406.6907959</v>
      </c>
      <c r="I17">
        <v>1250.5537108999999</v>
      </c>
      <c r="J17">
        <v>1211.1175536999999</v>
      </c>
      <c r="K17">
        <v>80</v>
      </c>
      <c r="L17">
        <v>20.653812408</v>
      </c>
      <c r="M17">
        <v>50</v>
      </c>
      <c r="N17">
        <v>14.992116928</v>
      </c>
    </row>
    <row r="18" spans="1:14" x14ac:dyDescent="0.25">
      <c r="A18">
        <v>9.5308000000000004E-2</v>
      </c>
      <c r="B18" s="1">
        <f>DATE(2010,5,1) + TIME(2,17,14)</f>
        <v>40299.095300925925</v>
      </c>
      <c r="C18">
        <v>2400</v>
      </c>
      <c r="D18">
        <v>0</v>
      </c>
      <c r="E18">
        <v>0</v>
      </c>
      <c r="F18">
        <v>2400</v>
      </c>
      <c r="G18">
        <v>1440.1014404</v>
      </c>
      <c r="H18">
        <v>1406.6311035000001</v>
      </c>
      <c r="I18">
        <v>1250.3624268000001</v>
      </c>
      <c r="J18">
        <v>1210.9255370999999</v>
      </c>
      <c r="K18">
        <v>80</v>
      </c>
      <c r="L18">
        <v>21.639907836999999</v>
      </c>
      <c r="M18">
        <v>50</v>
      </c>
      <c r="N18">
        <v>14.992131233</v>
      </c>
    </row>
    <row r="19" spans="1:14" x14ac:dyDescent="0.25">
      <c r="A19">
        <v>0.110253</v>
      </c>
      <c r="B19" s="1">
        <f>DATE(2010,5,1) + TIME(2,38,45)</f>
        <v>40299.110243055555</v>
      </c>
      <c r="C19">
        <v>2400</v>
      </c>
      <c r="D19">
        <v>0</v>
      </c>
      <c r="E19">
        <v>0</v>
      </c>
      <c r="F19">
        <v>2400</v>
      </c>
      <c r="G19">
        <v>1439.1799315999999</v>
      </c>
      <c r="H19">
        <v>1406.4599608999999</v>
      </c>
      <c r="I19">
        <v>1250.2750243999999</v>
      </c>
      <c r="J19">
        <v>1210.8371582</v>
      </c>
      <c r="K19">
        <v>80</v>
      </c>
      <c r="L19">
        <v>22.625436783000001</v>
      </c>
      <c r="M19">
        <v>50</v>
      </c>
      <c r="N19">
        <v>14.992156029</v>
      </c>
    </row>
    <row r="20" spans="1:14" x14ac:dyDescent="0.25">
      <c r="A20">
        <v>0.125418</v>
      </c>
      <c r="B20" s="1">
        <f>DATE(2010,5,1) + TIME(3,0,36)</f>
        <v>40299.125416666669</v>
      </c>
      <c r="C20">
        <v>2400</v>
      </c>
      <c r="D20">
        <v>0</v>
      </c>
      <c r="E20">
        <v>0</v>
      </c>
      <c r="F20">
        <v>2400</v>
      </c>
      <c r="G20">
        <v>1438.2271728999999</v>
      </c>
      <c r="H20">
        <v>1406.2282714999999</v>
      </c>
      <c r="I20">
        <v>1250.2409668</v>
      </c>
      <c r="J20">
        <v>1210.8020019999999</v>
      </c>
      <c r="K20">
        <v>80</v>
      </c>
      <c r="L20">
        <v>23.610671997000001</v>
      </c>
      <c r="M20">
        <v>50</v>
      </c>
      <c r="N20">
        <v>14.992185593</v>
      </c>
    </row>
    <row r="21" spans="1:14" x14ac:dyDescent="0.25">
      <c r="A21">
        <v>0.14080999999999999</v>
      </c>
      <c r="B21" s="1">
        <f>DATE(2010,5,1) + TIME(3,22,45)</f>
        <v>40299.140798611108</v>
      </c>
      <c r="C21">
        <v>2400</v>
      </c>
      <c r="D21">
        <v>0</v>
      </c>
      <c r="E21">
        <v>0</v>
      </c>
      <c r="F21">
        <v>2400</v>
      </c>
      <c r="G21">
        <v>1437.2707519999999</v>
      </c>
      <c r="H21">
        <v>1405.965332</v>
      </c>
      <c r="I21">
        <v>1250.2331543</v>
      </c>
      <c r="J21">
        <v>1210.7930908000001</v>
      </c>
      <c r="K21">
        <v>80</v>
      </c>
      <c r="L21">
        <v>24.595602035999999</v>
      </c>
      <c r="M21">
        <v>50</v>
      </c>
      <c r="N21">
        <v>14.992218018000001</v>
      </c>
    </row>
    <row r="22" spans="1:14" x14ac:dyDescent="0.25">
      <c r="A22">
        <v>0.15643699999999999</v>
      </c>
      <c r="B22" s="1">
        <f>DATE(2010,5,1) + TIME(3,45,16)</f>
        <v>40299.156435185185</v>
      </c>
      <c r="C22">
        <v>2400</v>
      </c>
      <c r="D22">
        <v>0</v>
      </c>
      <c r="E22">
        <v>0</v>
      </c>
      <c r="F22">
        <v>2400</v>
      </c>
      <c r="G22">
        <v>1436.3260498</v>
      </c>
      <c r="H22">
        <v>1405.6877440999999</v>
      </c>
      <c r="I22">
        <v>1250.2374268000001</v>
      </c>
      <c r="J22">
        <v>1210.7962646000001</v>
      </c>
      <c r="K22">
        <v>80</v>
      </c>
      <c r="L22">
        <v>25.580612183</v>
      </c>
      <c r="M22">
        <v>50</v>
      </c>
      <c r="N22">
        <v>14.992252349999999</v>
      </c>
    </row>
    <row r="23" spans="1:14" x14ac:dyDescent="0.25">
      <c r="A23">
        <v>0.17230300000000001</v>
      </c>
      <c r="B23" s="1">
        <f>DATE(2010,5,1) + TIME(4,8,6)</f>
        <v>40299.172291666669</v>
      </c>
      <c r="C23">
        <v>2400</v>
      </c>
      <c r="D23">
        <v>0</v>
      </c>
      <c r="E23">
        <v>0</v>
      </c>
      <c r="F23">
        <v>2400</v>
      </c>
      <c r="G23">
        <v>1435.4017334</v>
      </c>
      <c r="H23">
        <v>1405.4053954999999</v>
      </c>
      <c r="I23">
        <v>1250.2467041</v>
      </c>
      <c r="J23">
        <v>1210.8041992000001</v>
      </c>
      <c r="K23">
        <v>80</v>
      </c>
      <c r="L23">
        <v>26.565195083999999</v>
      </c>
      <c r="M23">
        <v>50</v>
      </c>
      <c r="N23">
        <v>14.992286682</v>
      </c>
    </row>
    <row r="24" spans="1:14" x14ac:dyDescent="0.25">
      <c r="A24">
        <v>0.188417</v>
      </c>
      <c r="B24" s="1">
        <f>DATE(2010,5,1) + TIME(4,31,19)</f>
        <v>40299.188414351855</v>
      </c>
      <c r="C24">
        <v>2400</v>
      </c>
      <c r="D24">
        <v>0</v>
      </c>
      <c r="E24">
        <v>0</v>
      </c>
      <c r="F24">
        <v>2400</v>
      </c>
      <c r="G24">
        <v>1434.5024414</v>
      </c>
      <c r="H24">
        <v>1405.1240233999999</v>
      </c>
      <c r="I24">
        <v>1250.2572021000001</v>
      </c>
      <c r="J24">
        <v>1210.8133545000001</v>
      </c>
      <c r="K24">
        <v>80</v>
      </c>
      <c r="L24">
        <v>27.549179077000002</v>
      </c>
      <c r="M24">
        <v>50</v>
      </c>
      <c r="N24">
        <v>14.992321014</v>
      </c>
    </row>
    <row r="25" spans="1:14" x14ac:dyDescent="0.25">
      <c r="A25">
        <v>0.204793</v>
      </c>
      <c r="B25" s="1">
        <f>DATE(2010,5,1) + TIME(4,54,54)</f>
        <v>40299.204791666663</v>
      </c>
      <c r="C25">
        <v>2400</v>
      </c>
      <c r="D25">
        <v>0</v>
      </c>
      <c r="E25">
        <v>0</v>
      </c>
      <c r="F25">
        <v>2400</v>
      </c>
      <c r="G25">
        <v>1433.6300048999999</v>
      </c>
      <c r="H25">
        <v>1404.8468018000001</v>
      </c>
      <c r="I25">
        <v>1250.2674560999999</v>
      </c>
      <c r="J25">
        <v>1210.8221435999999</v>
      </c>
      <c r="K25">
        <v>80</v>
      </c>
      <c r="L25">
        <v>28.532815932999998</v>
      </c>
      <c r="M25">
        <v>50</v>
      </c>
      <c r="N25">
        <v>14.992355347</v>
      </c>
    </row>
    <row r="26" spans="1:14" x14ac:dyDescent="0.25">
      <c r="A26">
        <v>0.221441</v>
      </c>
      <c r="B26" s="1">
        <f>DATE(2010,5,1) + TIME(5,18,52)</f>
        <v>40299.221435185187</v>
      </c>
      <c r="C26">
        <v>2400</v>
      </c>
      <c r="D26">
        <v>0</v>
      </c>
      <c r="E26">
        <v>0</v>
      </c>
      <c r="F26">
        <v>2400</v>
      </c>
      <c r="G26">
        <v>1432.7854004000001</v>
      </c>
      <c r="H26">
        <v>1404.5758057</v>
      </c>
      <c r="I26">
        <v>1250.2767334</v>
      </c>
      <c r="J26">
        <v>1210.8298339999999</v>
      </c>
      <c r="K26">
        <v>80</v>
      </c>
      <c r="L26">
        <v>29.516096115</v>
      </c>
      <c r="M26">
        <v>50</v>
      </c>
      <c r="N26">
        <v>14.992389679</v>
      </c>
    </row>
    <row r="27" spans="1:14" x14ac:dyDescent="0.25">
      <c r="A27">
        <v>0.238373</v>
      </c>
      <c r="B27" s="1">
        <f>DATE(2010,5,1) + TIME(5,43,15)</f>
        <v>40299.238368055558</v>
      </c>
      <c r="C27">
        <v>2400</v>
      </c>
      <c r="D27">
        <v>0</v>
      </c>
      <c r="E27">
        <v>0</v>
      </c>
      <c r="F27">
        <v>2400</v>
      </c>
      <c r="G27">
        <v>1431.9686279</v>
      </c>
      <c r="H27">
        <v>1404.3118896000001</v>
      </c>
      <c r="I27">
        <v>1250.2849120999999</v>
      </c>
      <c r="J27">
        <v>1210.8363036999999</v>
      </c>
      <c r="K27">
        <v>80</v>
      </c>
      <c r="L27">
        <v>30.499116898</v>
      </c>
      <c r="M27">
        <v>50</v>
      </c>
      <c r="N27">
        <v>14.992424011000001</v>
      </c>
    </row>
    <row r="28" spans="1:14" x14ac:dyDescent="0.25">
      <c r="A28">
        <v>0.25559700000000002</v>
      </c>
      <c r="B28" s="1">
        <f>DATE(2010,5,1) + TIME(6,8,3)</f>
        <v>40299.255590277775</v>
      </c>
      <c r="C28">
        <v>2400</v>
      </c>
      <c r="D28">
        <v>0</v>
      </c>
      <c r="E28">
        <v>0</v>
      </c>
      <c r="F28">
        <v>2400</v>
      </c>
      <c r="G28">
        <v>1431.1790771000001</v>
      </c>
      <c r="H28">
        <v>1404.0556641000001</v>
      </c>
      <c r="I28">
        <v>1250.2921143000001</v>
      </c>
      <c r="J28">
        <v>1210.8417969</v>
      </c>
      <c r="K28">
        <v>80</v>
      </c>
      <c r="L28">
        <v>31.48175621</v>
      </c>
      <c r="M28">
        <v>50</v>
      </c>
      <c r="N28">
        <v>14.992458343999999</v>
      </c>
    </row>
    <row r="29" spans="1:14" x14ac:dyDescent="0.25">
      <c r="A29">
        <v>0.27312500000000001</v>
      </c>
      <c r="B29" s="1">
        <f>DATE(2010,5,1) + TIME(6,33,18)</f>
        <v>40299.273125</v>
      </c>
      <c r="C29">
        <v>2400</v>
      </c>
      <c r="D29">
        <v>0</v>
      </c>
      <c r="E29">
        <v>0</v>
      </c>
      <c r="F29">
        <v>2400</v>
      </c>
      <c r="G29">
        <v>1430.4161377</v>
      </c>
      <c r="H29">
        <v>1403.807251</v>
      </c>
      <c r="I29">
        <v>1250.2984618999999</v>
      </c>
      <c r="J29">
        <v>1210.8464355000001</v>
      </c>
      <c r="K29">
        <v>80</v>
      </c>
      <c r="L29">
        <v>32.463890075999998</v>
      </c>
      <c r="M29">
        <v>50</v>
      </c>
      <c r="N29">
        <v>14.992492675999999</v>
      </c>
    </row>
    <row r="30" spans="1:14" x14ac:dyDescent="0.25">
      <c r="A30">
        <v>0.29097200000000001</v>
      </c>
      <c r="B30" s="1">
        <f>DATE(2010,5,1) + TIME(6,59,0)</f>
        <v>40299.290972222225</v>
      </c>
      <c r="C30">
        <v>2400</v>
      </c>
      <c r="D30">
        <v>0</v>
      </c>
      <c r="E30">
        <v>0</v>
      </c>
      <c r="F30">
        <v>2400</v>
      </c>
      <c r="G30">
        <v>1429.6789550999999</v>
      </c>
      <c r="H30">
        <v>1403.5665283000001</v>
      </c>
      <c r="I30">
        <v>1250.3041992000001</v>
      </c>
      <c r="J30">
        <v>1210.8502197</v>
      </c>
      <c r="K30">
        <v>80</v>
      </c>
      <c r="L30">
        <v>33.445613860999998</v>
      </c>
      <c r="M30">
        <v>50</v>
      </c>
      <c r="N30">
        <v>14.992527008</v>
      </c>
    </row>
    <row r="31" spans="1:14" x14ac:dyDescent="0.25">
      <c r="A31">
        <v>0.30915199999999998</v>
      </c>
      <c r="B31" s="1">
        <f>DATE(2010,5,1) + TIME(7,25,10)</f>
        <v>40299.30914351852</v>
      </c>
      <c r="C31">
        <v>2400</v>
      </c>
      <c r="D31">
        <v>0</v>
      </c>
      <c r="E31">
        <v>0</v>
      </c>
      <c r="F31">
        <v>2400</v>
      </c>
      <c r="G31">
        <v>1428.9664307</v>
      </c>
      <c r="H31">
        <v>1403.333374</v>
      </c>
      <c r="I31">
        <v>1250.3094481999999</v>
      </c>
      <c r="J31">
        <v>1210.8535156</v>
      </c>
      <c r="K31">
        <v>80</v>
      </c>
      <c r="L31">
        <v>34.426906586000001</v>
      </c>
      <c r="M31">
        <v>50</v>
      </c>
      <c r="N31">
        <v>14.99256134</v>
      </c>
    </row>
    <row r="32" spans="1:14" x14ac:dyDescent="0.25">
      <c r="A32">
        <v>0.32767800000000002</v>
      </c>
      <c r="B32" s="1">
        <f>DATE(2010,5,1) + TIME(7,51,51)</f>
        <v>40299.327673611115</v>
      </c>
      <c r="C32">
        <v>2400</v>
      </c>
      <c r="D32">
        <v>0</v>
      </c>
      <c r="E32">
        <v>0</v>
      </c>
      <c r="F32">
        <v>2400</v>
      </c>
      <c r="G32">
        <v>1428.2775879000001</v>
      </c>
      <c r="H32">
        <v>1403.1076660000001</v>
      </c>
      <c r="I32">
        <v>1250.3142089999999</v>
      </c>
      <c r="J32">
        <v>1210.8562012</v>
      </c>
      <c r="K32">
        <v>80</v>
      </c>
      <c r="L32">
        <v>35.407749176000003</v>
      </c>
      <c r="M32">
        <v>50</v>
      </c>
      <c r="N32">
        <v>14.992595673</v>
      </c>
    </row>
    <row r="33" spans="1:14" x14ac:dyDescent="0.25">
      <c r="A33">
        <v>0.34656599999999999</v>
      </c>
      <c r="B33" s="1">
        <f>DATE(2010,5,1) + TIME(8,19,3)</f>
        <v>40299.346562500003</v>
      </c>
      <c r="C33">
        <v>2400</v>
      </c>
      <c r="D33">
        <v>0</v>
      </c>
      <c r="E33">
        <v>0</v>
      </c>
      <c r="F33">
        <v>2400</v>
      </c>
      <c r="G33">
        <v>1427.6114502</v>
      </c>
      <c r="H33">
        <v>1402.8890381000001</v>
      </c>
      <c r="I33">
        <v>1250.3187256000001</v>
      </c>
      <c r="J33">
        <v>1210.8586425999999</v>
      </c>
      <c r="K33">
        <v>80</v>
      </c>
      <c r="L33">
        <v>36.388126372999999</v>
      </c>
      <c r="M33">
        <v>50</v>
      </c>
      <c r="N33">
        <v>14.992630005000001</v>
      </c>
    </row>
    <row r="34" spans="1:14" x14ac:dyDescent="0.25">
      <c r="A34">
        <v>0.36583100000000002</v>
      </c>
      <c r="B34" s="1">
        <f>DATE(2010,5,1) + TIME(8,46,47)</f>
        <v>40299.36582175926</v>
      </c>
      <c r="C34">
        <v>2400</v>
      </c>
      <c r="D34">
        <v>0</v>
      </c>
      <c r="E34">
        <v>0</v>
      </c>
      <c r="F34">
        <v>2400</v>
      </c>
      <c r="G34">
        <v>1426.9670410000001</v>
      </c>
      <c r="H34">
        <v>1402.677124</v>
      </c>
      <c r="I34">
        <v>1250.3231201000001</v>
      </c>
      <c r="J34">
        <v>1210.8607178</v>
      </c>
      <c r="K34">
        <v>80</v>
      </c>
      <c r="L34">
        <v>37.368019103999998</v>
      </c>
      <c r="M34">
        <v>50</v>
      </c>
      <c r="N34">
        <v>14.992664337000001</v>
      </c>
    </row>
    <row r="35" spans="1:14" x14ac:dyDescent="0.25">
      <c r="A35">
        <v>0.38549299999999997</v>
      </c>
      <c r="B35" s="1">
        <f>DATE(2010,5,1) + TIME(9,15,6)</f>
        <v>40299.38548611111</v>
      </c>
      <c r="C35">
        <v>2400</v>
      </c>
      <c r="D35">
        <v>0</v>
      </c>
      <c r="E35">
        <v>0</v>
      </c>
      <c r="F35">
        <v>2400</v>
      </c>
      <c r="G35">
        <v>1426.3433838000001</v>
      </c>
      <c r="H35">
        <v>1402.4716797000001</v>
      </c>
      <c r="I35">
        <v>1250.3272704999999</v>
      </c>
      <c r="J35">
        <v>1210.8625488</v>
      </c>
      <c r="K35">
        <v>80</v>
      </c>
      <c r="L35">
        <v>38.347408295000001</v>
      </c>
      <c r="M35">
        <v>50</v>
      </c>
      <c r="N35">
        <v>14.992698668999999</v>
      </c>
    </row>
    <row r="36" spans="1:14" x14ac:dyDescent="0.25">
      <c r="A36">
        <v>0.40556799999999998</v>
      </c>
      <c r="B36" s="1">
        <f>DATE(2010,5,1) + TIME(9,44,1)</f>
        <v>40299.40556712963</v>
      </c>
      <c r="C36">
        <v>2400</v>
      </c>
      <c r="D36">
        <v>0</v>
      </c>
      <c r="E36">
        <v>0</v>
      </c>
      <c r="F36">
        <v>2400</v>
      </c>
      <c r="G36">
        <v>1425.739624</v>
      </c>
      <c r="H36">
        <v>1402.2723389</v>
      </c>
      <c r="I36">
        <v>1250.3312988</v>
      </c>
      <c r="J36">
        <v>1210.8642577999999</v>
      </c>
      <c r="K36">
        <v>80</v>
      </c>
      <c r="L36">
        <v>39.326263427999997</v>
      </c>
      <c r="M36">
        <v>50</v>
      </c>
      <c r="N36">
        <v>14.992733955</v>
      </c>
    </row>
    <row r="37" spans="1:14" x14ac:dyDescent="0.25">
      <c r="A37">
        <v>0.42607600000000001</v>
      </c>
      <c r="B37" s="1">
        <f>DATE(2010,5,1) + TIME(10,13,32)</f>
        <v>40299.426064814812</v>
      </c>
      <c r="C37">
        <v>2400</v>
      </c>
      <c r="D37">
        <v>0</v>
      </c>
      <c r="E37">
        <v>0</v>
      </c>
      <c r="F37">
        <v>2400</v>
      </c>
      <c r="G37">
        <v>1425.1546631000001</v>
      </c>
      <c r="H37">
        <v>1402.0787353999999</v>
      </c>
      <c r="I37">
        <v>1250.3352050999999</v>
      </c>
      <c r="J37">
        <v>1210.8658447</v>
      </c>
      <c r="K37">
        <v>80</v>
      </c>
      <c r="L37">
        <v>40.304641724</v>
      </c>
      <c r="M37">
        <v>50</v>
      </c>
      <c r="N37">
        <v>14.992768288000001</v>
      </c>
    </row>
    <row r="38" spans="1:14" x14ac:dyDescent="0.25">
      <c r="A38">
        <v>0.44703799999999999</v>
      </c>
      <c r="B38" s="1">
        <f>DATE(2010,5,1) + TIME(10,43,44)</f>
        <v>40299.44703703704</v>
      </c>
      <c r="C38">
        <v>2400</v>
      </c>
      <c r="D38">
        <v>0</v>
      </c>
      <c r="E38">
        <v>0</v>
      </c>
      <c r="F38">
        <v>2400</v>
      </c>
      <c r="G38">
        <v>1424.5877685999999</v>
      </c>
      <c r="H38">
        <v>1401.8907471</v>
      </c>
      <c r="I38">
        <v>1250.3392334</v>
      </c>
      <c r="J38">
        <v>1210.8671875</v>
      </c>
      <c r="K38">
        <v>80</v>
      </c>
      <c r="L38">
        <v>41.282524109000001</v>
      </c>
      <c r="M38">
        <v>50</v>
      </c>
      <c r="N38">
        <v>14.992803574</v>
      </c>
    </row>
    <row r="39" spans="1:14" x14ac:dyDescent="0.25">
      <c r="A39">
        <v>0.468474</v>
      </c>
      <c r="B39" s="1">
        <f>DATE(2010,5,1) + TIME(11,14,36)</f>
        <v>40299.468472222223</v>
      </c>
      <c r="C39">
        <v>2400</v>
      </c>
      <c r="D39">
        <v>0</v>
      </c>
      <c r="E39">
        <v>0</v>
      </c>
      <c r="F39">
        <v>2400</v>
      </c>
      <c r="G39">
        <v>1424.0380858999999</v>
      </c>
      <c r="H39">
        <v>1401.7077637</v>
      </c>
      <c r="I39">
        <v>1250.3430175999999</v>
      </c>
      <c r="J39">
        <v>1210.8685303</v>
      </c>
      <c r="K39">
        <v>80</v>
      </c>
      <c r="L39">
        <v>42.259654998999999</v>
      </c>
      <c r="M39">
        <v>50</v>
      </c>
      <c r="N39">
        <v>14.992838860000001</v>
      </c>
    </row>
    <row r="40" spans="1:14" x14ac:dyDescent="0.25">
      <c r="A40">
        <v>0.49041200000000001</v>
      </c>
      <c r="B40" s="1">
        <f>DATE(2010,5,1) + TIME(11,46,11)</f>
        <v>40299.490405092591</v>
      </c>
      <c r="C40">
        <v>2400</v>
      </c>
      <c r="D40">
        <v>0</v>
      </c>
      <c r="E40">
        <v>0</v>
      </c>
      <c r="F40">
        <v>2400</v>
      </c>
      <c r="G40">
        <v>1423.5047606999999</v>
      </c>
      <c r="H40">
        <v>1401.5296631000001</v>
      </c>
      <c r="I40">
        <v>1250.3469238</v>
      </c>
      <c r="J40">
        <v>1210.869751</v>
      </c>
      <c r="K40">
        <v>80</v>
      </c>
      <c r="L40">
        <v>43.236148833999998</v>
      </c>
      <c r="M40">
        <v>50</v>
      </c>
      <c r="N40">
        <v>14.992873191999999</v>
      </c>
    </row>
    <row r="41" spans="1:14" x14ac:dyDescent="0.25">
      <c r="A41">
        <v>0.51287799999999995</v>
      </c>
      <c r="B41" s="1">
        <f>DATE(2010,5,1) + TIME(12,18,32)</f>
        <v>40299.512870370374</v>
      </c>
      <c r="C41">
        <v>2400</v>
      </c>
      <c r="D41">
        <v>0</v>
      </c>
      <c r="E41">
        <v>0</v>
      </c>
      <c r="F41">
        <v>2400</v>
      </c>
      <c r="G41">
        <v>1422.9870605000001</v>
      </c>
      <c r="H41">
        <v>1401.355957</v>
      </c>
      <c r="I41">
        <v>1250.3507079999999</v>
      </c>
      <c r="J41">
        <v>1210.8708495999999</v>
      </c>
      <c r="K41">
        <v>80</v>
      </c>
      <c r="L41">
        <v>44.211971282999997</v>
      </c>
      <c r="M41">
        <v>50</v>
      </c>
      <c r="N41">
        <v>14.992908478</v>
      </c>
    </row>
    <row r="42" spans="1:14" x14ac:dyDescent="0.25">
      <c r="A42">
        <v>0.53590000000000004</v>
      </c>
      <c r="B42" s="1">
        <f>DATE(2010,5,1) + TIME(12,51,41)</f>
        <v>40299.535891203705</v>
      </c>
      <c r="C42">
        <v>2400</v>
      </c>
      <c r="D42">
        <v>0</v>
      </c>
      <c r="E42">
        <v>0</v>
      </c>
      <c r="F42">
        <v>2400</v>
      </c>
      <c r="G42">
        <v>1422.484375</v>
      </c>
      <c r="H42">
        <v>1401.1866454999999</v>
      </c>
      <c r="I42">
        <v>1250.3546143000001</v>
      </c>
      <c r="J42">
        <v>1210.8718262</v>
      </c>
      <c r="K42">
        <v>80</v>
      </c>
      <c r="L42">
        <v>45.187091827000003</v>
      </c>
      <c r="M42">
        <v>50</v>
      </c>
      <c r="N42">
        <v>14.992944717</v>
      </c>
    </row>
    <row r="43" spans="1:14" x14ac:dyDescent="0.25">
      <c r="A43">
        <v>0.55950999999999995</v>
      </c>
      <c r="B43" s="1">
        <f>DATE(2010,5,1) + TIME(13,25,41)</f>
        <v>40299.559502314813</v>
      </c>
      <c r="C43">
        <v>2400</v>
      </c>
      <c r="D43">
        <v>0</v>
      </c>
      <c r="E43">
        <v>0</v>
      </c>
      <c r="F43">
        <v>2400</v>
      </c>
      <c r="G43">
        <v>1421.9957274999999</v>
      </c>
      <c r="H43">
        <v>1401.0211182</v>
      </c>
      <c r="I43">
        <v>1250.3583983999999</v>
      </c>
      <c r="J43">
        <v>1210.8728027</v>
      </c>
      <c r="K43">
        <v>80</v>
      </c>
      <c r="L43">
        <v>46.161468505999999</v>
      </c>
      <c r="M43">
        <v>50</v>
      </c>
      <c r="N43">
        <v>14.992980003</v>
      </c>
    </row>
    <row r="44" spans="1:14" x14ac:dyDescent="0.25">
      <c r="A44">
        <v>0.58374099999999995</v>
      </c>
      <c r="B44" s="1">
        <f>DATE(2010,5,1) + TIME(14,0,35)</f>
        <v>40299.583738425928</v>
      </c>
      <c r="C44">
        <v>2400</v>
      </c>
      <c r="D44">
        <v>0</v>
      </c>
      <c r="E44">
        <v>0</v>
      </c>
      <c r="F44">
        <v>2400</v>
      </c>
      <c r="G44">
        <v>1421.5205077999999</v>
      </c>
      <c r="H44">
        <v>1400.8591309000001</v>
      </c>
      <c r="I44">
        <v>1250.3623047000001</v>
      </c>
      <c r="J44">
        <v>1210.8737793</v>
      </c>
      <c r="K44">
        <v>80</v>
      </c>
      <c r="L44">
        <v>47.135063170999999</v>
      </c>
      <c r="M44">
        <v>50</v>
      </c>
      <c r="N44">
        <v>14.993015289000001</v>
      </c>
    </row>
    <row r="45" spans="1:14" x14ac:dyDescent="0.25">
      <c r="A45">
        <v>0.60862899999999998</v>
      </c>
      <c r="B45" s="1">
        <f>DATE(2010,5,1) + TIME(14,36,25)</f>
        <v>40299.608622685184</v>
      </c>
      <c r="C45">
        <v>2400</v>
      </c>
      <c r="D45">
        <v>0</v>
      </c>
      <c r="E45">
        <v>0</v>
      </c>
      <c r="F45">
        <v>2400</v>
      </c>
      <c r="G45">
        <v>1421.0582274999999</v>
      </c>
      <c r="H45">
        <v>1400.7005615</v>
      </c>
      <c r="I45">
        <v>1250.3660889</v>
      </c>
      <c r="J45">
        <v>1210.8746338000001</v>
      </c>
      <c r="K45">
        <v>80</v>
      </c>
      <c r="L45">
        <v>48.107826232999997</v>
      </c>
      <c r="M45">
        <v>50</v>
      </c>
      <c r="N45">
        <v>14.993051529000001</v>
      </c>
    </row>
    <row r="46" spans="1:14" x14ac:dyDescent="0.25">
      <c r="A46">
        <v>0.63421300000000003</v>
      </c>
      <c r="B46" s="1">
        <f>DATE(2010,5,1) + TIME(15,13,16)</f>
        <v>40299.634212962963</v>
      </c>
      <c r="C46">
        <v>2400</v>
      </c>
      <c r="D46">
        <v>0</v>
      </c>
      <c r="E46">
        <v>0</v>
      </c>
      <c r="F46">
        <v>2400</v>
      </c>
      <c r="G46">
        <v>1420.6080322</v>
      </c>
      <c r="H46">
        <v>1400.5450439000001</v>
      </c>
      <c r="I46">
        <v>1250.3699951000001</v>
      </c>
      <c r="J46">
        <v>1210.8753661999999</v>
      </c>
      <c r="K46">
        <v>80</v>
      </c>
      <c r="L46">
        <v>49.079719543000003</v>
      </c>
      <c r="M46">
        <v>50</v>
      </c>
      <c r="N46">
        <v>14.993087769000001</v>
      </c>
    </row>
    <row r="47" spans="1:14" x14ac:dyDescent="0.25">
      <c r="A47">
        <v>0.66053799999999996</v>
      </c>
      <c r="B47" s="1">
        <f>DATE(2010,5,1) + TIME(15,51,10)</f>
        <v>40299.660532407404</v>
      </c>
      <c r="C47">
        <v>2400</v>
      </c>
      <c r="D47">
        <v>0</v>
      </c>
      <c r="E47">
        <v>0</v>
      </c>
      <c r="F47">
        <v>2400</v>
      </c>
      <c r="G47">
        <v>1420.1694336</v>
      </c>
      <c r="H47">
        <v>1400.3923339999999</v>
      </c>
      <c r="I47">
        <v>1250.3739014</v>
      </c>
      <c r="J47">
        <v>1210.8760986</v>
      </c>
      <c r="K47">
        <v>80</v>
      </c>
      <c r="L47">
        <v>50.050655364999997</v>
      </c>
      <c r="M47">
        <v>50</v>
      </c>
      <c r="N47">
        <v>14.993124008000001</v>
      </c>
    </row>
    <row r="48" spans="1:14" x14ac:dyDescent="0.25">
      <c r="A48">
        <v>0.68765100000000001</v>
      </c>
      <c r="B48" s="1">
        <f>DATE(2010,5,1) + TIME(16,30,13)</f>
        <v>40299.687650462962</v>
      </c>
      <c r="C48">
        <v>2400</v>
      </c>
      <c r="D48">
        <v>0</v>
      </c>
      <c r="E48">
        <v>0</v>
      </c>
      <c r="F48">
        <v>2400</v>
      </c>
      <c r="G48">
        <v>1419.7416992000001</v>
      </c>
      <c r="H48">
        <v>1400.2419434000001</v>
      </c>
      <c r="I48">
        <v>1250.3778076000001</v>
      </c>
      <c r="J48">
        <v>1210.8768310999999</v>
      </c>
      <c r="K48">
        <v>80</v>
      </c>
      <c r="L48">
        <v>51.020191193000002</v>
      </c>
      <c r="M48">
        <v>50</v>
      </c>
      <c r="N48">
        <v>14.993161200999999</v>
      </c>
    </row>
    <row r="49" spans="1:14" x14ac:dyDescent="0.25">
      <c r="A49">
        <v>0.715615</v>
      </c>
      <c r="B49" s="1">
        <f>DATE(2010,5,1) + TIME(17,10,29)</f>
        <v>40299.715613425928</v>
      </c>
      <c r="C49">
        <v>2400</v>
      </c>
      <c r="D49">
        <v>0</v>
      </c>
      <c r="E49">
        <v>0</v>
      </c>
      <c r="F49">
        <v>2400</v>
      </c>
      <c r="G49">
        <v>1419.3243408000001</v>
      </c>
      <c r="H49">
        <v>1400.0938721</v>
      </c>
      <c r="I49">
        <v>1250.3818358999999</v>
      </c>
      <c r="J49">
        <v>1210.8775635</v>
      </c>
      <c r="K49">
        <v>80</v>
      </c>
      <c r="L49">
        <v>51.989082336000003</v>
      </c>
      <c r="M49">
        <v>50</v>
      </c>
      <c r="N49">
        <v>14.993198395</v>
      </c>
    </row>
    <row r="50" spans="1:14" x14ac:dyDescent="0.25">
      <c r="A50">
        <v>0.74447700000000006</v>
      </c>
      <c r="B50" s="1">
        <f>DATE(2010,5,1) + TIME(17,52,2)</f>
        <v>40299.744467592594</v>
      </c>
      <c r="C50">
        <v>2400</v>
      </c>
      <c r="D50">
        <v>0</v>
      </c>
      <c r="E50">
        <v>0</v>
      </c>
      <c r="F50">
        <v>2400</v>
      </c>
      <c r="G50">
        <v>1418.9167480000001</v>
      </c>
      <c r="H50">
        <v>1399.9476318</v>
      </c>
      <c r="I50">
        <v>1250.3857422000001</v>
      </c>
      <c r="J50">
        <v>1210.8781738</v>
      </c>
      <c r="K50">
        <v>80</v>
      </c>
      <c r="L50">
        <v>52.956851958999998</v>
      </c>
      <c r="M50">
        <v>50</v>
      </c>
      <c r="N50">
        <v>14.993235587999999</v>
      </c>
    </row>
    <row r="51" spans="1:14" x14ac:dyDescent="0.25">
      <c r="A51">
        <v>0.77430100000000002</v>
      </c>
      <c r="B51" s="1">
        <f>DATE(2010,5,1) + TIME(18,34,59)</f>
        <v>40299.774293981478</v>
      </c>
      <c r="C51">
        <v>2400</v>
      </c>
      <c r="D51">
        <v>0</v>
      </c>
      <c r="E51">
        <v>0</v>
      </c>
      <c r="F51">
        <v>2400</v>
      </c>
      <c r="G51">
        <v>1418.5184326000001</v>
      </c>
      <c r="H51">
        <v>1399.8029785000001</v>
      </c>
      <c r="I51">
        <v>1250.3897704999999</v>
      </c>
      <c r="J51">
        <v>1210.8787841999999</v>
      </c>
      <c r="K51">
        <v>80</v>
      </c>
      <c r="L51">
        <v>53.923427582000002</v>
      </c>
      <c r="M51">
        <v>50</v>
      </c>
      <c r="N51">
        <v>14.993272781</v>
      </c>
    </row>
    <row r="52" spans="1:14" x14ac:dyDescent="0.25">
      <c r="A52">
        <v>0.80515599999999998</v>
      </c>
      <c r="B52" s="1">
        <f>DATE(2010,5,1) + TIME(19,19,25)</f>
        <v>40299.805150462962</v>
      </c>
      <c r="C52">
        <v>2400</v>
      </c>
      <c r="D52">
        <v>0</v>
      </c>
      <c r="E52">
        <v>0</v>
      </c>
      <c r="F52">
        <v>2400</v>
      </c>
      <c r="G52">
        <v>1418.1286620999999</v>
      </c>
      <c r="H52">
        <v>1399.6597899999999</v>
      </c>
      <c r="I52">
        <v>1250.3939209</v>
      </c>
      <c r="J52">
        <v>1210.8793945</v>
      </c>
      <c r="K52">
        <v>80</v>
      </c>
      <c r="L52">
        <v>54.888717651</v>
      </c>
      <c r="M52">
        <v>50</v>
      </c>
      <c r="N52">
        <v>14.993310928</v>
      </c>
    </row>
    <row r="53" spans="1:14" x14ac:dyDescent="0.25">
      <c r="A53">
        <v>0.83711999999999998</v>
      </c>
      <c r="B53" s="1">
        <f>DATE(2010,5,1) + TIME(20,5,27)</f>
        <v>40299.837118055555</v>
      </c>
      <c r="C53">
        <v>2400</v>
      </c>
      <c r="D53">
        <v>0</v>
      </c>
      <c r="E53">
        <v>0</v>
      </c>
      <c r="F53">
        <v>2400</v>
      </c>
      <c r="G53">
        <v>1417.7470702999999</v>
      </c>
      <c r="H53">
        <v>1399.5175781</v>
      </c>
      <c r="I53">
        <v>1250.3980713000001</v>
      </c>
      <c r="J53">
        <v>1210.8800048999999</v>
      </c>
      <c r="K53">
        <v>80</v>
      </c>
      <c r="L53">
        <v>55.852630615000002</v>
      </c>
      <c r="M53">
        <v>50</v>
      </c>
      <c r="N53">
        <v>14.993349074999999</v>
      </c>
    </row>
    <row r="54" spans="1:14" x14ac:dyDescent="0.25">
      <c r="A54">
        <v>0.870282</v>
      </c>
      <c r="B54" s="1">
        <f>DATE(2010,5,1) + TIME(20,53,12)</f>
        <v>40299.87027777778</v>
      </c>
      <c r="C54">
        <v>2400</v>
      </c>
      <c r="D54">
        <v>0</v>
      </c>
      <c r="E54">
        <v>0</v>
      </c>
      <c r="F54">
        <v>2400</v>
      </c>
      <c r="G54">
        <v>1417.3731689000001</v>
      </c>
      <c r="H54">
        <v>1399.3760986</v>
      </c>
      <c r="I54">
        <v>1250.4022216999999</v>
      </c>
      <c r="J54">
        <v>1210.8806152</v>
      </c>
      <c r="K54">
        <v>80</v>
      </c>
      <c r="L54">
        <v>56.815063477000002</v>
      </c>
      <c r="M54">
        <v>50</v>
      </c>
      <c r="N54">
        <v>14.993388176</v>
      </c>
    </row>
    <row r="55" spans="1:14" x14ac:dyDescent="0.25">
      <c r="A55">
        <v>0.90473700000000001</v>
      </c>
      <c r="B55" s="1">
        <f>DATE(2010,5,1) + TIME(21,42,49)</f>
        <v>40299.904733796298</v>
      </c>
      <c r="C55">
        <v>2400</v>
      </c>
      <c r="D55">
        <v>0</v>
      </c>
      <c r="E55">
        <v>0</v>
      </c>
      <c r="F55">
        <v>2400</v>
      </c>
      <c r="G55">
        <v>1417.0062256000001</v>
      </c>
      <c r="H55">
        <v>1399.2349853999999</v>
      </c>
      <c r="I55">
        <v>1250.4064940999999</v>
      </c>
      <c r="J55">
        <v>1210.8812256000001</v>
      </c>
      <c r="K55">
        <v>80</v>
      </c>
      <c r="L55">
        <v>57.775894164999997</v>
      </c>
      <c r="M55">
        <v>50</v>
      </c>
      <c r="N55">
        <v>14.993427277</v>
      </c>
    </row>
    <row r="56" spans="1:14" x14ac:dyDescent="0.25">
      <c r="A56">
        <v>0.94059700000000002</v>
      </c>
      <c r="B56" s="1">
        <f>DATE(2010,5,1) + TIME(22,34,27)</f>
        <v>40299.94059027778</v>
      </c>
      <c r="C56">
        <v>2400</v>
      </c>
      <c r="D56">
        <v>0</v>
      </c>
      <c r="E56">
        <v>0</v>
      </c>
      <c r="F56">
        <v>2400</v>
      </c>
      <c r="G56">
        <v>1416.645874</v>
      </c>
      <c r="H56">
        <v>1399.0941161999999</v>
      </c>
      <c r="I56">
        <v>1250.4108887</v>
      </c>
      <c r="J56">
        <v>1210.8818358999999</v>
      </c>
      <c r="K56">
        <v>80</v>
      </c>
      <c r="L56">
        <v>58.73500061</v>
      </c>
      <c r="M56">
        <v>50</v>
      </c>
      <c r="N56">
        <v>14.993466377000001</v>
      </c>
    </row>
    <row r="57" spans="1:14" x14ac:dyDescent="0.25">
      <c r="A57">
        <v>0.97798600000000002</v>
      </c>
      <c r="B57" s="1">
        <f>DATE(2010,5,1) + TIME(23,28,18)</f>
        <v>40299.977986111109</v>
      </c>
      <c r="C57">
        <v>2400</v>
      </c>
      <c r="D57">
        <v>0</v>
      </c>
      <c r="E57">
        <v>0</v>
      </c>
      <c r="F57">
        <v>2400</v>
      </c>
      <c r="G57">
        <v>1416.2915039</v>
      </c>
      <c r="H57">
        <v>1398.9528809000001</v>
      </c>
      <c r="I57">
        <v>1250.4152832</v>
      </c>
      <c r="J57">
        <v>1210.8823242000001</v>
      </c>
      <c r="K57">
        <v>80</v>
      </c>
      <c r="L57">
        <v>59.692226410000004</v>
      </c>
      <c r="M57">
        <v>50</v>
      </c>
      <c r="N57">
        <v>14.993506432</v>
      </c>
    </row>
    <row r="58" spans="1:14" x14ac:dyDescent="0.25">
      <c r="A58">
        <v>1.0170459999999999</v>
      </c>
      <c r="B58" s="1">
        <f>DATE(2010,5,2) + TIME(0,24,32)</f>
        <v>40300.01703703704</v>
      </c>
      <c r="C58">
        <v>2400</v>
      </c>
      <c r="D58">
        <v>0</v>
      </c>
      <c r="E58">
        <v>0</v>
      </c>
      <c r="F58">
        <v>2400</v>
      </c>
      <c r="G58">
        <v>1415.9426269999999</v>
      </c>
      <c r="H58">
        <v>1398.8110352000001</v>
      </c>
      <c r="I58">
        <v>1250.4197998</v>
      </c>
      <c r="J58">
        <v>1210.8829346</v>
      </c>
      <c r="K58">
        <v>80</v>
      </c>
      <c r="L58">
        <v>60.646942138999997</v>
      </c>
      <c r="M58">
        <v>50</v>
      </c>
      <c r="N58">
        <v>14.99354744</v>
      </c>
    </row>
    <row r="59" spans="1:14" x14ac:dyDescent="0.25">
      <c r="A59">
        <v>1.0579590000000001</v>
      </c>
      <c r="B59" s="1">
        <f>DATE(2010,5,2) + TIME(1,23,27)</f>
        <v>40300.057951388888</v>
      </c>
      <c r="C59">
        <v>2400</v>
      </c>
      <c r="D59">
        <v>0</v>
      </c>
      <c r="E59">
        <v>0</v>
      </c>
      <c r="F59">
        <v>2400</v>
      </c>
      <c r="G59">
        <v>1415.5985106999999</v>
      </c>
      <c r="H59">
        <v>1398.6680908000001</v>
      </c>
      <c r="I59">
        <v>1250.4243164</v>
      </c>
      <c r="J59">
        <v>1210.8835449000001</v>
      </c>
      <c r="K59">
        <v>80</v>
      </c>
      <c r="L59">
        <v>61.599620819000002</v>
      </c>
      <c r="M59">
        <v>50</v>
      </c>
      <c r="N59">
        <v>14.993588448000001</v>
      </c>
    </row>
    <row r="60" spans="1:14" x14ac:dyDescent="0.25">
      <c r="A60">
        <v>1.100903</v>
      </c>
      <c r="B60" s="1">
        <f>DATE(2010,5,2) + TIME(2,25,18)</f>
        <v>40300.100902777776</v>
      </c>
      <c r="C60">
        <v>2400</v>
      </c>
      <c r="D60">
        <v>0</v>
      </c>
      <c r="E60">
        <v>0</v>
      </c>
      <c r="F60">
        <v>2400</v>
      </c>
      <c r="G60">
        <v>1415.2585449000001</v>
      </c>
      <c r="H60">
        <v>1398.5238036999999</v>
      </c>
      <c r="I60">
        <v>1250.4289550999999</v>
      </c>
      <c r="J60">
        <v>1210.8842772999999</v>
      </c>
      <c r="K60">
        <v>80</v>
      </c>
      <c r="L60">
        <v>62.550048828000001</v>
      </c>
      <c r="M60">
        <v>50</v>
      </c>
      <c r="N60">
        <v>14.993630409</v>
      </c>
    </row>
    <row r="61" spans="1:14" x14ac:dyDescent="0.25">
      <c r="A61">
        <v>1.146088</v>
      </c>
      <c r="B61" s="1">
        <f>DATE(2010,5,2) + TIME(3,30,21)</f>
        <v>40300.14607638889</v>
      </c>
      <c r="C61">
        <v>2400</v>
      </c>
      <c r="D61">
        <v>0</v>
      </c>
      <c r="E61">
        <v>0</v>
      </c>
      <c r="F61">
        <v>2400</v>
      </c>
      <c r="G61">
        <v>1414.9223632999999</v>
      </c>
      <c r="H61">
        <v>1398.3775635</v>
      </c>
      <c r="I61">
        <v>1250.4337158000001</v>
      </c>
      <c r="J61">
        <v>1210.8848877</v>
      </c>
      <c r="K61">
        <v>80</v>
      </c>
      <c r="L61">
        <v>63.497776031000001</v>
      </c>
      <c r="M61">
        <v>50</v>
      </c>
      <c r="N61">
        <v>14.993672371000001</v>
      </c>
    </row>
    <row r="62" spans="1:14" x14ac:dyDescent="0.25">
      <c r="A62">
        <v>1.193765</v>
      </c>
      <c r="B62" s="1">
        <f>DATE(2010,5,2) + TIME(4,39,1)</f>
        <v>40300.193761574075</v>
      </c>
      <c r="C62">
        <v>2400</v>
      </c>
      <c r="D62">
        <v>0</v>
      </c>
      <c r="E62">
        <v>0</v>
      </c>
      <c r="F62">
        <v>2400</v>
      </c>
      <c r="G62">
        <v>1414.5891113</v>
      </c>
      <c r="H62">
        <v>1398.2288818</v>
      </c>
      <c r="I62">
        <v>1250.4385986</v>
      </c>
      <c r="J62">
        <v>1210.8856201000001</v>
      </c>
      <c r="K62">
        <v>80</v>
      </c>
      <c r="L62">
        <v>64.442512511999993</v>
      </c>
      <c r="M62">
        <v>50</v>
      </c>
      <c r="N62">
        <v>14.993716239999999</v>
      </c>
    </row>
    <row r="63" spans="1:14" x14ac:dyDescent="0.25">
      <c r="A63">
        <v>1.2442299999999999</v>
      </c>
      <c r="B63" s="1">
        <f>DATE(2010,5,2) + TIME(5,51,41)</f>
        <v>40300.24422453704</v>
      </c>
      <c r="C63">
        <v>2400</v>
      </c>
      <c r="D63">
        <v>0</v>
      </c>
      <c r="E63">
        <v>0</v>
      </c>
      <c r="F63">
        <v>2400</v>
      </c>
      <c r="G63">
        <v>1414.2581786999999</v>
      </c>
      <c r="H63">
        <v>1398.0772704999999</v>
      </c>
      <c r="I63">
        <v>1250.4434814000001</v>
      </c>
      <c r="J63">
        <v>1210.8863524999999</v>
      </c>
      <c r="K63">
        <v>80</v>
      </c>
      <c r="L63">
        <v>65.384010314999998</v>
      </c>
      <c r="M63">
        <v>50</v>
      </c>
      <c r="N63">
        <v>14.993760109</v>
      </c>
    </row>
    <row r="64" spans="1:14" x14ac:dyDescent="0.25">
      <c r="A64">
        <v>1.2978320000000001</v>
      </c>
      <c r="B64" s="1">
        <f>DATE(2010,5,2) + TIME(7,8,52)</f>
        <v>40300.297824074078</v>
      </c>
      <c r="C64">
        <v>2400</v>
      </c>
      <c r="D64">
        <v>0</v>
      </c>
      <c r="E64">
        <v>0</v>
      </c>
      <c r="F64">
        <v>2400</v>
      </c>
      <c r="G64">
        <v>1413.9287108999999</v>
      </c>
      <c r="H64">
        <v>1397.9219971</v>
      </c>
      <c r="I64">
        <v>1250.4486084</v>
      </c>
      <c r="J64">
        <v>1210.887207</v>
      </c>
      <c r="K64">
        <v>80</v>
      </c>
      <c r="L64">
        <v>66.321853637999993</v>
      </c>
      <c r="M64">
        <v>50</v>
      </c>
      <c r="N64">
        <v>14.993805885</v>
      </c>
    </row>
    <row r="65" spans="1:14" x14ac:dyDescent="0.25">
      <c r="A65">
        <v>1.3264089999999999</v>
      </c>
      <c r="B65" s="1">
        <f>DATE(2010,5,2) + TIME(7,50,1)</f>
        <v>40300.32640046296</v>
      </c>
      <c r="C65">
        <v>2400</v>
      </c>
      <c r="D65">
        <v>0</v>
      </c>
      <c r="E65">
        <v>0</v>
      </c>
      <c r="F65">
        <v>2400</v>
      </c>
      <c r="G65">
        <v>1413.7410889</v>
      </c>
      <c r="H65">
        <v>1397.8000488</v>
      </c>
      <c r="I65">
        <v>1250.4522704999999</v>
      </c>
      <c r="J65">
        <v>1210.8879394999999</v>
      </c>
      <c r="K65">
        <v>80</v>
      </c>
      <c r="L65">
        <v>66.805450438999998</v>
      </c>
      <c r="M65">
        <v>50</v>
      </c>
      <c r="N65">
        <v>14.993829727</v>
      </c>
    </row>
    <row r="66" spans="1:14" x14ac:dyDescent="0.25">
      <c r="A66">
        <v>1.354986</v>
      </c>
      <c r="B66" s="1">
        <f>DATE(2010,5,2) + TIME(8,31,10)</f>
        <v>40300.35497685185</v>
      </c>
      <c r="C66">
        <v>2400</v>
      </c>
      <c r="D66">
        <v>0</v>
      </c>
      <c r="E66">
        <v>0</v>
      </c>
      <c r="F66">
        <v>2400</v>
      </c>
      <c r="G66">
        <v>1413.5751952999999</v>
      </c>
      <c r="H66">
        <v>1397.7189940999999</v>
      </c>
      <c r="I66">
        <v>1250.4556885</v>
      </c>
      <c r="J66">
        <v>1210.8885498</v>
      </c>
      <c r="K66">
        <v>80</v>
      </c>
      <c r="L66">
        <v>67.272369385000005</v>
      </c>
      <c r="M66">
        <v>50</v>
      </c>
      <c r="N66">
        <v>14.993852615</v>
      </c>
    </row>
    <row r="67" spans="1:14" x14ac:dyDescent="0.25">
      <c r="A67">
        <v>1.3835630000000001</v>
      </c>
      <c r="B67" s="1">
        <f>DATE(2010,5,2) + TIME(9,12,19)</f>
        <v>40300.383553240739</v>
      </c>
      <c r="C67">
        <v>2400</v>
      </c>
      <c r="D67">
        <v>0</v>
      </c>
      <c r="E67">
        <v>0</v>
      </c>
      <c r="F67">
        <v>2400</v>
      </c>
      <c r="G67">
        <v>1413.4152832</v>
      </c>
      <c r="H67">
        <v>1397.6390381000001</v>
      </c>
      <c r="I67">
        <v>1250.4587402</v>
      </c>
      <c r="J67">
        <v>1210.8890381000001</v>
      </c>
      <c r="K67">
        <v>80</v>
      </c>
      <c r="L67">
        <v>67.723152161000002</v>
      </c>
      <c r="M67">
        <v>50</v>
      </c>
      <c r="N67">
        <v>14.993876457000001</v>
      </c>
    </row>
    <row r="68" spans="1:14" x14ac:dyDescent="0.25">
      <c r="A68">
        <v>1.41214</v>
      </c>
      <c r="B68" s="1">
        <f>DATE(2010,5,2) + TIME(9,53,28)</f>
        <v>40300.412129629629</v>
      </c>
      <c r="C68">
        <v>2400</v>
      </c>
      <c r="D68">
        <v>0</v>
      </c>
      <c r="E68">
        <v>0</v>
      </c>
      <c r="F68">
        <v>2400</v>
      </c>
      <c r="G68">
        <v>1413.2602539</v>
      </c>
      <c r="H68">
        <v>1397.5601807</v>
      </c>
      <c r="I68">
        <v>1250.4615478999999</v>
      </c>
      <c r="J68">
        <v>1210.8895264</v>
      </c>
      <c r="K68">
        <v>80</v>
      </c>
      <c r="L68">
        <v>68.158332825000002</v>
      </c>
      <c r="M68">
        <v>50</v>
      </c>
      <c r="N68">
        <v>14.993898392</v>
      </c>
    </row>
    <row r="69" spans="1:14" x14ac:dyDescent="0.25">
      <c r="A69">
        <v>1.440717</v>
      </c>
      <c r="B69" s="1">
        <f>DATE(2010,5,2) + TIME(10,34,37)</f>
        <v>40300.440706018519</v>
      </c>
      <c r="C69">
        <v>2400</v>
      </c>
      <c r="D69">
        <v>0</v>
      </c>
      <c r="E69">
        <v>0</v>
      </c>
      <c r="F69">
        <v>2400</v>
      </c>
      <c r="G69">
        <v>1413.1097411999999</v>
      </c>
      <c r="H69">
        <v>1397.4822998</v>
      </c>
      <c r="I69">
        <v>1250.4642334</v>
      </c>
      <c r="J69">
        <v>1210.8900146000001</v>
      </c>
      <c r="K69">
        <v>80</v>
      </c>
      <c r="L69">
        <v>68.578414917000003</v>
      </c>
      <c r="M69">
        <v>50</v>
      </c>
      <c r="N69">
        <v>14.993920326</v>
      </c>
    </row>
    <row r="70" spans="1:14" x14ac:dyDescent="0.25">
      <c r="A70">
        <v>1.469295</v>
      </c>
      <c r="B70" s="1">
        <f>DATE(2010,5,2) + TIME(11,15,47)</f>
        <v>40300.469293981485</v>
      </c>
      <c r="C70">
        <v>2400</v>
      </c>
      <c r="D70">
        <v>0</v>
      </c>
      <c r="E70">
        <v>0</v>
      </c>
      <c r="F70">
        <v>2400</v>
      </c>
      <c r="G70">
        <v>1412.9636230000001</v>
      </c>
      <c r="H70">
        <v>1397.4055175999999</v>
      </c>
      <c r="I70">
        <v>1250.4667969</v>
      </c>
      <c r="J70">
        <v>1210.8903809000001</v>
      </c>
      <c r="K70">
        <v>80</v>
      </c>
      <c r="L70">
        <v>68.983886718999997</v>
      </c>
      <c r="M70">
        <v>50</v>
      </c>
      <c r="N70">
        <v>14.993942261000001</v>
      </c>
    </row>
    <row r="71" spans="1:14" x14ac:dyDescent="0.25">
      <c r="A71">
        <v>1.5264489999999999</v>
      </c>
      <c r="B71" s="1">
        <f>DATE(2010,5,2) + TIME(12,38,5)</f>
        <v>40300.526446759257</v>
      </c>
      <c r="C71">
        <v>2400</v>
      </c>
      <c r="D71">
        <v>0</v>
      </c>
      <c r="E71">
        <v>0</v>
      </c>
      <c r="F71">
        <v>2400</v>
      </c>
      <c r="G71">
        <v>1412.7142334</v>
      </c>
      <c r="H71">
        <v>1397.3017577999999</v>
      </c>
      <c r="I71">
        <v>1250.4702147999999</v>
      </c>
      <c r="J71">
        <v>1210.8909911999999</v>
      </c>
      <c r="K71">
        <v>80</v>
      </c>
      <c r="L71">
        <v>69.739151000999996</v>
      </c>
      <c r="M71">
        <v>50</v>
      </c>
      <c r="N71">
        <v>14.993983268999999</v>
      </c>
    </row>
    <row r="72" spans="1:14" x14ac:dyDescent="0.25">
      <c r="A72">
        <v>1.5836669999999999</v>
      </c>
      <c r="B72" s="1">
        <f>DATE(2010,5,2) + TIME(14,0,28)</f>
        <v>40300.583657407406</v>
      </c>
      <c r="C72">
        <v>2400</v>
      </c>
      <c r="D72">
        <v>0</v>
      </c>
      <c r="E72">
        <v>0</v>
      </c>
      <c r="F72">
        <v>2400</v>
      </c>
      <c r="G72">
        <v>1412.4522704999999</v>
      </c>
      <c r="H72">
        <v>1397.1541748</v>
      </c>
      <c r="I72">
        <v>1250.4742432</v>
      </c>
      <c r="J72">
        <v>1210.8919678</v>
      </c>
      <c r="K72">
        <v>80</v>
      </c>
      <c r="L72">
        <v>70.443855286000002</v>
      </c>
      <c r="M72">
        <v>50</v>
      </c>
      <c r="N72">
        <v>14.994023323</v>
      </c>
    </row>
    <row r="73" spans="1:14" x14ac:dyDescent="0.25">
      <c r="A73">
        <v>1.6411819999999999</v>
      </c>
      <c r="B73" s="1">
        <f>DATE(2010,5,2) + TIME(15,23,18)</f>
        <v>40300.641180555554</v>
      </c>
      <c r="C73">
        <v>2400</v>
      </c>
      <c r="D73">
        <v>0</v>
      </c>
      <c r="E73">
        <v>0</v>
      </c>
      <c r="F73">
        <v>2400</v>
      </c>
      <c r="G73">
        <v>1412.2019043</v>
      </c>
      <c r="H73">
        <v>1397.0096435999999</v>
      </c>
      <c r="I73">
        <v>1250.4786377</v>
      </c>
      <c r="J73">
        <v>1210.8928223</v>
      </c>
      <c r="K73">
        <v>80</v>
      </c>
      <c r="L73">
        <v>71.103706360000004</v>
      </c>
      <c r="M73">
        <v>50</v>
      </c>
      <c r="N73">
        <v>14.99406147</v>
      </c>
    </row>
    <row r="74" spans="1:14" x14ac:dyDescent="0.25">
      <c r="A74">
        <v>1.6990780000000001</v>
      </c>
      <c r="B74" s="1">
        <f>DATE(2010,5,2) + TIME(16,46,40)</f>
        <v>40300.699074074073</v>
      </c>
      <c r="C74">
        <v>2400</v>
      </c>
      <c r="D74">
        <v>0</v>
      </c>
      <c r="E74">
        <v>0</v>
      </c>
      <c r="F74">
        <v>2400</v>
      </c>
      <c r="G74">
        <v>1411.9621582</v>
      </c>
      <c r="H74">
        <v>1396.8675536999999</v>
      </c>
      <c r="I74">
        <v>1250.4829102000001</v>
      </c>
      <c r="J74">
        <v>1210.8937988</v>
      </c>
      <c r="K74">
        <v>80</v>
      </c>
      <c r="L74">
        <v>71.722152710000003</v>
      </c>
      <c r="M74">
        <v>50</v>
      </c>
      <c r="N74">
        <v>14.994099617</v>
      </c>
    </row>
    <row r="75" spans="1:14" x14ac:dyDescent="0.25">
      <c r="A75">
        <v>1.7574399999999999</v>
      </c>
      <c r="B75" s="1">
        <f>DATE(2010,5,2) + TIME(18,10,42)</f>
        <v>40300.757430555554</v>
      </c>
      <c r="C75">
        <v>2400</v>
      </c>
      <c r="D75">
        <v>0</v>
      </c>
      <c r="E75">
        <v>0</v>
      </c>
      <c r="F75">
        <v>2400</v>
      </c>
      <c r="G75">
        <v>1411.7319336</v>
      </c>
      <c r="H75">
        <v>1396.7274170000001</v>
      </c>
      <c r="I75">
        <v>1250.4871826000001</v>
      </c>
      <c r="J75">
        <v>1210.8947754000001</v>
      </c>
      <c r="K75">
        <v>80</v>
      </c>
      <c r="L75">
        <v>72.302146911999998</v>
      </c>
      <c r="M75">
        <v>50</v>
      </c>
      <c r="N75">
        <v>14.994135857</v>
      </c>
    </row>
    <row r="76" spans="1:14" x14ac:dyDescent="0.25">
      <c r="A76">
        <v>1.8163499999999999</v>
      </c>
      <c r="B76" s="1">
        <f>DATE(2010,5,2) + TIME(19,35,32)</f>
        <v>40300.816342592596</v>
      </c>
      <c r="C76">
        <v>2400</v>
      </c>
      <c r="D76">
        <v>0</v>
      </c>
      <c r="E76">
        <v>0</v>
      </c>
      <c r="F76">
        <v>2400</v>
      </c>
      <c r="G76">
        <v>1411.5100098</v>
      </c>
      <c r="H76">
        <v>1396.5888672000001</v>
      </c>
      <c r="I76">
        <v>1250.4912108999999</v>
      </c>
      <c r="J76">
        <v>1210.895874</v>
      </c>
      <c r="K76">
        <v>80</v>
      </c>
      <c r="L76">
        <v>72.846328735</v>
      </c>
      <c r="M76">
        <v>50</v>
      </c>
      <c r="N76">
        <v>14.994171143000001</v>
      </c>
    </row>
    <row r="77" spans="1:14" x14ac:dyDescent="0.25">
      <c r="A77">
        <v>1.875893</v>
      </c>
      <c r="B77" s="1">
        <f>DATE(2010,5,2) + TIME(21,1,17)</f>
        <v>40300.875891203701</v>
      </c>
      <c r="C77">
        <v>2400</v>
      </c>
      <c r="D77">
        <v>0</v>
      </c>
      <c r="E77">
        <v>0</v>
      </c>
      <c r="F77">
        <v>2400</v>
      </c>
      <c r="G77">
        <v>1411.2957764</v>
      </c>
      <c r="H77">
        <v>1396.4515381000001</v>
      </c>
      <c r="I77">
        <v>1250.4952393000001</v>
      </c>
      <c r="J77">
        <v>1210.8968506000001</v>
      </c>
      <c r="K77">
        <v>80</v>
      </c>
      <c r="L77">
        <v>73.357078552000004</v>
      </c>
      <c r="M77">
        <v>50</v>
      </c>
      <c r="N77">
        <v>14.994205474999999</v>
      </c>
    </row>
    <row r="78" spans="1:14" x14ac:dyDescent="0.25">
      <c r="A78">
        <v>1.9361459999999999</v>
      </c>
      <c r="B78" s="1">
        <f>DATE(2010,5,2) + TIME(22,28,2)</f>
        <v>40300.93613425926</v>
      </c>
      <c r="C78">
        <v>2400</v>
      </c>
      <c r="D78">
        <v>0</v>
      </c>
      <c r="E78">
        <v>0</v>
      </c>
      <c r="F78">
        <v>2400</v>
      </c>
      <c r="G78">
        <v>1411.0881348</v>
      </c>
      <c r="H78">
        <v>1396.3153076000001</v>
      </c>
      <c r="I78">
        <v>1250.4990233999999</v>
      </c>
      <c r="J78">
        <v>1210.8978271000001</v>
      </c>
      <c r="K78">
        <v>80</v>
      </c>
      <c r="L78">
        <v>73.836502074999999</v>
      </c>
      <c r="M78">
        <v>50</v>
      </c>
      <c r="N78">
        <v>14.994239807</v>
      </c>
    </row>
    <row r="79" spans="1:14" x14ac:dyDescent="0.25">
      <c r="A79">
        <v>1.9971909999999999</v>
      </c>
      <c r="B79" s="1">
        <f>DATE(2010,5,2) + TIME(23,55,57)</f>
        <v>40300.997187499997</v>
      </c>
      <c r="C79">
        <v>2400</v>
      </c>
      <c r="D79">
        <v>0</v>
      </c>
      <c r="E79">
        <v>0</v>
      </c>
      <c r="F79">
        <v>2400</v>
      </c>
      <c r="G79">
        <v>1410.8863524999999</v>
      </c>
      <c r="H79">
        <v>1396.1799315999999</v>
      </c>
      <c r="I79">
        <v>1250.5028076000001</v>
      </c>
      <c r="J79">
        <v>1210.8989257999999</v>
      </c>
      <c r="K79">
        <v>80</v>
      </c>
      <c r="L79">
        <v>74.286544800000001</v>
      </c>
      <c r="M79">
        <v>50</v>
      </c>
      <c r="N79">
        <v>14.994273185999999</v>
      </c>
    </row>
    <row r="80" spans="1:14" x14ac:dyDescent="0.25">
      <c r="A80">
        <v>2.059123</v>
      </c>
      <c r="B80" s="1">
        <f>DATE(2010,5,3) + TIME(1,25,8)</f>
        <v>40301.059120370373</v>
      </c>
      <c r="C80">
        <v>2400</v>
      </c>
      <c r="D80">
        <v>0</v>
      </c>
      <c r="E80">
        <v>0</v>
      </c>
      <c r="F80">
        <v>2400</v>
      </c>
      <c r="G80">
        <v>1410.6900635</v>
      </c>
      <c r="H80">
        <v>1396.0449219</v>
      </c>
      <c r="I80">
        <v>1250.5063477000001</v>
      </c>
      <c r="J80">
        <v>1210.8999022999999</v>
      </c>
      <c r="K80">
        <v>80</v>
      </c>
      <c r="L80">
        <v>74.709060668999996</v>
      </c>
      <c r="M80">
        <v>50</v>
      </c>
      <c r="N80">
        <v>14.994305611</v>
      </c>
    </row>
    <row r="81" spans="1:14" x14ac:dyDescent="0.25">
      <c r="A81">
        <v>2.1220319999999999</v>
      </c>
      <c r="B81" s="1">
        <f>DATE(2010,5,3) + TIME(2,55,43)</f>
        <v>40301.122025462966</v>
      </c>
      <c r="C81">
        <v>2400</v>
      </c>
      <c r="D81">
        <v>0</v>
      </c>
      <c r="E81">
        <v>0</v>
      </c>
      <c r="F81">
        <v>2400</v>
      </c>
      <c r="G81">
        <v>1410.4984131000001</v>
      </c>
      <c r="H81">
        <v>1395.9102783000001</v>
      </c>
      <c r="I81">
        <v>1250.5098877</v>
      </c>
      <c r="J81">
        <v>1210.901001</v>
      </c>
      <c r="K81">
        <v>80</v>
      </c>
      <c r="L81">
        <v>75.105590820000003</v>
      </c>
      <c r="M81">
        <v>50</v>
      </c>
      <c r="N81">
        <v>14.994338036</v>
      </c>
    </row>
    <row r="82" spans="1:14" x14ac:dyDescent="0.25">
      <c r="A82">
        <v>2.18601</v>
      </c>
      <c r="B82" s="1">
        <f>DATE(2010,5,3) + TIME(4,27,51)</f>
        <v>40301.186006944445</v>
      </c>
      <c r="C82">
        <v>2400</v>
      </c>
      <c r="D82">
        <v>0</v>
      </c>
      <c r="E82">
        <v>0</v>
      </c>
      <c r="F82">
        <v>2400</v>
      </c>
      <c r="G82">
        <v>1410.3110352000001</v>
      </c>
      <c r="H82">
        <v>1395.7757568</v>
      </c>
      <c r="I82">
        <v>1250.5133057</v>
      </c>
      <c r="J82">
        <v>1210.9020995999999</v>
      </c>
      <c r="K82">
        <v>80</v>
      </c>
      <c r="L82">
        <v>75.477500915999997</v>
      </c>
      <c r="M82">
        <v>50</v>
      </c>
      <c r="N82">
        <v>14.994369507</v>
      </c>
    </row>
    <row r="83" spans="1:14" x14ac:dyDescent="0.25">
      <c r="A83">
        <v>2.2511549999999998</v>
      </c>
      <c r="B83" s="1">
        <f>DATE(2010,5,3) + TIME(6,1,39)</f>
        <v>40301.251145833332</v>
      </c>
      <c r="C83">
        <v>2400</v>
      </c>
      <c r="D83">
        <v>0</v>
      </c>
      <c r="E83">
        <v>0</v>
      </c>
      <c r="F83">
        <v>2400</v>
      </c>
      <c r="G83">
        <v>1410.1271973</v>
      </c>
      <c r="H83">
        <v>1395.6412353999999</v>
      </c>
      <c r="I83">
        <v>1250.5167236</v>
      </c>
      <c r="J83">
        <v>1210.9030762</v>
      </c>
      <c r="K83">
        <v>80</v>
      </c>
      <c r="L83">
        <v>75.826385497999993</v>
      </c>
      <c r="M83">
        <v>50</v>
      </c>
      <c r="N83">
        <v>14.994400024000001</v>
      </c>
    </row>
    <row r="84" spans="1:14" x14ac:dyDescent="0.25">
      <c r="A84">
        <v>2.317571</v>
      </c>
      <c r="B84" s="1">
        <f>DATE(2010,5,3) + TIME(7,37,18)</f>
        <v>40301.317569444444</v>
      </c>
      <c r="C84">
        <v>2400</v>
      </c>
      <c r="D84">
        <v>0</v>
      </c>
      <c r="E84">
        <v>0</v>
      </c>
      <c r="F84">
        <v>2400</v>
      </c>
      <c r="G84">
        <v>1409.9466553</v>
      </c>
      <c r="H84">
        <v>1395.5063477000001</v>
      </c>
      <c r="I84">
        <v>1250.5198975000001</v>
      </c>
      <c r="J84">
        <v>1210.9041748</v>
      </c>
      <c r="K84">
        <v>80</v>
      </c>
      <c r="L84">
        <v>76.153518676999994</v>
      </c>
      <c r="M84">
        <v>50</v>
      </c>
      <c r="N84">
        <v>14.994430542</v>
      </c>
    </row>
    <row r="85" spans="1:14" x14ac:dyDescent="0.25">
      <c r="A85">
        <v>2.385367</v>
      </c>
      <c r="B85" s="1">
        <f>DATE(2010,5,3) + TIME(9,14,55)</f>
        <v>40301.385358796295</v>
      </c>
      <c r="C85">
        <v>2400</v>
      </c>
      <c r="D85">
        <v>0</v>
      </c>
      <c r="E85">
        <v>0</v>
      </c>
      <c r="F85">
        <v>2400</v>
      </c>
      <c r="G85">
        <v>1409.7689209</v>
      </c>
      <c r="H85">
        <v>1395.3709716999999</v>
      </c>
      <c r="I85">
        <v>1250.5230713000001</v>
      </c>
      <c r="J85">
        <v>1210.9052733999999</v>
      </c>
      <c r="K85">
        <v>80</v>
      </c>
      <c r="L85">
        <v>76.460083007999998</v>
      </c>
      <c r="M85">
        <v>50</v>
      </c>
      <c r="N85">
        <v>14.994461060000001</v>
      </c>
    </row>
    <row r="86" spans="1:14" x14ac:dyDescent="0.25">
      <c r="A86">
        <v>2.4546600000000001</v>
      </c>
      <c r="B86" s="1">
        <f>DATE(2010,5,3) + TIME(10,54,42)</f>
        <v>40301.454652777778</v>
      </c>
      <c r="C86">
        <v>2400</v>
      </c>
      <c r="D86">
        <v>0</v>
      </c>
      <c r="E86">
        <v>0</v>
      </c>
      <c r="F86">
        <v>2400</v>
      </c>
      <c r="G86">
        <v>1409.5936279</v>
      </c>
      <c r="H86">
        <v>1395.2351074000001</v>
      </c>
      <c r="I86">
        <v>1250.5262451000001</v>
      </c>
      <c r="J86">
        <v>1210.9063721</v>
      </c>
      <c r="K86">
        <v>80</v>
      </c>
      <c r="L86">
        <v>76.747184752999999</v>
      </c>
      <c r="M86">
        <v>50</v>
      </c>
      <c r="N86">
        <v>14.994490623000001</v>
      </c>
    </row>
    <row r="87" spans="1:14" x14ac:dyDescent="0.25">
      <c r="A87">
        <v>2.5255730000000001</v>
      </c>
      <c r="B87" s="1">
        <f>DATE(2010,5,3) + TIME(12,36,49)</f>
        <v>40301.525567129633</v>
      </c>
      <c r="C87">
        <v>2400</v>
      </c>
      <c r="D87">
        <v>0</v>
      </c>
      <c r="E87">
        <v>0</v>
      </c>
      <c r="F87">
        <v>2400</v>
      </c>
      <c r="G87">
        <v>1409.4202881000001</v>
      </c>
      <c r="H87">
        <v>1395.0983887</v>
      </c>
      <c r="I87">
        <v>1250.5292969</v>
      </c>
      <c r="J87">
        <v>1210.9075928</v>
      </c>
      <c r="K87">
        <v>80</v>
      </c>
      <c r="L87">
        <v>77.015846252000003</v>
      </c>
      <c r="M87">
        <v>50</v>
      </c>
      <c r="N87">
        <v>14.994520186999999</v>
      </c>
    </row>
    <row r="88" spans="1:14" x14ac:dyDescent="0.25">
      <c r="A88">
        <v>2.598252</v>
      </c>
      <c r="B88" s="1">
        <f>DATE(2010,5,3) + TIME(14,21,28)</f>
        <v>40301.598240740743</v>
      </c>
      <c r="C88">
        <v>2400</v>
      </c>
      <c r="D88">
        <v>0</v>
      </c>
      <c r="E88">
        <v>0</v>
      </c>
      <c r="F88">
        <v>2400</v>
      </c>
      <c r="G88">
        <v>1409.2486572</v>
      </c>
      <c r="H88">
        <v>1394.9608154</v>
      </c>
      <c r="I88">
        <v>1250.5322266000001</v>
      </c>
      <c r="J88">
        <v>1210.9086914</v>
      </c>
      <c r="K88">
        <v>80</v>
      </c>
      <c r="L88">
        <v>77.267051696999999</v>
      </c>
      <c r="M88">
        <v>50</v>
      </c>
      <c r="N88">
        <v>14.994549750999999</v>
      </c>
    </row>
    <row r="89" spans="1:14" x14ac:dyDescent="0.25">
      <c r="A89">
        <v>2.6728580000000002</v>
      </c>
      <c r="B89" s="1">
        <f>DATE(2010,5,3) + TIME(16,8,54)</f>
        <v>40301.672847222224</v>
      </c>
      <c r="C89">
        <v>2400</v>
      </c>
      <c r="D89">
        <v>0</v>
      </c>
      <c r="E89">
        <v>0</v>
      </c>
      <c r="F89">
        <v>2400</v>
      </c>
      <c r="G89">
        <v>1409.0783690999999</v>
      </c>
      <c r="H89">
        <v>1394.8220214999999</v>
      </c>
      <c r="I89">
        <v>1250.5351562000001</v>
      </c>
      <c r="J89">
        <v>1210.9097899999999</v>
      </c>
      <c r="K89">
        <v>80</v>
      </c>
      <c r="L89">
        <v>77.501747131000002</v>
      </c>
      <c r="M89">
        <v>50</v>
      </c>
      <c r="N89">
        <v>14.994579314999999</v>
      </c>
    </row>
    <row r="90" spans="1:14" x14ac:dyDescent="0.25">
      <c r="A90">
        <v>2.7495270000000001</v>
      </c>
      <c r="B90" s="1">
        <f>DATE(2010,5,3) + TIME(17,59,19)</f>
        <v>40301.749525462961</v>
      </c>
      <c r="C90">
        <v>2400</v>
      </c>
      <c r="D90">
        <v>0</v>
      </c>
      <c r="E90">
        <v>0</v>
      </c>
      <c r="F90">
        <v>2400</v>
      </c>
      <c r="G90">
        <v>1408.9090576000001</v>
      </c>
      <c r="H90">
        <v>1394.6820068</v>
      </c>
      <c r="I90">
        <v>1250.5379639</v>
      </c>
      <c r="J90">
        <v>1210.9110106999999</v>
      </c>
      <c r="K90">
        <v>80</v>
      </c>
      <c r="L90">
        <v>77.720695496000005</v>
      </c>
      <c r="M90">
        <v>50</v>
      </c>
      <c r="N90">
        <v>14.994607925</v>
      </c>
    </row>
    <row r="91" spans="1:14" x14ac:dyDescent="0.25">
      <c r="A91">
        <v>2.8284340000000001</v>
      </c>
      <c r="B91" s="1">
        <f>DATE(2010,5,3) + TIME(19,52,56)</f>
        <v>40301.828425925924</v>
      </c>
      <c r="C91">
        <v>2400</v>
      </c>
      <c r="D91">
        <v>0</v>
      </c>
      <c r="E91">
        <v>0</v>
      </c>
      <c r="F91">
        <v>2400</v>
      </c>
      <c r="G91">
        <v>1408.7404785000001</v>
      </c>
      <c r="H91">
        <v>1394.5405272999999</v>
      </c>
      <c r="I91">
        <v>1250.5407714999999</v>
      </c>
      <c r="J91">
        <v>1210.9122314000001</v>
      </c>
      <c r="K91">
        <v>80</v>
      </c>
      <c r="L91">
        <v>77.924690247000001</v>
      </c>
      <c r="M91">
        <v>50</v>
      </c>
      <c r="N91">
        <v>14.994636536</v>
      </c>
    </row>
    <row r="92" spans="1:14" x14ac:dyDescent="0.25">
      <c r="A92">
        <v>2.90977</v>
      </c>
      <c r="B92" s="1">
        <f>DATE(2010,5,3) + TIME(21,50,4)</f>
        <v>40301.909768518519</v>
      </c>
      <c r="C92">
        <v>2400</v>
      </c>
      <c r="D92">
        <v>0</v>
      </c>
      <c r="E92">
        <v>0</v>
      </c>
      <c r="F92">
        <v>2400</v>
      </c>
      <c r="G92">
        <v>1408.5722656</v>
      </c>
      <c r="H92">
        <v>1394.3974608999999</v>
      </c>
      <c r="I92">
        <v>1250.5435791</v>
      </c>
      <c r="J92">
        <v>1210.9134521000001</v>
      </c>
      <c r="K92">
        <v>80</v>
      </c>
      <c r="L92">
        <v>78.114479064999998</v>
      </c>
      <c r="M92">
        <v>50</v>
      </c>
      <c r="N92">
        <v>14.994665145999999</v>
      </c>
    </row>
    <row r="93" spans="1:14" x14ac:dyDescent="0.25">
      <c r="A93">
        <v>2.993744</v>
      </c>
      <c r="B93" s="1">
        <f>DATE(2010,5,3) + TIME(23,50,59)</f>
        <v>40301.993738425925</v>
      </c>
      <c r="C93">
        <v>2400</v>
      </c>
      <c r="D93">
        <v>0</v>
      </c>
      <c r="E93">
        <v>0</v>
      </c>
      <c r="F93">
        <v>2400</v>
      </c>
      <c r="G93">
        <v>1408.4041748</v>
      </c>
      <c r="H93">
        <v>1394.2525635</v>
      </c>
      <c r="I93">
        <v>1250.5462646000001</v>
      </c>
      <c r="J93">
        <v>1210.9146728999999</v>
      </c>
      <c r="K93">
        <v>80</v>
      </c>
      <c r="L93">
        <v>78.290779114000003</v>
      </c>
      <c r="M93">
        <v>50</v>
      </c>
      <c r="N93">
        <v>14.994694709999999</v>
      </c>
    </row>
    <row r="94" spans="1:14" x14ac:dyDescent="0.25">
      <c r="A94">
        <v>3.0805899999999999</v>
      </c>
      <c r="B94" s="1">
        <f>DATE(2010,5,4) + TIME(1,56,2)</f>
        <v>40302.080578703702</v>
      </c>
      <c r="C94">
        <v>2400</v>
      </c>
      <c r="D94">
        <v>0</v>
      </c>
      <c r="E94">
        <v>0</v>
      </c>
      <c r="F94">
        <v>2400</v>
      </c>
      <c r="G94">
        <v>1408.2358397999999</v>
      </c>
      <c r="H94">
        <v>1394.1055908000001</v>
      </c>
      <c r="I94">
        <v>1250.5490723</v>
      </c>
      <c r="J94">
        <v>1210.9160156</v>
      </c>
      <c r="K94">
        <v>80</v>
      </c>
      <c r="L94">
        <v>78.454254149999997</v>
      </c>
      <c r="M94">
        <v>50</v>
      </c>
      <c r="N94">
        <v>14.99472332</v>
      </c>
    </row>
    <row r="95" spans="1:14" x14ac:dyDescent="0.25">
      <c r="A95">
        <v>3.1705670000000001</v>
      </c>
      <c r="B95" s="1">
        <f>DATE(2010,5,4) + TIME(4,5,37)</f>
        <v>40302.170567129629</v>
      </c>
      <c r="C95">
        <v>2400</v>
      </c>
      <c r="D95">
        <v>0</v>
      </c>
      <c r="E95">
        <v>0</v>
      </c>
      <c r="F95">
        <v>2400</v>
      </c>
      <c r="G95">
        <v>1408.0668945</v>
      </c>
      <c r="H95">
        <v>1393.9564209</v>
      </c>
      <c r="I95">
        <v>1250.5517577999999</v>
      </c>
      <c r="J95">
        <v>1210.9173584</v>
      </c>
      <c r="K95">
        <v>80</v>
      </c>
      <c r="L95">
        <v>78.605545043999996</v>
      </c>
      <c r="M95">
        <v>50</v>
      </c>
      <c r="N95">
        <v>14.99475193</v>
      </c>
    </row>
    <row r="96" spans="1:14" x14ac:dyDescent="0.25">
      <c r="A96">
        <v>3.2633429999999999</v>
      </c>
      <c r="B96" s="1">
        <f>DATE(2010,5,4) + TIME(6,19,12)</f>
        <v>40302.263333333336</v>
      </c>
      <c r="C96">
        <v>2400</v>
      </c>
      <c r="D96">
        <v>0</v>
      </c>
      <c r="E96">
        <v>0</v>
      </c>
      <c r="F96">
        <v>2400</v>
      </c>
      <c r="G96">
        <v>1407.8973389</v>
      </c>
      <c r="H96">
        <v>1393.8049315999999</v>
      </c>
      <c r="I96">
        <v>1250.5544434000001</v>
      </c>
      <c r="J96">
        <v>1210.9187012</v>
      </c>
      <c r="K96">
        <v>80</v>
      </c>
      <c r="L96">
        <v>78.744438170999999</v>
      </c>
      <c r="M96">
        <v>50</v>
      </c>
      <c r="N96">
        <v>14.994781494</v>
      </c>
    </row>
    <row r="97" spans="1:14" x14ac:dyDescent="0.25">
      <c r="A97">
        <v>3.3591329999999999</v>
      </c>
      <c r="B97" s="1">
        <f>DATE(2010,5,4) + TIME(8,37,9)</f>
        <v>40302.359131944446</v>
      </c>
      <c r="C97">
        <v>2400</v>
      </c>
      <c r="D97">
        <v>0</v>
      </c>
      <c r="E97">
        <v>0</v>
      </c>
      <c r="F97">
        <v>2400</v>
      </c>
      <c r="G97">
        <v>1407.7276611</v>
      </c>
      <c r="H97">
        <v>1393.6517334</v>
      </c>
      <c r="I97">
        <v>1250.5570068</v>
      </c>
      <c r="J97">
        <v>1210.9200439000001</v>
      </c>
      <c r="K97">
        <v>80</v>
      </c>
      <c r="L97">
        <v>78.871658324999999</v>
      </c>
      <c r="M97">
        <v>50</v>
      </c>
      <c r="N97">
        <v>14.994810104000001</v>
      </c>
    </row>
    <row r="98" spans="1:14" x14ac:dyDescent="0.25">
      <c r="A98">
        <v>3.4582030000000001</v>
      </c>
      <c r="B98" s="1">
        <f>DATE(2010,5,4) + TIME(10,59,48)</f>
        <v>40302.458194444444</v>
      </c>
      <c r="C98">
        <v>2400</v>
      </c>
      <c r="D98">
        <v>0</v>
      </c>
      <c r="E98">
        <v>0</v>
      </c>
      <c r="F98">
        <v>2400</v>
      </c>
      <c r="G98">
        <v>1407.5574951000001</v>
      </c>
      <c r="H98">
        <v>1393.496582</v>
      </c>
      <c r="I98">
        <v>1250.5596923999999</v>
      </c>
      <c r="J98">
        <v>1210.9215088000001</v>
      </c>
      <c r="K98">
        <v>80</v>
      </c>
      <c r="L98">
        <v>78.987953185999999</v>
      </c>
      <c r="M98">
        <v>50</v>
      </c>
      <c r="N98">
        <v>14.994838715</v>
      </c>
    </row>
    <row r="99" spans="1:14" x14ac:dyDescent="0.25">
      <c r="A99">
        <v>3.5606870000000002</v>
      </c>
      <c r="B99" s="1">
        <f>DATE(2010,5,4) + TIME(13,27,23)</f>
        <v>40302.560682870368</v>
      </c>
      <c r="C99">
        <v>2400</v>
      </c>
      <c r="D99">
        <v>0</v>
      </c>
      <c r="E99">
        <v>0</v>
      </c>
      <c r="F99">
        <v>2400</v>
      </c>
      <c r="G99">
        <v>1407.3867187999999</v>
      </c>
      <c r="H99">
        <v>1393.3395995999999</v>
      </c>
      <c r="I99">
        <v>1250.5623779</v>
      </c>
      <c r="J99">
        <v>1210.9228516000001</v>
      </c>
      <c r="K99">
        <v>80</v>
      </c>
      <c r="L99">
        <v>79.093864440999994</v>
      </c>
      <c r="M99">
        <v>50</v>
      </c>
      <c r="N99">
        <v>14.994868279</v>
      </c>
    </row>
    <row r="100" spans="1:14" x14ac:dyDescent="0.25">
      <c r="A100">
        <v>3.666846</v>
      </c>
      <c r="B100" s="1">
        <f>DATE(2010,5,4) + TIME(16,0,15)</f>
        <v>40302.66684027778</v>
      </c>
      <c r="C100">
        <v>2400</v>
      </c>
      <c r="D100">
        <v>0</v>
      </c>
      <c r="E100">
        <v>0</v>
      </c>
      <c r="F100">
        <v>2400</v>
      </c>
      <c r="G100">
        <v>1407.2152100000001</v>
      </c>
      <c r="H100">
        <v>1393.1804199000001</v>
      </c>
      <c r="I100">
        <v>1250.5649414</v>
      </c>
      <c r="J100">
        <v>1210.9244385</v>
      </c>
      <c r="K100">
        <v>80</v>
      </c>
      <c r="L100">
        <v>79.190048218000001</v>
      </c>
      <c r="M100">
        <v>50</v>
      </c>
      <c r="N100">
        <v>14.994897842</v>
      </c>
    </row>
    <row r="101" spans="1:14" x14ac:dyDescent="0.25">
      <c r="A101">
        <v>3.7770169999999998</v>
      </c>
      <c r="B101" s="1">
        <f>DATE(2010,5,4) + TIME(18,38,54)</f>
        <v>40302.777013888888</v>
      </c>
      <c r="C101">
        <v>2400</v>
      </c>
      <c r="D101">
        <v>0</v>
      </c>
      <c r="E101">
        <v>0</v>
      </c>
      <c r="F101">
        <v>2400</v>
      </c>
      <c r="G101">
        <v>1407.0427245999999</v>
      </c>
      <c r="H101">
        <v>1393.0191649999999</v>
      </c>
      <c r="I101">
        <v>1250.5676269999999</v>
      </c>
      <c r="J101">
        <v>1210.9259033000001</v>
      </c>
      <c r="K101">
        <v>80</v>
      </c>
      <c r="L101">
        <v>79.277168274000005</v>
      </c>
      <c r="M101">
        <v>50</v>
      </c>
      <c r="N101">
        <v>14.994926453</v>
      </c>
    </row>
    <row r="102" spans="1:14" x14ac:dyDescent="0.25">
      <c r="A102">
        <v>3.8915739999999999</v>
      </c>
      <c r="B102" s="1">
        <f>DATE(2010,5,4) + TIME(21,23,51)</f>
        <v>40302.891562500001</v>
      </c>
      <c r="C102">
        <v>2400</v>
      </c>
      <c r="D102">
        <v>0</v>
      </c>
      <c r="E102">
        <v>0</v>
      </c>
      <c r="F102">
        <v>2400</v>
      </c>
      <c r="G102">
        <v>1406.8687743999999</v>
      </c>
      <c r="H102">
        <v>1392.8554687999999</v>
      </c>
      <c r="I102">
        <v>1250.5701904</v>
      </c>
      <c r="J102">
        <v>1210.9274902</v>
      </c>
      <c r="K102">
        <v>80</v>
      </c>
      <c r="L102">
        <v>79.355850219999994</v>
      </c>
      <c r="M102">
        <v>50</v>
      </c>
      <c r="N102">
        <v>14.994956017</v>
      </c>
    </row>
    <row r="103" spans="1:14" x14ac:dyDescent="0.25">
      <c r="A103">
        <v>4.0107400000000002</v>
      </c>
      <c r="B103" s="1">
        <f>DATE(2010,5,5) + TIME(0,15,27)</f>
        <v>40303.010729166665</v>
      </c>
      <c r="C103">
        <v>2400</v>
      </c>
      <c r="D103">
        <v>0</v>
      </c>
      <c r="E103">
        <v>0</v>
      </c>
      <c r="F103">
        <v>2400</v>
      </c>
      <c r="G103">
        <v>1406.6932373</v>
      </c>
      <c r="H103">
        <v>1392.6890868999999</v>
      </c>
      <c r="I103">
        <v>1250.572876</v>
      </c>
      <c r="J103">
        <v>1210.9290771000001</v>
      </c>
      <c r="K103">
        <v>80</v>
      </c>
      <c r="L103">
        <v>79.426582335999996</v>
      </c>
      <c r="M103">
        <v>50</v>
      </c>
      <c r="N103">
        <v>14.994986534000001</v>
      </c>
    </row>
    <row r="104" spans="1:14" x14ac:dyDescent="0.25">
      <c r="A104">
        <v>4.1315369999999998</v>
      </c>
      <c r="B104" s="1">
        <f>DATE(2010,5,5) + TIME(3,9,24)</f>
        <v>40303.131527777776</v>
      </c>
      <c r="C104">
        <v>2400</v>
      </c>
      <c r="D104">
        <v>0</v>
      </c>
      <c r="E104">
        <v>0</v>
      </c>
      <c r="F104">
        <v>2400</v>
      </c>
      <c r="G104">
        <v>1406.5162353999999</v>
      </c>
      <c r="H104">
        <v>1392.5201416</v>
      </c>
      <c r="I104">
        <v>1250.5755615</v>
      </c>
      <c r="J104">
        <v>1210.9307861</v>
      </c>
      <c r="K104">
        <v>80</v>
      </c>
      <c r="L104">
        <v>79.488456725999995</v>
      </c>
      <c r="M104">
        <v>50</v>
      </c>
      <c r="N104">
        <v>14.995015144</v>
      </c>
    </row>
    <row r="105" spans="1:14" x14ac:dyDescent="0.25">
      <c r="A105">
        <v>4.2526630000000001</v>
      </c>
      <c r="B105" s="1">
        <f>DATE(2010,5,5) + TIME(6,3,50)</f>
        <v>40303.252662037034</v>
      </c>
      <c r="C105">
        <v>2400</v>
      </c>
      <c r="D105">
        <v>0</v>
      </c>
      <c r="E105">
        <v>0</v>
      </c>
      <c r="F105">
        <v>2400</v>
      </c>
      <c r="G105">
        <v>1406.3420410000001</v>
      </c>
      <c r="H105">
        <v>1392.3529053</v>
      </c>
      <c r="I105">
        <v>1250.578125</v>
      </c>
      <c r="J105">
        <v>1210.9323730000001</v>
      </c>
      <c r="K105">
        <v>80</v>
      </c>
      <c r="L105">
        <v>79.541984557999996</v>
      </c>
      <c r="M105">
        <v>50</v>
      </c>
      <c r="N105">
        <v>14.995043754999999</v>
      </c>
    </row>
    <row r="106" spans="1:14" x14ac:dyDescent="0.25">
      <c r="A106">
        <v>4.3743460000000001</v>
      </c>
      <c r="B106" s="1">
        <f>DATE(2010,5,5) + TIME(8,59,3)</f>
        <v>40303.374340277776</v>
      </c>
      <c r="C106">
        <v>2400</v>
      </c>
      <c r="D106">
        <v>0</v>
      </c>
      <c r="E106">
        <v>0</v>
      </c>
      <c r="F106">
        <v>2400</v>
      </c>
      <c r="G106">
        <v>1406.1719971</v>
      </c>
      <c r="H106">
        <v>1392.1890868999999</v>
      </c>
      <c r="I106">
        <v>1250.5806885</v>
      </c>
      <c r="J106">
        <v>1210.934082</v>
      </c>
      <c r="K106">
        <v>80</v>
      </c>
      <c r="L106">
        <v>79.588371276999993</v>
      </c>
      <c r="M106">
        <v>50</v>
      </c>
      <c r="N106">
        <v>14.995072365</v>
      </c>
    </row>
    <row r="107" spans="1:14" x14ac:dyDescent="0.25">
      <c r="A107">
        <v>4.4965460000000004</v>
      </c>
      <c r="B107" s="1">
        <f>DATE(2010,5,5) + TIME(11,55,1)</f>
        <v>40303.496539351851</v>
      </c>
      <c r="C107">
        <v>2400</v>
      </c>
      <c r="D107">
        <v>0</v>
      </c>
      <c r="E107">
        <v>0</v>
      </c>
      <c r="F107">
        <v>2400</v>
      </c>
      <c r="G107">
        <v>1406.0058594</v>
      </c>
      <c r="H107">
        <v>1392.0281981999999</v>
      </c>
      <c r="I107">
        <v>1250.5831298999999</v>
      </c>
      <c r="J107">
        <v>1210.9356689000001</v>
      </c>
      <c r="K107">
        <v>80</v>
      </c>
      <c r="L107">
        <v>79.628555297999995</v>
      </c>
      <c r="M107">
        <v>50</v>
      </c>
      <c r="N107">
        <v>14.995100021000001</v>
      </c>
    </row>
    <row r="108" spans="1:14" x14ac:dyDescent="0.25">
      <c r="A108">
        <v>4.6193229999999996</v>
      </c>
      <c r="B108" s="1">
        <f>DATE(2010,5,5) + TIME(14,51,49)</f>
        <v>40303.619317129633</v>
      </c>
      <c r="C108">
        <v>2400</v>
      </c>
      <c r="D108">
        <v>0</v>
      </c>
      <c r="E108">
        <v>0</v>
      </c>
      <c r="F108">
        <v>2400</v>
      </c>
      <c r="G108">
        <v>1405.8433838000001</v>
      </c>
      <c r="H108">
        <v>1391.8704834</v>
      </c>
      <c r="I108">
        <v>1250.5855713000001</v>
      </c>
      <c r="J108">
        <v>1210.9373779</v>
      </c>
      <c r="K108">
        <v>80</v>
      </c>
      <c r="L108">
        <v>79.663368224999999</v>
      </c>
      <c r="M108">
        <v>50</v>
      </c>
      <c r="N108">
        <v>14.995126724</v>
      </c>
    </row>
    <row r="109" spans="1:14" x14ac:dyDescent="0.25">
      <c r="A109">
        <v>4.7428610000000004</v>
      </c>
      <c r="B109" s="1">
        <f>DATE(2010,5,5) + TIME(17,49,43)</f>
        <v>40303.742858796293</v>
      </c>
      <c r="C109">
        <v>2400</v>
      </c>
      <c r="D109">
        <v>0</v>
      </c>
      <c r="E109">
        <v>0</v>
      </c>
      <c r="F109">
        <v>2400</v>
      </c>
      <c r="G109">
        <v>1405.6842041</v>
      </c>
      <c r="H109">
        <v>1391.7155762</v>
      </c>
      <c r="I109">
        <v>1250.5880127</v>
      </c>
      <c r="J109">
        <v>1210.9389647999999</v>
      </c>
      <c r="K109">
        <v>80</v>
      </c>
      <c r="L109">
        <v>79.693565368999998</v>
      </c>
      <c r="M109">
        <v>50</v>
      </c>
      <c r="N109">
        <v>14.995153427</v>
      </c>
    </row>
    <row r="110" spans="1:14" x14ac:dyDescent="0.25">
      <c r="A110">
        <v>4.8673099999999998</v>
      </c>
      <c r="B110" s="1">
        <f>DATE(2010,5,5) + TIME(20,48,55)</f>
        <v>40303.867303240739</v>
      </c>
      <c r="C110">
        <v>2400</v>
      </c>
      <c r="D110">
        <v>0</v>
      </c>
      <c r="E110">
        <v>0</v>
      </c>
      <c r="F110">
        <v>2400</v>
      </c>
      <c r="G110">
        <v>1405.5280762</v>
      </c>
      <c r="H110">
        <v>1391.5631103999999</v>
      </c>
      <c r="I110">
        <v>1250.590332</v>
      </c>
      <c r="J110">
        <v>1210.9406738</v>
      </c>
      <c r="K110">
        <v>80</v>
      </c>
      <c r="L110">
        <v>79.719787597999996</v>
      </c>
      <c r="M110">
        <v>50</v>
      </c>
      <c r="N110">
        <v>14.99518013</v>
      </c>
    </row>
    <row r="111" spans="1:14" x14ac:dyDescent="0.25">
      <c r="A111">
        <v>4.9928710000000001</v>
      </c>
      <c r="B111" s="1">
        <f>DATE(2010,5,5) + TIME(23,49,44)</f>
        <v>40303.99287037037</v>
      </c>
      <c r="C111">
        <v>2400</v>
      </c>
      <c r="D111">
        <v>0</v>
      </c>
      <c r="E111">
        <v>0</v>
      </c>
      <c r="F111">
        <v>2400</v>
      </c>
      <c r="G111">
        <v>1405.3746338000001</v>
      </c>
      <c r="H111">
        <v>1391.4129639</v>
      </c>
      <c r="I111">
        <v>1250.5927733999999</v>
      </c>
      <c r="J111">
        <v>1210.9423827999999</v>
      </c>
      <c r="K111">
        <v>80</v>
      </c>
      <c r="L111">
        <v>79.742568969999994</v>
      </c>
      <c r="M111">
        <v>50</v>
      </c>
      <c r="N111">
        <v>14.995205879</v>
      </c>
    </row>
    <row r="112" spans="1:14" x14ac:dyDescent="0.25">
      <c r="A112">
        <v>5.1197210000000002</v>
      </c>
      <c r="B112" s="1">
        <f>DATE(2010,5,6) + TIME(2,52,23)</f>
        <v>40304.119710648149</v>
      </c>
      <c r="C112">
        <v>2400</v>
      </c>
      <c r="D112">
        <v>0</v>
      </c>
      <c r="E112">
        <v>0</v>
      </c>
      <c r="F112">
        <v>2400</v>
      </c>
      <c r="G112">
        <v>1405.2235106999999</v>
      </c>
      <c r="H112">
        <v>1391.2647704999999</v>
      </c>
      <c r="I112">
        <v>1250.5950928</v>
      </c>
      <c r="J112">
        <v>1210.9439697</v>
      </c>
      <c r="K112">
        <v>80</v>
      </c>
      <c r="L112">
        <v>79.762382506999998</v>
      </c>
      <c r="M112">
        <v>50</v>
      </c>
      <c r="N112">
        <v>14.995230675</v>
      </c>
    </row>
    <row r="113" spans="1:14" x14ac:dyDescent="0.25">
      <c r="A113">
        <v>5.2480390000000003</v>
      </c>
      <c r="B113" s="1">
        <f>DATE(2010,5,6) + TIME(5,57,10)</f>
        <v>40304.248032407406</v>
      </c>
      <c r="C113">
        <v>2400</v>
      </c>
      <c r="D113">
        <v>0</v>
      </c>
      <c r="E113">
        <v>0</v>
      </c>
      <c r="F113">
        <v>2400</v>
      </c>
      <c r="G113">
        <v>1405.0743408000001</v>
      </c>
      <c r="H113">
        <v>1391.1184082</v>
      </c>
      <c r="I113">
        <v>1250.5974120999999</v>
      </c>
      <c r="J113">
        <v>1210.9456786999999</v>
      </c>
      <c r="K113">
        <v>80</v>
      </c>
      <c r="L113">
        <v>79.779617310000006</v>
      </c>
      <c r="M113">
        <v>50</v>
      </c>
      <c r="N113">
        <v>14.995256424000001</v>
      </c>
    </row>
    <row r="114" spans="1:14" x14ac:dyDescent="0.25">
      <c r="A114">
        <v>5.3780080000000003</v>
      </c>
      <c r="B114" s="1">
        <f>DATE(2010,5,6) + TIME(9,4,19)</f>
        <v>40304.377997685187</v>
      </c>
      <c r="C114">
        <v>2400</v>
      </c>
      <c r="D114">
        <v>0</v>
      </c>
      <c r="E114">
        <v>0</v>
      </c>
      <c r="F114">
        <v>2400</v>
      </c>
      <c r="G114">
        <v>1404.9270019999999</v>
      </c>
      <c r="H114">
        <v>1390.9735106999999</v>
      </c>
      <c r="I114">
        <v>1250.5997314000001</v>
      </c>
      <c r="J114">
        <v>1210.9473877</v>
      </c>
      <c r="K114">
        <v>80</v>
      </c>
      <c r="L114">
        <v>79.794624329000001</v>
      </c>
      <c r="M114">
        <v>50</v>
      </c>
      <c r="N114">
        <v>14.995281219000001</v>
      </c>
    </row>
    <row r="115" spans="1:14" x14ac:dyDescent="0.25">
      <c r="A115">
        <v>5.5098190000000002</v>
      </c>
      <c r="B115" s="1">
        <f>DATE(2010,5,6) + TIME(12,14,8)</f>
        <v>40304.509814814817</v>
      </c>
      <c r="C115">
        <v>2400</v>
      </c>
      <c r="D115">
        <v>0</v>
      </c>
      <c r="E115">
        <v>0</v>
      </c>
      <c r="F115">
        <v>2400</v>
      </c>
      <c r="G115">
        <v>1404.7811279</v>
      </c>
      <c r="H115">
        <v>1390.8298339999999</v>
      </c>
      <c r="I115">
        <v>1250.6020507999999</v>
      </c>
      <c r="J115">
        <v>1210.9490966999999</v>
      </c>
      <c r="K115">
        <v>80</v>
      </c>
      <c r="L115">
        <v>79.807693481000001</v>
      </c>
      <c r="M115">
        <v>50</v>
      </c>
      <c r="N115">
        <v>14.995306015000001</v>
      </c>
    </row>
    <row r="116" spans="1:14" x14ac:dyDescent="0.25">
      <c r="A116">
        <v>5.6436679999999999</v>
      </c>
      <c r="B116" s="1">
        <f>DATE(2010,5,6) + TIME(15,26,52)</f>
        <v>40304.643657407411</v>
      </c>
      <c r="C116">
        <v>2400</v>
      </c>
      <c r="D116">
        <v>0</v>
      </c>
      <c r="E116">
        <v>0</v>
      </c>
      <c r="F116">
        <v>2400</v>
      </c>
      <c r="G116">
        <v>1404.6365966999999</v>
      </c>
      <c r="H116">
        <v>1390.6873779</v>
      </c>
      <c r="I116">
        <v>1250.6043701000001</v>
      </c>
      <c r="J116">
        <v>1210.9508057</v>
      </c>
      <c r="K116">
        <v>80</v>
      </c>
      <c r="L116">
        <v>79.819068908999995</v>
      </c>
      <c r="M116">
        <v>50</v>
      </c>
      <c r="N116">
        <v>14.995330811000001</v>
      </c>
    </row>
    <row r="117" spans="1:14" x14ac:dyDescent="0.25">
      <c r="A117">
        <v>5.7797619999999998</v>
      </c>
      <c r="B117" s="1">
        <f>DATE(2010,5,6) + TIME(18,42,51)</f>
        <v>40304.779756944445</v>
      </c>
      <c r="C117">
        <v>2400</v>
      </c>
      <c r="D117">
        <v>0</v>
      </c>
      <c r="E117">
        <v>0</v>
      </c>
      <c r="F117">
        <v>2400</v>
      </c>
      <c r="G117">
        <v>1404.4930420000001</v>
      </c>
      <c r="H117">
        <v>1390.5456543</v>
      </c>
      <c r="I117">
        <v>1250.6066894999999</v>
      </c>
      <c r="J117">
        <v>1210.9525146000001</v>
      </c>
      <c r="K117">
        <v>80</v>
      </c>
      <c r="L117">
        <v>79.828987122000001</v>
      </c>
      <c r="M117">
        <v>50</v>
      </c>
      <c r="N117">
        <v>14.995354652</v>
      </c>
    </row>
    <row r="118" spans="1:14" x14ac:dyDescent="0.25">
      <c r="A118">
        <v>5.9183199999999996</v>
      </c>
      <c r="B118" s="1">
        <f>DATE(2010,5,6) + TIME(22,2,22)</f>
        <v>40304.918310185189</v>
      </c>
      <c r="C118">
        <v>2400</v>
      </c>
      <c r="D118">
        <v>0</v>
      </c>
      <c r="E118">
        <v>0</v>
      </c>
      <c r="F118">
        <v>2400</v>
      </c>
      <c r="G118">
        <v>1404.3503418</v>
      </c>
      <c r="H118">
        <v>1390.4047852000001</v>
      </c>
      <c r="I118">
        <v>1250.6091309000001</v>
      </c>
      <c r="J118">
        <v>1210.9543457</v>
      </c>
      <c r="K118">
        <v>80</v>
      </c>
      <c r="L118">
        <v>79.837631225999999</v>
      </c>
      <c r="M118">
        <v>50</v>
      </c>
      <c r="N118">
        <v>14.995379448</v>
      </c>
    </row>
    <row r="119" spans="1:14" x14ac:dyDescent="0.25">
      <c r="A119">
        <v>6.0595759999999999</v>
      </c>
      <c r="B119" s="1">
        <f>DATE(2010,5,7) + TIME(1,25,47)</f>
        <v>40305.059571759259</v>
      </c>
      <c r="C119">
        <v>2400</v>
      </c>
      <c r="D119">
        <v>0</v>
      </c>
      <c r="E119">
        <v>0</v>
      </c>
      <c r="F119">
        <v>2400</v>
      </c>
      <c r="G119">
        <v>1404.2082519999999</v>
      </c>
      <c r="H119">
        <v>1390.2642822</v>
      </c>
      <c r="I119">
        <v>1250.6114502</v>
      </c>
      <c r="J119">
        <v>1210.9561768000001</v>
      </c>
      <c r="K119">
        <v>80</v>
      </c>
      <c r="L119">
        <v>79.845161438000005</v>
      </c>
      <c r="M119">
        <v>50</v>
      </c>
      <c r="N119">
        <v>14.99540329</v>
      </c>
    </row>
    <row r="120" spans="1:14" x14ac:dyDescent="0.25">
      <c r="A120">
        <v>6.2038320000000002</v>
      </c>
      <c r="B120" s="1">
        <f>DATE(2010,5,7) + TIME(4,53,31)</f>
        <v>40305.203831018516</v>
      </c>
      <c r="C120">
        <v>2400</v>
      </c>
      <c r="D120">
        <v>0</v>
      </c>
      <c r="E120">
        <v>0</v>
      </c>
      <c r="F120">
        <v>2400</v>
      </c>
      <c r="G120">
        <v>1404.0666504000001</v>
      </c>
      <c r="H120">
        <v>1390.1242675999999</v>
      </c>
      <c r="I120">
        <v>1250.6138916</v>
      </c>
      <c r="J120">
        <v>1210.9580077999999</v>
      </c>
      <c r="K120">
        <v>80</v>
      </c>
      <c r="L120">
        <v>79.851730347</v>
      </c>
      <c r="M120">
        <v>50</v>
      </c>
      <c r="N120">
        <v>14.995428085</v>
      </c>
    </row>
    <row r="121" spans="1:14" x14ac:dyDescent="0.25">
      <c r="A121">
        <v>6.3513229999999998</v>
      </c>
      <c r="B121" s="1">
        <f>DATE(2010,5,7) + TIME(8,25,54)</f>
        <v>40305.351319444446</v>
      </c>
      <c r="C121">
        <v>2400</v>
      </c>
      <c r="D121">
        <v>0</v>
      </c>
      <c r="E121">
        <v>0</v>
      </c>
      <c r="F121">
        <v>2400</v>
      </c>
      <c r="G121">
        <v>1403.9250488</v>
      </c>
      <c r="H121">
        <v>1389.9842529</v>
      </c>
      <c r="I121">
        <v>1250.6163329999999</v>
      </c>
      <c r="J121">
        <v>1210.9598389</v>
      </c>
      <c r="K121">
        <v>80</v>
      </c>
      <c r="L121">
        <v>79.857467650999993</v>
      </c>
      <c r="M121">
        <v>50</v>
      </c>
      <c r="N121">
        <v>14.995451927</v>
      </c>
    </row>
    <row r="122" spans="1:14" x14ac:dyDescent="0.25">
      <c r="A122">
        <v>6.502008</v>
      </c>
      <c r="B122" s="1">
        <f>DATE(2010,5,7) + TIME(12,2,53)</f>
        <v>40305.502002314817</v>
      </c>
      <c r="C122">
        <v>2400</v>
      </c>
      <c r="D122">
        <v>0</v>
      </c>
      <c r="E122">
        <v>0</v>
      </c>
      <c r="F122">
        <v>2400</v>
      </c>
      <c r="G122">
        <v>1403.7835693</v>
      </c>
      <c r="H122">
        <v>1389.8441161999999</v>
      </c>
      <c r="I122">
        <v>1250.6187743999999</v>
      </c>
      <c r="J122">
        <v>1210.9616699000001</v>
      </c>
      <c r="K122">
        <v>80</v>
      </c>
      <c r="L122">
        <v>79.862457274999997</v>
      </c>
      <c r="M122">
        <v>50</v>
      </c>
      <c r="N122">
        <v>14.995476722999999</v>
      </c>
    </row>
    <row r="123" spans="1:14" x14ac:dyDescent="0.25">
      <c r="A123">
        <v>6.6560980000000001</v>
      </c>
      <c r="B123" s="1">
        <f>DATE(2010,5,7) + TIME(15,44,46)</f>
        <v>40305.656087962961</v>
      </c>
      <c r="C123">
        <v>2400</v>
      </c>
      <c r="D123">
        <v>0</v>
      </c>
      <c r="E123">
        <v>0</v>
      </c>
      <c r="F123">
        <v>2400</v>
      </c>
      <c r="G123">
        <v>1403.6420897999999</v>
      </c>
      <c r="H123">
        <v>1389.7039795000001</v>
      </c>
      <c r="I123">
        <v>1250.6212158000001</v>
      </c>
      <c r="J123">
        <v>1210.9636230000001</v>
      </c>
      <c r="K123">
        <v>80</v>
      </c>
      <c r="L123">
        <v>79.866806030000006</v>
      </c>
      <c r="M123">
        <v>50</v>
      </c>
      <c r="N123">
        <v>14.995500565</v>
      </c>
    </row>
    <row r="124" spans="1:14" x14ac:dyDescent="0.25">
      <c r="A124">
        <v>6.8139000000000003</v>
      </c>
      <c r="B124" s="1">
        <f>DATE(2010,5,7) + TIME(19,32,0)</f>
        <v>40305.813888888886</v>
      </c>
      <c r="C124">
        <v>2400</v>
      </c>
      <c r="D124">
        <v>0</v>
      </c>
      <c r="E124">
        <v>0</v>
      </c>
      <c r="F124">
        <v>2400</v>
      </c>
      <c r="G124">
        <v>1403.5006103999999</v>
      </c>
      <c r="H124">
        <v>1389.5638428</v>
      </c>
      <c r="I124">
        <v>1250.6237793</v>
      </c>
      <c r="J124">
        <v>1210.9655762</v>
      </c>
      <c r="K124">
        <v>80</v>
      </c>
      <c r="L124">
        <v>79.870597838999998</v>
      </c>
      <c r="M124">
        <v>50</v>
      </c>
      <c r="N124">
        <v>14.99552536</v>
      </c>
    </row>
    <row r="125" spans="1:14" x14ac:dyDescent="0.25">
      <c r="A125">
        <v>6.9757449999999999</v>
      </c>
      <c r="B125" s="1">
        <f>DATE(2010,5,7) + TIME(23,25,4)</f>
        <v>40305.975740740738</v>
      </c>
      <c r="C125">
        <v>2400</v>
      </c>
      <c r="D125">
        <v>0</v>
      </c>
      <c r="E125">
        <v>0</v>
      </c>
      <c r="F125">
        <v>2400</v>
      </c>
      <c r="G125">
        <v>1403.3587646000001</v>
      </c>
      <c r="H125">
        <v>1389.4234618999999</v>
      </c>
      <c r="I125">
        <v>1250.6263428</v>
      </c>
      <c r="J125">
        <v>1210.9676514</v>
      </c>
      <c r="K125">
        <v>80</v>
      </c>
      <c r="L125">
        <v>79.873901367000002</v>
      </c>
      <c r="M125">
        <v>50</v>
      </c>
      <c r="N125">
        <v>14.995549201999999</v>
      </c>
    </row>
    <row r="126" spans="1:14" x14ac:dyDescent="0.25">
      <c r="A126">
        <v>7.1420000000000003</v>
      </c>
      <c r="B126" s="1">
        <f>DATE(2010,5,8) + TIME(3,24,28)</f>
        <v>40306.14199074074</v>
      </c>
      <c r="C126">
        <v>2400</v>
      </c>
      <c r="D126">
        <v>0</v>
      </c>
      <c r="E126">
        <v>0</v>
      </c>
      <c r="F126">
        <v>2400</v>
      </c>
      <c r="G126">
        <v>1403.2165527</v>
      </c>
      <c r="H126">
        <v>1389.2824707</v>
      </c>
      <c r="I126">
        <v>1250.6290283000001</v>
      </c>
      <c r="J126">
        <v>1210.9697266000001</v>
      </c>
      <c r="K126">
        <v>80</v>
      </c>
      <c r="L126">
        <v>79.876792907999999</v>
      </c>
      <c r="M126">
        <v>50</v>
      </c>
      <c r="N126">
        <v>14.995573996999999</v>
      </c>
    </row>
    <row r="127" spans="1:14" x14ac:dyDescent="0.25">
      <c r="A127">
        <v>7.3130689999999996</v>
      </c>
      <c r="B127" s="1">
        <f>DATE(2010,5,8) + TIME(7,30,49)</f>
        <v>40306.313067129631</v>
      </c>
      <c r="C127">
        <v>2400</v>
      </c>
      <c r="D127">
        <v>0</v>
      </c>
      <c r="E127">
        <v>0</v>
      </c>
      <c r="F127">
        <v>2400</v>
      </c>
      <c r="G127">
        <v>1403.0737305</v>
      </c>
      <c r="H127">
        <v>1389.1408690999999</v>
      </c>
      <c r="I127">
        <v>1250.6317139</v>
      </c>
      <c r="J127">
        <v>1210.9718018000001</v>
      </c>
      <c r="K127">
        <v>80</v>
      </c>
      <c r="L127">
        <v>79.879325867000006</v>
      </c>
      <c r="M127">
        <v>50</v>
      </c>
      <c r="N127">
        <v>14.995598792999999</v>
      </c>
    </row>
    <row r="128" spans="1:14" x14ac:dyDescent="0.25">
      <c r="A128">
        <v>7.4892130000000003</v>
      </c>
      <c r="B128" s="1">
        <f>DATE(2010,5,8) + TIME(11,44,27)</f>
        <v>40306.489201388889</v>
      </c>
      <c r="C128">
        <v>2400</v>
      </c>
      <c r="D128">
        <v>0</v>
      </c>
      <c r="E128">
        <v>0</v>
      </c>
      <c r="F128">
        <v>2400</v>
      </c>
      <c r="G128">
        <v>1402.9299315999999</v>
      </c>
      <c r="H128">
        <v>1388.9984131000001</v>
      </c>
      <c r="I128">
        <v>1250.6343993999999</v>
      </c>
      <c r="J128">
        <v>1210.973999</v>
      </c>
      <c r="K128">
        <v>80</v>
      </c>
      <c r="L128">
        <v>79.881546021000005</v>
      </c>
      <c r="M128">
        <v>50</v>
      </c>
      <c r="N128">
        <v>14.995623588999999</v>
      </c>
    </row>
    <row r="129" spans="1:14" x14ac:dyDescent="0.25">
      <c r="A129">
        <v>7.6706110000000001</v>
      </c>
      <c r="B129" s="1">
        <f>DATE(2010,5,8) + TIME(16,5,40)</f>
        <v>40306.670601851853</v>
      </c>
      <c r="C129">
        <v>2400</v>
      </c>
      <c r="D129">
        <v>0</v>
      </c>
      <c r="E129">
        <v>0</v>
      </c>
      <c r="F129">
        <v>2400</v>
      </c>
      <c r="G129">
        <v>1402.7851562000001</v>
      </c>
      <c r="H129">
        <v>1388.8548584</v>
      </c>
      <c r="I129">
        <v>1250.637207</v>
      </c>
      <c r="J129">
        <v>1210.9761963000001</v>
      </c>
      <c r="K129">
        <v>80</v>
      </c>
      <c r="L129">
        <v>79.883483886999997</v>
      </c>
      <c r="M129">
        <v>50</v>
      </c>
      <c r="N129">
        <v>14.995648384000001</v>
      </c>
    </row>
    <row r="130" spans="1:14" x14ac:dyDescent="0.25">
      <c r="A130">
        <v>7.8575429999999997</v>
      </c>
      <c r="B130" s="1">
        <f>DATE(2010,5,8) + TIME(20,34,51)</f>
        <v>40306.857534722221</v>
      </c>
      <c r="C130">
        <v>2400</v>
      </c>
      <c r="D130">
        <v>0</v>
      </c>
      <c r="E130">
        <v>0</v>
      </c>
      <c r="F130">
        <v>2400</v>
      </c>
      <c r="G130">
        <v>1402.6392822</v>
      </c>
      <c r="H130">
        <v>1388.7104492000001</v>
      </c>
      <c r="I130">
        <v>1250.6401367000001</v>
      </c>
      <c r="J130">
        <v>1210.9785156</v>
      </c>
      <c r="K130">
        <v>80</v>
      </c>
      <c r="L130">
        <v>79.885185242000006</v>
      </c>
      <c r="M130">
        <v>50</v>
      </c>
      <c r="N130">
        <v>14.995674133</v>
      </c>
    </row>
    <row r="131" spans="1:14" x14ac:dyDescent="0.25">
      <c r="A131">
        <v>7.9538830000000003</v>
      </c>
      <c r="B131" s="1">
        <f>DATE(2010,5,8) + TIME(22,53,35)</f>
        <v>40306.953877314816</v>
      </c>
      <c r="C131">
        <v>2400</v>
      </c>
      <c r="D131">
        <v>0</v>
      </c>
      <c r="E131">
        <v>0</v>
      </c>
      <c r="F131">
        <v>2400</v>
      </c>
      <c r="G131">
        <v>1402.4914550999999</v>
      </c>
      <c r="H131">
        <v>1388.5628661999999</v>
      </c>
      <c r="I131">
        <v>1250.6425781</v>
      </c>
      <c r="J131">
        <v>1210.9804687999999</v>
      </c>
      <c r="K131">
        <v>80</v>
      </c>
      <c r="L131">
        <v>79.885986328000001</v>
      </c>
      <c r="M131">
        <v>50</v>
      </c>
      <c r="N131">
        <v>14.995688438</v>
      </c>
    </row>
    <row r="132" spans="1:14" x14ac:dyDescent="0.25">
      <c r="A132">
        <v>8.0502219999999998</v>
      </c>
      <c r="B132" s="1">
        <f>DATE(2010,5,9) + TIME(1,12,19)</f>
        <v>40307.050219907411</v>
      </c>
      <c r="C132">
        <v>2400</v>
      </c>
      <c r="D132">
        <v>0</v>
      </c>
      <c r="E132">
        <v>0</v>
      </c>
      <c r="F132">
        <v>2400</v>
      </c>
      <c r="G132">
        <v>1402.4160156</v>
      </c>
      <c r="H132">
        <v>1388.4881591999999</v>
      </c>
      <c r="I132">
        <v>1250.6442870999999</v>
      </c>
      <c r="J132">
        <v>1210.9818115</v>
      </c>
      <c r="K132">
        <v>80</v>
      </c>
      <c r="L132">
        <v>79.886726378999995</v>
      </c>
      <c r="M132">
        <v>50</v>
      </c>
      <c r="N132">
        <v>14.99570179</v>
      </c>
    </row>
    <row r="133" spans="1:14" x14ac:dyDescent="0.25">
      <c r="A133">
        <v>8.1465619999999994</v>
      </c>
      <c r="B133" s="1">
        <f>DATE(2010,5,9) + TIME(3,31,2)</f>
        <v>40307.146550925929</v>
      </c>
      <c r="C133">
        <v>2400</v>
      </c>
      <c r="D133">
        <v>0</v>
      </c>
      <c r="E133">
        <v>0</v>
      </c>
      <c r="F133">
        <v>2400</v>
      </c>
      <c r="G133">
        <v>1402.3422852000001</v>
      </c>
      <c r="H133">
        <v>1388.4151611</v>
      </c>
      <c r="I133">
        <v>1250.6457519999999</v>
      </c>
      <c r="J133">
        <v>1210.9829102000001</v>
      </c>
      <c r="K133">
        <v>80</v>
      </c>
      <c r="L133">
        <v>79.887405396000005</v>
      </c>
      <c r="M133">
        <v>50</v>
      </c>
      <c r="N133">
        <v>14.995715141</v>
      </c>
    </row>
    <row r="134" spans="1:14" x14ac:dyDescent="0.25">
      <c r="A134">
        <v>8.3392409999999995</v>
      </c>
      <c r="B134" s="1">
        <f>DATE(2010,5,9) + TIME(8,8,30)</f>
        <v>40307.339236111111</v>
      </c>
      <c r="C134">
        <v>2400</v>
      </c>
      <c r="D134">
        <v>0</v>
      </c>
      <c r="E134">
        <v>0</v>
      </c>
      <c r="F134">
        <v>2400</v>
      </c>
      <c r="G134">
        <v>1402.2711182</v>
      </c>
      <c r="H134">
        <v>1388.3455810999999</v>
      </c>
      <c r="I134">
        <v>1250.6475829999999</v>
      </c>
      <c r="J134">
        <v>1210.9844971</v>
      </c>
      <c r="K134">
        <v>80</v>
      </c>
      <c r="L134">
        <v>79.888587951999995</v>
      </c>
      <c r="M134">
        <v>50</v>
      </c>
      <c r="N134">
        <v>14.995739937</v>
      </c>
    </row>
    <row r="135" spans="1:14" x14ac:dyDescent="0.25">
      <c r="A135">
        <v>8.5320590000000003</v>
      </c>
      <c r="B135" s="1">
        <f>DATE(2010,5,9) + TIME(12,46,9)</f>
        <v>40307.532048611109</v>
      </c>
      <c r="C135">
        <v>2400</v>
      </c>
      <c r="D135">
        <v>0</v>
      </c>
      <c r="E135">
        <v>0</v>
      </c>
      <c r="F135">
        <v>2400</v>
      </c>
      <c r="G135">
        <v>1402.1286620999999</v>
      </c>
      <c r="H135">
        <v>1388.2043457</v>
      </c>
      <c r="I135">
        <v>1250.6503906</v>
      </c>
      <c r="J135">
        <v>1210.9869385</v>
      </c>
      <c r="K135">
        <v>80</v>
      </c>
      <c r="L135">
        <v>79.889602660999998</v>
      </c>
      <c r="M135">
        <v>50</v>
      </c>
      <c r="N135">
        <v>14.995763779000001</v>
      </c>
    </row>
    <row r="136" spans="1:14" x14ac:dyDescent="0.25">
      <c r="A136">
        <v>8.7255040000000008</v>
      </c>
      <c r="B136" s="1">
        <f>DATE(2010,5,9) + TIME(17,24,43)</f>
        <v>40307.725497685184</v>
      </c>
      <c r="C136">
        <v>2400</v>
      </c>
      <c r="D136">
        <v>0</v>
      </c>
      <c r="E136">
        <v>0</v>
      </c>
      <c r="F136">
        <v>2400</v>
      </c>
      <c r="G136">
        <v>1401.9885254000001</v>
      </c>
      <c r="H136">
        <v>1388.0655518000001</v>
      </c>
      <c r="I136">
        <v>1250.6534423999999</v>
      </c>
      <c r="J136">
        <v>1210.9892577999999</v>
      </c>
      <c r="K136">
        <v>80</v>
      </c>
      <c r="L136">
        <v>79.890495299999998</v>
      </c>
      <c r="M136">
        <v>50</v>
      </c>
      <c r="N136">
        <v>14.995787621</v>
      </c>
    </row>
    <row r="137" spans="1:14" x14ac:dyDescent="0.25">
      <c r="A137">
        <v>8.9198380000000004</v>
      </c>
      <c r="B137" s="1">
        <f>DATE(2010,5,9) + TIME(22,4,34)</f>
        <v>40307.91983796296</v>
      </c>
      <c r="C137">
        <v>2400</v>
      </c>
      <c r="D137">
        <v>0</v>
      </c>
      <c r="E137">
        <v>0</v>
      </c>
      <c r="F137">
        <v>2400</v>
      </c>
      <c r="G137">
        <v>1401.8509521000001</v>
      </c>
      <c r="H137">
        <v>1387.9293213000001</v>
      </c>
      <c r="I137">
        <v>1250.6563721</v>
      </c>
      <c r="J137">
        <v>1210.9916992000001</v>
      </c>
      <c r="K137">
        <v>80</v>
      </c>
      <c r="L137">
        <v>79.891265868999994</v>
      </c>
      <c r="M137">
        <v>50</v>
      </c>
      <c r="N137">
        <v>14.995810509</v>
      </c>
    </row>
    <row r="138" spans="1:14" x14ac:dyDescent="0.25">
      <c r="A138">
        <v>9.1153949999999995</v>
      </c>
      <c r="B138" s="1">
        <f>DATE(2010,5,10) + TIME(2,46,10)</f>
        <v>40308.115393518521</v>
      </c>
      <c r="C138">
        <v>2400</v>
      </c>
      <c r="D138">
        <v>0</v>
      </c>
      <c r="E138">
        <v>0</v>
      </c>
      <c r="F138">
        <v>2400</v>
      </c>
      <c r="G138">
        <v>1401.7155762</v>
      </c>
      <c r="H138">
        <v>1387.7952881000001</v>
      </c>
      <c r="I138">
        <v>1250.6593018000001</v>
      </c>
      <c r="J138">
        <v>1210.9941406</v>
      </c>
      <c r="K138">
        <v>80</v>
      </c>
      <c r="L138">
        <v>79.891952515</v>
      </c>
      <c r="M138">
        <v>50</v>
      </c>
      <c r="N138">
        <v>14.995834350999999</v>
      </c>
    </row>
    <row r="139" spans="1:14" x14ac:dyDescent="0.25">
      <c r="A139">
        <v>9.3124680000000009</v>
      </c>
      <c r="B139" s="1">
        <f>DATE(2010,5,10) + TIME(7,29,57)</f>
        <v>40308.312465277777</v>
      </c>
      <c r="C139">
        <v>2400</v>
      </c>
      <c r="D139">
        <v>0</v>
      </c>
      <c r="E139">
        <v>0</v>
      </c>
      <c r="F139">
        <v>2400</v>
      </c>
      <c r="G139">
        <v>1401.5822754000001</v>
      </c>
      <c r="H139">
        <v>1387.6632079999999</v>
      </c>
      <c r="I139">
        <v>1250.6622314000001</v>
      </c>
      <c r="J139">
        <v>1210.996582</v>
      </c>
      <c r="K139">
        <v>80</v>
      </c>
      <c r="L139">
        <v>79.892562866000006</v>
      </c>
      <c r="M139">
        <v>50</v>
      </c>
      <c r="N139">
        <v>14.995857238999999</v>
      </c>
    </row>
    <row r="140" spans="1:14" x14ac:dyDescent="0.25">
      <c r="A140">
        <v>9.5113520000000005</v>
      </c>
      <c r="B140" s="1">
        <f>DATE(2010,5,10) + TIME(12,16,20)</f>
        <v>40308.511342592596</v>
      </c>
      <c r="C140">
        <v>2400</v>
      </c>
      <c r="D140">
        <v>0</v>
      </c>
      <c r="E140">
        <v>0</v>
      </c>
      <c r="F140">
        <v>2400</v>
      </c>
      <c r="G140">
        <v>1401.4505615</v>
      </c>
      <c r="H140">
        <v>1387.5328368999999</v>
      </c>
      <c r="I140">
        <v>1250.6651611</v>
      </c>
      <c r="J140">
        <v>1210.9989014</v>
      </c>
      <c r="K140">
        <v>80</v>
      </c>
      <c r="L140">
        <v>79.893112183</v>
      </c>
      <c r="M140">
        <v>50</v>
      </c>
      <c r="N140">
        <v>14.995880127</v>
      </c>
    </row>
    <row r="141" spans="1:14" x14ac:dyDescent="0.25">
      <c r="A141">
        <v>9.7123439999999999</v>
      </c>
      <c r="B141" s="1">
        <f>DATE(2010,5,10) + TIME(17,5,46)</f>
        <v>40308.712337962963</v>
      </c>
      <c r="C141">
        <v>2400</v>
      </c>
      <c r="D141">
        <v>0</v>
      </c>
      <c r="E141">
        <v>0</v>
      </c>
      <c r="F141">
        <v>2400</v>
      </c>
      <c r="G141">
        <v>1401.3203125</v>
      </c>
      <c r="H141">
        <v>1387.4039307</v>
      </c>
      <c r="I141">
        <v>1250.6682129000001</v>
      </c>
      <c r="J141">
        <v>1211.0014647999999</v>
      </c>
      <c r="K141">
        <v>80</v>
      </c>
      <c r="L141">
        <v>79.893600464000002</v>
      </c>
      <c r="M141">
        <v>50</v>
      </c>
      <c r="N141">
        <v>14.995902061000001</v>
      </c>
    </row>
    <row r="142" spans="1:14" x14ac:dyDescent="0.25">
      <c r="A142">
        <v>9.9157510000000002</v>
      </c>
      <c r="B142" s="1">
        <f>DATE(2010,5,10) + TIME(21,58,40)</f>
        <v>40308.91574074074</v>
      </c>
      <c r="C142">
        <v>2400</v>
      </c>
      <c r="D142">
        <v>0</v>
      </c>
      <c r="E142">
        <v>0</v>
      </c>
      <c r="F142">
        <v>2400</v>
      </c>
      <c r="G142">
        <v>1401.1914062000001</v>
      </c>
      <c r="H142">
        <v>1387.2762451000001</v>
      </c>
      <c r="I142">
        <v>1250.6711425999999</v>
      </c>
      <c r="J142">
        <v>1211.0039062000001</v>
      </c>
      <c r="K142">
        <v>80</v>
      </c>
      <c r="L142">
        <v>79.894042968999997</v>
      </c>
      <c r="M142">
        <v>50</v>
      </c>
      <c r="N142">
        <v>14.995924949999999</v>
      </c>
    </row>
    <row r="143" spans="1:14" x14ac:dyDescent="0.25">
      <c r="A143">
        <v>10.121888999999999</v>
      </c>
      <c r="B143" s="1">
        <f>DATE(2010,5,11) + TIME(2,55,31)</f>
        <v>40309.121886574074</v>
      </c>
      <c r="C143">
        <v>2400</v>
      </c>
      <c r="D143">
        <v>0</v>
      </c>
      <c r="E143">
        <v>0</v>
      </c>
      <c r="F143">
        <v>2400</v>
      </c>
      <c r="G143">
        <v>1401.0634766000001</v>
      </c>
      <c r="H143">
        <v>1387.1495361</v>
      </c>
      <c r="I143">
        <v>1250.6741943</v>
      </c>
      <c r="J143">
        <v>1211.0064697</v>
      </c>
      <c r="K143">
        <v>80</v>
      </c>
      <c r="L143">
        <v>79.894439696999996</v>
      </c>
      <c r="M143">
        <v>50</v>
      </c>
      <c r="N143">
        <v>14.995946884</v>
      </c>
    </row>
    <row r="144" spans="1:14" x14ac:dyDescent="0.25">
      <c r="A144">
        <v>10.331089</v>
      </c>
      <c r="B144" s="1">
        <f>DATE(2010,5,11) + TIME(7,56,46)</f>
        <v>40309.331087962964</v>
      </c>
      <c r="C144">
        <v>2400</v>
      </c>
      <c r="D144">
        <v>0</v>
      </c>
      <c r="E144">
        <v>0</v>
      </c>
      <c r="F144">
        <v>2400</v>
      </c>
      <c r="G144">
        <v>1400.9362793</v>
      </c>
      <c r="H144">
        <v>1387.0238036999999</v>
      </c>
      <c r="I144">
        <v>1250.6772461</v>
      </c>
      <c r="J144">
        <v>1211.0089111</v>
      </c>
      <c r="K144">
        <v>80</v>
      </c>
      <c r="L144">
        <v>79.894805907999995</v>
      </c>
      <c r="M144">
        <v>50</v>
      </c>
      <c r="N144">
        <v>14.995969772</v>
      </c>
    </row>
    <row r="145" spans="1:14" x14ac:dyDescent="0.25">
      <c r="A145">
        <v>10.543697999999999</v>
      </c>
      <c r="B145" s="1">
        <f>DATE(2010,5,11) + TIME(13,2,55)</f>
        <v>40309.543692129628</v>
      </c>
      <c r="C145">
        <v>2400</v>
      </c>
      <c r="D145">
        <v>0</v>
      </c>
      <c r="E145">
        <v>0</v>
      </c>
      <c r="F145">
        <v>2400</v>
      </c>
      <c r="G145">
        <v>1400.8098144999999</v>
      </c>
      <c r="H145">
        <v>1386.8985596</v>
      </c>
      <c r="I145">
        <v>1250.6804199000001</v>
      </c>
      <c r="J145">
        <v>1211.0115966999999</v>
      </c>
      <c r="K145">
        <v>80</v>
      </c>
      <c r="L145">
        <v>79.895133971999996</v>
      </c>
      <c r="M145">
        <v>50</v>
      </c>
      <c r="N145">
        <v>14.995991707</v>
      </c>
    </row>
    <row r="146" spans="1:14" x14ac:dyDescent="0.25">
      <c r="A146">
        <v>10.759859000000001</v>
      </c>
      <c r="B146" s="1">
        <f>DATE(2010,5,11) + TIME(18,14,11)</f>
        <v>40309.75984953704</v>
      </c>
      <c r="C146">
        <v>2400</v>
      </c>
      <c r="D146">
        <v>0</v>
      </c>
      <c r="E146">
        <v>0</v>
      </c>
      <c r="F146">
        <v>2400</v>
      </c>
      <c r="G146">
        <v>1400.6837158000001</v>
      </c>
      <c r="H146">
        <v>1386.7738036999999</v>
      </c>
      <c r="I146">
        <v>1250.6834716999999</v>
      </c>
      <c r="J146">
        <v>1211.0141602000001</v>
      </c>
      <c r="K146">
        <v>80</v>
      </c>
      <c r="L146">
        <v>79.895439147999994</v>
      </c>
      <c r="M146">
        <v>50</v>
      </c>
      <c r="N146">
        <v>14.996013640999999</v>
      </c>
    </row>
    <row r="147" spans="1:14" x14ac:dyDescent="0.25">
      <c r="A147">
        <v>10.979404000000001</v>
      </c>
      <c r="B147" s="1">
        <f>DATE(2010,5,11) + TIME(23,30,20)</f>
        <v>40309.979398148149</v>
      </c>
      <c r="C147">
        <v>2400</v>
      </c>
      <c r="D147">
        <v>0</v>
      </c>
      <c r="E147">
        <v>0</v>
      </c>
      <c r="F147">
        <v>2400</v>
      </c>
      <c r="G147">
        <v>1400.5579834</v>
      </c>
      <c r="H147">
        <v>1386.6494141000001</v>
      </c>
      <c r="I147">
        <v>1250.6866454999999</v>
      </c>
      <c r="J147">
        <v>1211.0168457</v>
      </c>
      <c r="K147">
        <v>80</v>
      </c>
      <c r="L147">
        <v>79.895721436000002</v>
      </c>
      <c r="M147">
        <v>50</v>
      </c>
      <c r="N147">
        <v>14.996035576000001</v>
      </c>
    </row>
    <row r="148" spans="1:14" x14ac:dyDescent="0.25">
      <c r="A148">
        <v>11.202755</v>
      </c>
      <c r="B148" s="1">
        <f>DATE(2010,5,12) + TIME(4,51,58)</f>
        <v>40310.20275462963</v>
      </c>
      <c r="C148">
        <v>2400</v>
      </c>
      <c r="D148">
        <v>0</v>
      </c>
      <c r="E148">
        <v>0</v>
      </c>
      <c r="F148">
        <v>2400</v>
      </c>
      <c r="G148">
        <v>1400.4327393000001</v>
      </c>
      <c r="H148">
        <v>1386.5255127</v>
      </c>
      <c r="I148">
        <v>1250.6899414</v>
      </c>
      <c r="J148">
        <v>1211.0195312000001</v>
      </c>
      <c r="K148">
        <v>80</v>
      </c>
      <c r="L148">
        <v>79.895973205999994</v>
      </c>
      <c r="M148">
        <v>50</v>
      </c>
      <c r="N148">
        <v>14.996058464000001</v>
      </c>
    </row>
    <row r="149" spans="1:14" x14ac:dyDescent="0.25">
      <c r="A149">
        <v>11.430289999999999</v>
      </c>
      <c r="B149" s="1">
        <f>DATE(2010,5,12) + TIME(10,19,37)</f>
        <v>40310.430289351854</v>
      </c>
      <c r="C149">
        <v>2400</v>
      </c>
      <c r="D149">
        <v>0</v>
      </c>
      <c r="E149">
        <v>0</v>
      </c>
      <c r="F149">
        <v>2400</v>
      </c>
      <c r="G149">
        <v>1400.3078613</v>
      </c>
      <c r="H149">
        <v>1386.4018555</v>
      </c>
      <c r="I149">
        <v>1250.6931152</v>
      </c>
      <c r="J149">
        <v>1211.0223389</v>
      </c>
      <c r="K149">
        <v>80</v>
      </c>
      <c r="L149">
        <v>79.896209717000005</v>
      </c>
      <c r="M149">
        <v>50</v>
      </c>
      <c r="N149">
        <v>14.996080399</v>
      </c>
    </row>
    <row r="150" spans="1:14" x14ac:dyDescent="0.25">
      <c r="A150">
        <v>11.66239</v>
      </c>
      <c r="B150" s="1">
        <f>DATE(2010,5,12) + TIME(15,53,50)</f>
        <v>40310.66238425926</v>
      </c>
      <c r="C150">
        <v>2400</v>
      </c>
      <c r="D150">
        <v>0</v>
      </c>
      <c r="E150">
        <v>0</v>
      </c>
      <c r="F150">
        <v>2400</v>
      </c>
      <c r="G150">
        <v>1400.1829834</v>
      </c>
      <c r="H150">
        <v>1386.2783202999999</v>
      </c>
      <c r="I150">
        <v>1250.6964111</v>
      </c>
      <c r="J150">
        <v>1211.0250243999999</v>
      </c>
      <c r="K150">
        <v>80</v>
      </c>
      <c r="L150">
        <v>79.896430968999994</v>
      </c>
      <c r="M150">
        <v>50</v>
      </c>
      <c r="N150">
        <v>14.996102333</v>
      </c>
    </row>
    <row r="151" spans="1:14" x14ac:dyDescent="0.25">
      <c r="A151">
        <v>11.899504</v>
      </c>
      <c r="B151" s="1">
        <f>DATE(2010,5,12) + TIME(21,35,17)</f>
        <v>40310.899502314816</v>
      </c>
      <c r="C151">
        <v>2400</v>
      </c>
      <c r="D151">
        <v>0</v>
      </c>
      <c r="E151">
        <v>0</v>
      </c>
      <c r="F151">
        <v>2400</v>
      </c>
      <c r="G151">
        <v>1400.0579834</v>
      </c>
      <c r="H151">
        <v>1386.1546631000001</v>
      </c>
      <c r="I151">
        <v>1250.6998291</v>
      </c>
      <c r="J151">
        <v>1211.0279541</v>
      </c>
      <c r="K151">
        <v>80</v>
      </c>
      <c r="L151">
        <v>79.896629333000007</v>
      </c>
      <c r="M151">
        <v>50</v>
      </c>
      <c r="N151">
        <v>14.996124268000001</v>
      </c>
    </row>
    <row r="152" spans="1:14" x14ac:dyDescent="0.25">
      <c r="A152">
        <v>12.142113999999999</v>
      </c>
      <c r="B152" s="1">
        <f>DATE(2010,5,13) + TIME(3,24,38)</f>
        <v>40311.142106481479</v>
      </c>
      <c r="C152">
        <v>2400</v>
      </c>
      <c r="D152">
        <v>0</v>
      </c>
      <c r="E152">
        <v>0</v>
      </c>
      <c r="F152">
        <v>2400</v>
      </c>
      <c r="G152">
        <v>1399.9328613</v>
      </c>
      <c r="H152">
        <v>1386.0308838000001</v>
      </c>
      <c r="I152">
        <v>1250.7032471</v>
      </c>
      <c r="J152">
        <v>1211.0308838000001</v>
      </c>
      <c r="K152">
        <v>80</v>
      </c>
      <c r="L152">
        <v>79.896820067999997</v>
      </c>
      <c r="M152">
        <v>50</v>
      </c>
      <c r="N152">
        <v>14.996146202</v>
      </c>
    </row>
    <row r="153" spans="1:14" x14ac:dyDescent="0.25">
      <c r="A153">
        <v>12.390333999999999</v>
      </c>
      <c r="B153" s="1">
        <f>DATE(2010,5,13) + TIME(9,22,4)</f>
        <v>40311.390324074076</v>
      </c>
      <c r="C153">
        <v>2400</v>
      </c>
      <c r="D153">
        <v>0</v>
      </c>
      <c r="E153">
        <v>0</v>
      </c>
      <c r="F153">
        <v>2400</v>
      </c>
      <c r="G153">
        <v>1399.8071289</v>
      </c>
      <c r="H153">
        <v>1385.9066161999999</v>
      </c>
      <c r="I153">
        <v>1250.7067870999999</v>
      </c>
      <c r="J153">
        <v>1211.0338135</v>
      </c>
      <c r="K153">
        <v>80</v>
      </c>
      <c r="L153">
        <v>79.896995544000006</v>
      </c>
      <c r="M153">
        <v>50</v>
      </c>
      <c r="N153">
        <v>14.99616909</v>
      </c>
    </row>
    <row r="154" spans="1:14" x14ac:dyDescent="0.25">
      <c r="A154">
        <v>12.64433</v>
      </c>
      <c r="B154" s="1">
        <f>DATE(2010,5,13) + TIME(15,27,50)</f>
        <v>40311.644328703704</v>
      </c>
      <c r="C154">
        <v>2400</v>
      </c>
      <c r="D154">
        <v>0</v>
      </c>
      <c r="E154">
        <v>0</v>
      </c>
      <c r="F154">
        <v>2400</v>
      </c>
      <c r="G154">
        <v>1399.6811522999999</v>
      </c>
      <c r="H154">
        <v>1385.7818603999999</v>
      </c>
      <c r="I154">
        <v>1250.7103271000001</v>
      </c>
      <c r="J154">
        <v>1211.0368652</v>
      </c>
      <c r="K154">
        <v>80</v>
      </c>
      <c r="L154">
        <v>79.897163391000007</v>
      </c>
      <c r="M154">
        <v>50</v>
      </c>
      <c r="N154">
        <v>14.996191025</v>
      </c>
    </row>
    <row r="155" spans="1:14" x14ac:dyDescent="0.25">
      <c r="A155">
        <v>12.904667</v>
      </c>
      <c r="B155" s="1">
        <f>DATE(2010,5,13) + TIME(21,42,43)</f>
        <v>40311.904664351852</v>
      </c>
      <c r="C155">
        <v>2400</v>
      </c>
      <c r="D155">
        <v>0</v>
      </c>
      <c r="E155">
        <v>0</v>
      </c>
      <c r="F155">
        <v>2400</v>
      </c>
      <c r="G155">
        <v>1399.5545654</v>
      </c>
      <c r="H155">
        <v>1385.6567382999999</v>
      </c>
      <c r="I155">
        <v>1250.7139893000001</v>
      </c>
      <c r="J155">
        <v>1211.0400391000001</v>
      </c>
      <c r="K155">
        <v>80</v>
      </c>
      <c r="L155">
        <v>79.897315978999998</v>
      </c>
      <c r="M155">
        <v>50</v>
      </c>
      <c r="N155">
        <v>14.996213913</v>
      </c>
    </row>
    <row r="156" spans="1:14" x14ac:dyDescent="0.25">
      <c r="A156">
        <v>13.171082</v>
      </c>
      <c r="B156" s="1">
        <f>DATE(2010,5,14) + TIME(4,6,21)</f>
        <v>40312.171076388891</v>
      </c>
      <c r="C156">
        <v>2400</v>
      </c>
      <c r="D156">
        <v>0</v>
      </c>
      <c r="E156">
        <v>0</v>
      </c>
      <c r="F156">
        <v>2400</v>
      </c>
      <c r="G156">
        <v>1399.4273682</v>
      </c>
      <c r="H156">
        <v>1385.5310059000001</v>
      </c>
      <c r="I156">
        <v>1250.7176514</v>
      </c>
      <c r="J156">
        <v>1211.0432129000001</v>
      </c>
      <c r="K156">
        <v>80</v>
      </c>
      <c r="L156">
        <v>79.897460937999995</v>
      </c>
      <c r="M156">
        <v>50</v>
      </c>
      <c r="N156">
        <v>14.996235846999999</v>
      </c>
    </row>
    <row r="157" spans="1:14" x14ac:dyDescent="0.25">
      <c r="A157">
        <v>13.437635999999999</v>
      </c>
      <c r="B157" s="1">
        <f>DATE(2010,5,14) + TIME(10,30,11)</f>
        <v>40312.437627314815</v>
      </c>
      <c r="C157">
        <v>2400</v>
      </c>
      <c r="D157">
        <v>0</v>
      </c>
      <c r="E157">
        <v>0</v>
      </c>
      <c r="F157">
        <v>2400</v>
      </c>
      <c r="G157">
        <v>1399.2998047000001</v>
      </c>
      <c r="H157">
        <v>1385.4046631000001</v>
      </c>
      <c r="I157">
        <v>1250.7214355000001</v>
      </c>
      <c r="J157">
        <v>1211.0463867000001</v>
      </c>
      <c r="K157">
        <v>80</v>
      </c>
      <c r="L157">
        <v>79.897590636999993</v>
      </c>
      <c r="M157">
        <v>50</v>
      </c>
      <c r="N157">
        <v>14.996258736</v>
      </c>
    </row>
    <row r="158" spans="1:14" x14ac:dyDescent="0.25">
      <c r="A158">
        <v>13.704727</v>
      </c>
      <c r="B158" s="1">
        <f>DATE(2010,5,14) + TIME(16,54,48)</f>
        <v>40312.704722222225</v>
      </c>
      <c r="C158">
        <v>2400</v>
      </c>
      <c r="D158">
        <v>0</v>
      </c>
      <c r="E158">
        <v>0</v>
      </c>
      <c r="F158">
        <v>2400</v>
      </c>
      <c r="G158">
        <v>1399.1744385</v>
      </c>
      <c r="H158">
        <v>1385.2808838000001</v>
      </c>
      <c r="I158">
        <v>1250.7252197</v>
      </c>
      <c r="J158">
        <v>1211.0496826000001</v>
      </c>
      <c r="K158">
        <v>80</v>
      </c>
      <c r="L158">
        <v>79.897712708</v>
      </c>
      <c r="M158">
        <v>50</v>
      </c>
      <c r="N158">
        <v>14.996280670000001</v>
      </c>
    </row>
    <row r="159" spans="1:14" x14ac:dyDescent="0.25">
      <c r="A159">
        <v>13.972802</v>
      </c>
      <c r="B159" s="1">
        <f>DATE(2010,5,14) + TIME(23,20,50)</f>
        <v>40312.972800925927</v>
      </c>
      <c r="C159">
        <v>2400</v>
      </c>
      <c r="D159">
        <v>0</v>
      </c>
      <c r="E159">
        <v>0</v>
      </c>
      <c r="F159">
        <v>2400</v>
      </c>
      <c r="G159">
        <v>1399.0513916</v>
      </c>
      <c r="H159">
        <v>1385.1590576000001</v>
      </c>
      <c r="I159">
        <v>1250.7290039</v>
      </c>
      <c r="J159">
        <v>1211.0529785000001</v>
      </c>
      <c r="K159">
        <v>80</v>
      </c>
      <c r="L159">
        <v>79.897827148000005</v>
      </c>
      <c r="M159">
        <v>50</v>
      </c>
      <c r="N159">
        <v>14.996302605</v>
      </c>
    </row>
    <row r="160" spans="1:14" x14ac:dyDescent="0.25">
      <c r="A160">
        <v>14.242305999999999</v>
      </c>
      <c r="B160" s="1">
        <f>DATE(2010,5,15) + TIME(5,48,55)</f>
        <v>40313.242303240739</v>
      </c>
      <c r="C160">
        <v>2400</v>
      </c>
      <c r="D160">
        <v>0</v>
      </c>
      <c r="E160">
        <v>0</v>
      </c>
      <c r="F160">
        <v>2400</v>
      </c>
      <c r="G160">
        <v>1398.9300536999999</v>
      </c>
      <c r="H160">
        <v>1385.0390625</v>
      </c>
      <c r="I160">
        <v>1250.7329102000001</v>
      </c>
      <c r="J160">
        <v>1211.0561522999999</v>
      </c>
      <c r="K160">
        <v>80</v>
      </c>
      <c r="L160">
        <v>79.897933960000003</v>
      </c>
      <c r="M160">
        <v>50</v>
      </c>
      <c r="N160">
        <v>14.996323586000001</v>
      </c>
    </row>
    <row r="161" spans="1:14" x14ac:dyDescent="0.25">
      <c r="A161">
        <v>14.513662999999999</v>
      </c>
      <c r="B161" s="1">
        <f>DATE(2010,5,15) + TIME(12,19,40)</f>
        <v>40313.513657407406</v>
      </c>
      <c r="C161">
        <v>2400</v>
      </c>
      <c r="D161">
        <v>0</v>
      </c>
      <c r="E161">
        <v>0</v>
      </c>
      <c r="F161">
        <v>2400</v>
      </c>
      <c r="G161">
        <v>1398.8104248</v>
      </c>
      <c r="H161">
        <v>1384.9207764</v>
      </c>
      <c r="I161">
        <v>1250.7366943</v>
      </c>
      <c r="J161">
        <v>1211.0594481999999</v>
      </c>
      <c r="K161">
        <v>80</v>
      </c>
      <c r="L161">
        <v>79.898033142000003</v>
      </c>
      <c r="M161">
        <v>50</v>
      </c>
      <c r="N161">
        <v>14.996344565999999</v>
      </c>
    </row>
    <row r="162" spans="1:14" x14ac:dyDescent="0.25">
      <c r="A162">
        <v>14.787296</v>
      </c>
      <c r="B162" s="1">
        <f>DATE(2010,5,15) + TIME(18,53,42)</f>
        <v>40313.787291666667</v>
      </c>
      <c r="C162">
        <v>2400</v>
      </c>
      <c r="D162">
        <v>0</v>
      </c>
      <c r="E162">
        <v>0</v>
      </c>
      <c r="F162">
        <v>2400</v>
      </c>
      <c r="G162">
        <v>1398.6920166</v>
      </c>
      <c r="H162">
        <v>1384.8037108999999</v>
      </c>
      <c r="I162">
        <v>1250.7404785000001</v>
      </c>
      <c r="J162">
        <v>1211.0628661999999</v>
      </c>
      <c r="K162">
        <v>80</v>
      </c>
      <c r="L162">
        <v>79.898124695000007</v>
      </c>
      <c r="M162">
        <v>50</v>
      </c>
      <c r="N162">
        <v>14.996366501000001</v>
      </c>
    </row>
    <row r="163" spans="1:14" x14ac:dyDescent="0.25">
      <c r="A163">
        <v>15.063637999999999</v>
      </c>
      <c r="B163" s="1">
        <f>DATE(2010,5,16) + TIME(1,31,38)</f>
        <v>40314.063634259262</v>
      </c>
      <c r="C163">
        <v>2400</v>
      </c>
      <c r="D163">
        <v>0</v>
      </c>
      <c r="E163">
        <v>0</v>
      </c>
      <c r="F163">
        <v>2400</v>
      </c>
      <c r="G163">
        <v>1398.5748291</v>
      </c>
      <c r="H163">
        <v>1384.6878661999999</v>
      </c>
      <c r="I163">
        <v>1250.7443848</v>
      </c>
      <c r="J163">
        <v>1211.0661620999999</v>
      </c>
      <c r="K163">
        <v>80</v>
      </c>
      <c r="L163">
        <v>79.898208617999998</v>
      </c>
      <c r="M163">
        <v>50</v>
      </c>
      <c r="N163">
        <v>14.996387481999999</v>
      </c>
    </row>
    <row r="164" spans="1:14" x14ac:dyDescent="0.25">
      <c r="A164">
        <v>15.343128999999999</v>
      </c>
      <c r="B164" s="1">
        <f>DATE(2010,5,16) + TIME(8,14,6)</f>
        <v>40314.343124999999</v>
      </c>
      <c r="C164">
        <v>2400</v>
      </c>
      <c r="D164">
        <v>0</v>
      </c>
      <c r="E164">
        <v>0</v>
      </c>
      <c r="F164">
        <v>2400</v>
      </c>
      <c r="G164">
        <v>1398.4586182</v>
      </c>
      <c r="H164">
        <v>1384.5729980000001</v>
      </c>
      <c r="I164">
        <v>1250.7482910000001</v>
      </c>
      <c r="J164">
        <v>1211.0695800999999</v>
      </c>
      <c r="K164">
        <v>80</v>
      </c>
      <c r="L164">
        <v>79.898292541999993</v>
      </c>
      <c r="M164">
        <v>50</v>
      </c>
      <c r="N164">
        <v>14.996407509000001</v>
      </c>
    </row>
    <row r="165" spans="1:14" x14ac:dyDescent="0.25">
      <c r="A165">
        <v>15.626227999999999</v>
      </c>
      <c r="B165" s="1">
        <f>DATE(2010,5,16) + TIME(15,1,46)</f>
        <v>40314.626226851855</v>
      </c>
      <c r="C165">
        <v>2400</v>
      </c>
      <c r="D165">
        <v>0</v>
      </c>
      <c r="E165">
        <v>0</v>
      </c>
      <c r="F165">
        <v>2400</v>
      </c>
      <c r="G165">
        <v>1398.3432617000001</v>
      </c>
      <c r="H165">
        <v>1384.4587402</v>
      </c>
      <c r="I165">
        <v>1250.7521973</v>
      </c>
      <c r="J165">
        <v>1211.0729980000001</v>
      </c>
      <c r="K165">
        <v>80</v>
      </c>
      <c r="L165">
        <v>79.898376464999998</v>
      </c>
      <c r="M165">
        <v>50</v>
      </c>
      <c r="N165">
        <v>14.99642849</v>
      </c>
    </row>
    <row r="166" spans="1:14" x14ac:dyDescent="0.25">
      <c r="A166">
        <v>15.913142000000001</v>
      </c>
      <c r="B166" s="1">
        <f>DATE(2010,5,16) + TIME(21,54,55)</f>
        <v>40314.913136574076</v>
      </c>
      <c r="C166">
        <v>2400</v>
      </c>
      <c r="D166">
        <v>0</v>
      </c>
      <c r="E166">
        <v>0</v>
      </c>
      <c r="F166">
        <v>2400</v>
      </c>
      <c r="G166">
        <v>1398.2282714999999</v>
      </c>
      <c r="H166">
        <v>1384.3452147999999</v>
      </c>
      <c r="I166">
        <v>1250.7561035000001</v>
      </c>
      <c r="J166">
        <v>1211.0764160000001</v>
      </c>
      <c r="K166">
        <v>80</v>
      </c>
      <c r="L166">
        <v>79.898452758999994</v>
      </c>
      <c r="M166">
        <v>50</v>
      </c>
      <c r="N166">
        <v>14.996449471</v>
      </c>
    </row>
    <row r="167" spans="1:14" x14ac:dyDescent="0.25">
      <c r="A167">
        <v>16.203320000000001</v>
      </c>
      <c r="B167" s="1">
        <f>DATE(2010,5,17) + TIME(4,52,46)</f>
        <v>40315.203310185185</v>
      </c>
      <c r="C167">
        <v>2400</v>
      </c>
      <c r="D167">
        <v>0</v>
      </c>
      <c r="E167">
        <v>0</v>
      </c>
      <c r="F167">
        <v>2400</v>
      </c>
      <c r="G167">
        <v>1398.1138916</v>
      </c>
      <c r="H167">
        <v>1384.2320557</v>
      </c>
      <c r="I167">
        <v>1250.7601318</v>
      </c>
      <c r="J167">
        <v>1211.0799560999999</v>
      </c>
      <c r="K167">
        <v>80</v>
      </c>
      <c r="L167">
        <v>79.898529053000004</v>
      </c>
      <c r="M167">
        <v>50</v>
      </c>
      <c r="N167">
        <v>14.996469498</v>
      </c>
    </row>
    <row r="168" spans="1:14" x14ac:dyDescent="0.25">
      <c r="A168">
        <v>16.497215000000001</v>
      </c>
      <c r="B168" s="1">
        <f>DATE(2010,5,17) + TIME(11,55,59)</f>
        <v>40315.497210648151</v>
      </c>
      <c r="C168">
        <v>2400</v>
      </c>
      <c r="D168">
        <v>0</v>
      </c>
      <c r="E168">
        <v>0</v>
      </c>
      <c r="F168">
        <v>2400</v>
      </c>
      <c r="G168">
        <v>1398.0002440999999</v>
      </c>
      <c r="H168">
        <v>1384.1196289</v>
      </c>
      <c r="I168">
        <v>1250.7642822</v>
      </c>
      <c r="J168">
        <v>1211.0834961</v>
      </c>
      <c r="K168">
        <v>80</v>
      </c>
      <c r="L168">
        <v>79.898597717000001</v>
      </c>
      <c r="M168">
        <v>50</v>
      </c>
      <c r="N168">
        <v>14.996490479</v>
      </c>
    </row>
    <row r="169" spans="1:14" x14ac:dyDescent="0.25">
      <c r="A169">
        <v>16.795292</v>
      </c>
      <c r="B169" s="1">
        <f>DATE(2010,5,17) + TIME(19,5,13)</f>
        <v>40315.795289351852</v>
      </c>
      <c r="C169">
        <v>2400</v>
      </c>
      <c r="D169">
        <v>0</v>
      </c>
      <c r="E169">
        <v>0</v>
      </c>
      <c r="F169">
        <v>2400</v>
      </c>
      <c r="G169">
        <v>1397.8869629000001</v>
      </c>
      <c r="H169">
        <v>1384.0076904</v>
      </c>
      <c r="I169">
        <v>1250.7683105000001</v>
      </c>
      <c r="J169">
        <v>1211.0871582</v>
      </c>
      <c r="K169">
        <v>80</v>
      </c>
      <c r="L169">
        <v>79.898666382000002</v>
      </c>
      <c r="M169">
        <v>50</v>
      </c>
      <c r="N169">
        <v>14.996510506</v>
      </c>
    </row>
    <row r="170" spans="1:14" x14ac:dyDescent="0.25">
      <c r="A170">
        <v>17.098147000000001</v>
      </c>
      <c r="B170" s="1">
        <f>DATE(2010,5,18) + TIME(2,21,19)</f>
        <v>40316.098136574074</v>
      </c>
      <c r="C170">
        <v>2400</v>
      </c>
      <c r="D170">
        <v>0</v>
      </c>
      <c r="E170">
        <v>0</v>
      </c>
      <c r="F170">
        <v>2400</v>
      </c>
      <c r="G170">
        <v>1397.7741699000001</v>
      </c>
      <c r="H170">
        <v>1383.8961182</v>
      </c>
      <c r="I170">
        <v>1250.7725829999999</v>
      </c>
      <c r="J170">
        <v>1211.0908202999999</v>
      </c>
      <c r="K170">
        <v>80</v>
      </c>
      <c r="L170">
        <v>79.898735045999999</v>
      </c>
      <c r="M170">
        <v>50</v>
      </c>
      <c r="N170">
        <v>14.996530533</v>
      </c>
    </row>
    <row r="171" spans="1:14" x14ac:dyDescent="0.25">
      <c r="A171">
        <v>17.406216000000001</v>
      </c>
      <c r="B171" s="1">
        <f>DATE(2010,5,18) + TIME(9,44,57)</f>
        <v>40316.406215277777</v>
      </c>
      <c r="C171">
        <v>2400</v>
      </c>
      <c r="D171">
        <v>0</v>
      </c>
      <c r="E171">
        <v>0</v>
      </c>
      <c r="F171">
        <v>2400</v>
      </c>
      <c r="G171">
        <v>1397.661499</v>
      </c>
      <c r="H171">
        <v>1383.784668</v>
      </c>
      <c r="I171">
        <v>1250.7767334</v>
      </c>
      <c r="J171">
        <v>1211.0944824000001</v>
      </c>
      <c r="K171">
        <v>80</v>
      </c>
      <c r="L171">
        <v>79.898803710999999</v>
      </c>
      <c r="M171">
        <v>50</v>
      </c>
      <c r="N171">
        <v>14.996551514</v>
      </c>
    </row>
    <row r="172" spans="1:14" x14ac:dyDescent="0.25">
      <c r="A172">
        <v>17.720040000000001</v>
      </c>
      <c r="B172" s="1">
        <f>DATE(2010,5,18) + TIME(17,16,51)</f>
        <v>40316.720034722224</v>
      </c>
      <c r="C172">
        <v>2400</v>
      </c>
      <c r="D172">
        <v>0</v>
      </c>
      <c r="E172">
        <v>0</v>
      </c>
      <c r="F172">
        <v>2400</v>
      </c>
      <c r="G172">
        <v>1397.5489502</v>
      </c>
      <c r="H172">
        <v>1383.6733397999999</v>
      </c>
      <c r="I172">
        <v>1250.7811279</v>
      </c>
      <c r="J172">
        <v>1211.0982666</v>
      </c>
      <c r="K172">
        <v>80</v>
      </c>
      <c r="L172">
        <v>79.898872374999996</v>
      </c>
      <c r="M172">
        <v>50</v>
      </c>
      <c r="N172">
        <v>14.996571541</v>
      </c>
    </row>
    <row r="173" spans="1:14" x14ac:dyDescent="0.25">
      <c r="A173">
        <v>18.040213000000001</v>
      </c>
      <c r="B173" s="1">
        <f>DATE(2010,5,19) + TIME(0,57,54)</f>
        <v>40317.040208333332</v>
      </c>
      <c r="C173">
        <v>2400</v>
      </c>
      <c r="D173">
        <v>0</v>
      </c>
      <c r="E173">
        <v>0</v>
      </c>
      <c r="F173">
        <v>2400</v>
      </c>
      <c r="G173">
        <v>1397.4361572</v>
      </c>
      <c r="H173">
        <v>1383.5617675999999</v>
      </c>
      <c r="I173">
        <v>1250.7855225000001</v>
      </c>
      <c r="J173">
        <v>1211.1021728999999</v>
      </c>
      <c r="K173">
        <v>80</v>
      </c>
      <c r="L173">
        <v>79.898933411000002</v>
      </c>
      <c r="M173">
        <v>50</v>
      </c>
      <c r="N173">
        <v>14.996591567999999</v>
      </c>
    </row>
    <row r="174" spans="1:14" x14ac:dyDescent="0.25">
      <c r="A174">
        <v>18.366218</v>
      </c>
      <c r="B174" s="1">
        <f>DATE(2010,5,19) + TIME(8,47,21)</f>
        <v>40317.366215277776</v>
      </c>
      <c r="C174">
        <v>2400</v>
      </c>
      <c r="D174">
        <v>0</v>
      </c>
      <c r="E174">
        <v>0</v>
      </c>
      <c r="F174">
        <v>2400</v>
      </c>
      <c r="G174">
        <v>1397.3231201000001</v>
      </c>
      <c r="H174">
        <v>1383.4499512</v>
      </c>
      <c r="I174">
        <v>1250.7899170000001</v>
      </c>
      <c r="J174">
        <v>1211.1062012</v>
      </c>
      <c r="K174">
        <v>80</v>
      </c>
      <c r="L174">
        <v>79.898994446000003</v>
      </c>
      <c r="M174">
        <v>50</v>
      </c>
      <c r="N174">
        <v>14.996612549</v>
      </c>
    </row>
    <row r="175" spans="1:14" x14ac:dyDescent="0.25">
      <c r="A175">
        <v>18.698691</v>
      </c>
      <c r="B175" s="1">
        <f>DATE(2010,5,19) + TIME(16,46,6)</f>
        <v>40317.698680555557</v>
      </c>
      <c r="C175">
        <v>2400</v>
      </c>
      <c r="D175">
        <v>0</v>
      </c>
      <c r="E175">
        <v>0</v>
      </c>
      <c r="F175">
        <v>2400</v>
      </c>
      <c r="G175">
        <v>1397.2099608999999</v>
      </c>
      <c r="H175">
        <v>1383.3380127</v>
      </c>
      <c r="I175">
        <v>1250.7945557</v>
      </c>
      <c r="J175">
        <v>1211.1102295000001</v>
      </c>
      <c r="K175">
        <v>80</v>
      </c>
      <c r="L175">
        <v>79.89906311</v>
      </c>
      <c r="M175">
        <v>50</v>
      </c>
      <c r="N175">
        <v>14.996632576</v>
      </c>
    </row>
    <row r="176" spans="1:14" x14ac:dyDescent="0.25">
      <c r="A176">
        <v>19.038294</v>
      </c>
      <c r="B176" s="1">
        <f>DATE(2010,5,20) + TIME(0,55,8)</f>
        <v>40318.038287037038</v>
      </c>
      <c r="C176">
        <v>2400</v>
      </c>
      <c r="D176">
        <v>0</v>
      </c>
      <c r="E176">
        <v>0</v>
      </c>
      <c r="F176">
        <v>2400</v>
      </c>
      <c r="G176">
        <v>1397.0964355000001</v>
      </c>
      <c r="H176">
        <v>1383.2258300999999</v>
      </c>
      <c r="I176">
        <v>1250.7991943</v>
      </c>
      <c r="J176">
        <v>1211.1142577999999</v>
      </c>
      <c r="K176">
        <v>80</v>
      </c>
      <c r="L176">
        <v>79.899124146000005</v>
      </c>
      <c r="M176">
        <v>50</v>
      </c>
      <c r="N176">
        <v>14.996653557</v>
      </c>
    </row>
    <row r="177" spans="1:14" x14ac:dyDescent="0.25">
      <c r="A177">
        <v>19.382997</v>
      </c>
      <c r="B177" s="1">
        <f>DATE(2010,5,20) + TIME(9,11,30)</f>
        <v>40318.382986111108</v>
      </c>
      <c r="C177">
        <v>2400</v>
      </c>
      <c r="D177">
        <v>0</v>
      </c>
      <c r="E177">
        <v>0</v>
      </c>
      <c r="F177">
        <v>2400</v>
      </c>
      <c r="G177">
        <v>1396.9825439000001</v>
      </c>
      <c r="H177">
        <v>1383.1131591999999</v>
      </c>
      <c r="I177">
        <v>1250.8038329999999</v>
      </c>
      <c r="J177">
        <v>1211.1185303</v>
      </c>
      <c r="K177">
        <v>80</v>
      </c>
      <c r="L177">
        <v>79.899192810000002</v>
      </c>
      <c r="M177">
        <v>50</v>
      </c>
      <c r="N177">
        <v>14.996673584</v>
      </c>
    </row>
    <row r="178" spans="1:14" x14ac:dyDescent="0.25">
      <c r="A178">
        <v>19.728204999999999</v>
      </c>
      <c r="B178" s="1">
        <f>DATE(2010,5,20) + TIME(17,28,36)</f>
        <v>40318.728194444448</v>
      </c>
      <c r="C178">
        <v>2400</v>
      </c>
      <c r="D178">
        <v>0</v>
      </c>
      <c r="E178">
        <v>0</v>
      </c>
      <c r="F178">
        <v>2400</v>
      </c>
      <c r="G178">
        <v>1396.8688964999999</v>
      </c>
      <c r="H178">
        <v>1383.0007324000001</v>
      </c>
      <c r="I178">
        <v>1250.8085937999999</v>
      </c>
      <c r="J178">
        <v>1211.1226807</v>
      </c>
      <c r="K178">
        <v>80</v>
      </c>
      <c r="L178">
        <v>79.899253845000004</v>
      </c>
      <c r="M178">
        <v>50</v>
      </c>
      <c r="N178">
        <v>14.996694565</v>
      </c>
    </row>
    <row r="179" spans="1:14" x14ac:dyDescent="0.25">
      <c r="A179">
        <v>20.074570999999999</v>
      </c>
      <c r="B179" s="1">
        <f>DATE(2010,5,21) + TIME(1,47,22)</f>
        <v>40319.074560185189</v>
      </c>
      <c r="C179">
        <v>2400</v>
      </c>
      <c r="D179">
        <v>0</v>
      </c>
      <c r="E179">
        <v>0</v>
      </c>
      <c r="F179">
        <v>2400</v>
      </c>
      <c r="G179">
        <v>1396.7570800999999</v>
      </c>
      <c r="H179">
        <v>1382.8901367000001</v>
      </c>
      <c r="I179">
        <v>1250.8134766000001</v>
      </c>
      <c r="J179">
        <v>1211.1269531</v>
      </c>
      <c r="K179">
        <v>80</v>
      </c>
      <c r="L179">
        <v>79.899314880000006</v>
      </c>
      <c r="M179">
        <v>50</v>
      </c>
      <c r="N179">
        <v>14.996714592</v>
      </c>
    </row>
    <row r="180" spans="1:14" x14ac:dyDescent="0.25">
      <c r="A180">
        <v>20.422663</v>
      </c>
      <c r="B180" s="1">
        <f>DATE(2010,5,21) + TIME(10,8,38)</f>
        <v>40319.422662037039</v>
      </c>
      <c r="C180">
        <v>2400</v>
      </c>
      <c r="D180">
        <v>0</v>
      </c>
      <c r="E180">
        <v>0</v>
      </c>
      <c r="F180">
        <v>2400</v>
      </c>
      <c r="G180">
        <v>1396.6467285000001</v>
      </c>
      <c r="H180">
        <v>1382.7808838000001</v>
      </c>
      <c r="I180">
        <v>1250.8182373</v>
      </c>
      <c r="J180">
        <v>1211.1312256000001</v>
      </c>
      <c r="K180">
        <v>80</v>
      </c>
      <c r="L180">
        <v>79.899375915999997</v>
      </c>
      <c r="M180">
        <v>50</v>
      </c>
      <c r="N180">
        <v>14.996734619</v>
      </c>
    </row>
    <row r="181" spans="1:14" x14ac:dyDescent="0.25">
      <c r="A181">
        <v>20.773049</v>
      </c>
      <c r="B181" s="1">
        <f>DATE(2010,5,21) + TIME(18,33,11)</f>
        <v>40319.773043981484</v>
      </c>
      <c r="C181">
        <v>2400</v>
      </c>
      <c r="D181">
        <v>0</v>
      </c>
      <c r="E181">
        <v>0</v>
      </c>
      <c r="F181">
        <v>2400</v>
      </c>
      <c r="G181">
        <v>1396.5375977000001</v>
      </c>
      <c r="H181">
        <v>1382.6729736</v>
      </c>
      <c r="I181">
        <v>1250.8231201000001</v>
      </c>
      <c r="J181">
        <v>1211.1356201000001</v>
      </c>
      <c r="K181">
        <v>80</v>
      </c>
      <c r="L181">
        <v>79.899436950999998</v>
      </c>
      <c r="M181">
        <v>50</v>
      </c>
      <c r="N181">
        <v>14.996753693</v>
      </c>
    </row>
    <row r="182" spans="1:14" x14ac:dyDescent="0.25">
      <c r="A182">
        <v>21.126298999999999</v>
      </c>
      <c r="B182" s="1">
        <f>DATE(2010,5,22) + TIME(3,1,52)</f>
        <v>40320.126296296294</v>
      </c>
      <c r="C182">
        <v>2400</v>
      </c>
      <c r="D182">
        <v>0</v>
      </c>
      <c r="E182">
        <v>0</v>
      </c>
      <c r="F182">
        <v>2400</v>
      </c>
      <c r="G182">
        <v>1396.4296875</v>
      </c>
      <c r="H182">
        <v>1382.5661620999999</v>
      </c>
      <c r="I182">
        <v>1250.8278809000001</v>
      </c>
      <c r="J182">
        <v>1211.1398925999999</v>
      </c>
      <c r="K182">
        <v>80</v>
      </c>
      <c r="L182">
        <v>79.899497986</v>
      </c>
      <c r="M182">
        <v>50</v>
      </c>
      <c r="N182">
        <v>14.99677372</v>
      </c>
    </row>
    <row r="183" spans="1:14" x14ac:dyDescent="0.25">
      <c r="A183">
        <v>21.482994000000001</v>
      </c>
      <c r="B183" s="1">
        <f>DATE(2010,5,22) + TIME(11,35,30)</f>
        <v>40320.482986111114</v>
      </c>
      <c r="C183">
        <v>2400</v>
      </c>
      <c r="D183">
        <v>0</v>
      </c>
      <c r="E183">
        <v>0</v>
      </c>
      <c r="F183">
        <v>2400</v>
      </c>
      <c r="G183">
        <v>1396.3226318</v>
      </c>
      <c r="H183">
        <v>1382.4602050999999</v>
      </c>
      <c r="I183">
        <v>1250.8328856999999</v>
      </c>
      <c r="J183">
        <v>1211.1442870999999</v>
      </c>
      <c r="K183">
        <v>80</v>
      </c>
      <c r="L183">
        <v>79.899559021000002</v>
      </c>
      <c r="M183">
        <v>50</v>
      </c>
      <c r="N183">
        <v>14.996792792999999</v>
      </c>
    </row>
    <row r="184" spans="1:14" x14ac:dyDescent="0.25">
      <c r="A184">
        <v>21.843731999999999</v>
      </c>
      <c r="B184" s="1">
        <f>DATE(2010,5,22) + TIME(20,14,58)</f>
        <v>40320.843726851854</v>
      </c>
      <c r="C184">
        <v>2400</v>
      </c>
      <c r="D184">
        <v>0</v>
      </c>
      <c r="E184">
        <v>0</v>
      </c>
      <c r="F184">
        <v>2400</v>
      </c>
      <c r="G184">
        <v>1396.2161865</v>
      </c>
      <c r="H184">
        <v>1382.3548584</v>
      </c>
      <c r="I184">
        <v>1250.8377685999999</v>
      </c>
      <c r="J184">
        <v>1211.1486815999999</v>
      </c>
      <c r="K184">
        <v>80</v>
      </c>
      <c r="L184">
        <v>79.899620056000003</v>
      </c>
      <c r="M184">
        <v>50</v>
      </c>
      <c r="N184">
        <v>14.996812820000001</v>
      </c>
    </row>
    <row r="185" spans="1:14" x14ac:dyDescent="0.25">
      <c r="A185">
        <v>22.207975000000001</v>
      </c>
      <c r="B185" s="1">
        <f>DATE(2010,5,23) + TIME(4,59,29)</f>
        <v>40321.207974537036</v>
      </c>
      <c r="C185">
        <v>2400</v>
      </c>
      <c r="D185">
        <v>0</v>
      </c>
      <c r="E185">
        <v>0</v>
      </c>
      <c r="F185">
        <v>2400</v>
      </c>
      <c r="G185">
        <v>1396.1103516000001</v>
      </c>
      <c r="H185">
        <v>1382.2501221</v>
      </c>
      <c r="I185">
        <v>1250.8427733999999</v>
      </c>
      <c r="J185">
        <v>1211.1531981999999</v>
      </c>
      <c r="K185">
        <v>80</v>
      </c>
      <c r="L185">
        <v>79.899681091000005</v>
      </c>
      <c r="M185">
        <v>50</v>
      </c>
      <c r="N185">
        <v>14.996831894</v>
      </c>
    </row>
    <row r="186" spans="1:14" x14ac:dyDescent="0.25">
      <c r="A186">
        <v>22.575434000000001</v>
      </c>
      <c r="B186" s="1">
        <f>DATE(2010,5,23) + TIME(13,48,37)</f>
        <v>40321.575428240743</v>
      </c>
      <c r="C186">
        <v>2400</v>
      </c>
      <c r="D186">
        <v>0</v>
      </c>
      <c r="E186">
        <v>0</v>
      </c>
      <c r="F186">
        <v>2400</v>
      </c>
      <c r="G186">
        <v>1396.0051269999999</v>
      </c>
      <c r="H186">
        <v>1382.1459961</v>
      </c>
      <c r="I186">
        <v>1250.8479004000001</v>
      </c>
      <c r="J186">
        <v>1211.1577147999999</v>
      </c>
      <c r="K186">
        <v>80</v>
      </c>
      <c r="L186">
        <v>79.899749756000006</v>
      </c>
      <c r="M186">
        <v>50</v>
      </c>
      <c r="N186">
        <v>14.996850967</v>
      </c>
    </row>
    <row r="187" spans="1:14" x14ac:dyDescent="0.25">
      <c r="A187">
        <v>22.946672</v>
      </c>
      <c r="B187" s="1">
        <f>DATE(2010,5,23) + TIME(22,43,12)</f>
        <v>40321.946666666663</v>
      </c>
      <c r="C187">
        <v>2400</v>
      </c>
      <c r="D187">
        <v>0</v>
      </c>
      <c r="E187">
        <v>0</v>
      </c>
      <c r="F187">
        <v>2400</v>
      </c>
      <c r="G187">
        <v>1395.9006348</v>
      </c>
      <c r="H187">
        <v>1382.0426024999999</v>
      </c>
      <c r="I187">
        <v>1250.8529053</v>
      </c>
      <c r="J187">
        <v>1211.1623535000001</v>
      </c>
      <c r="K187">
        <v>80</v>
      </c>
      <c r="L187">
        <v>79.899810790999993</v>
      </c>
      <c r="M187">
        <v>50</v>
      </c>
      <c r="N187">
        <v>14.996870040999999</v>
      </c>
    </row>
    <row r="188" spans="1:14" x14ac:dyDescent="0.25">
      <c r="A188">
        <v>23.322261999999998</v>
      </c>
      <c r="B188" s="1">
        <f>DATE(2010,5,24) + TIME(7,44,3)</f>
        <v>40322.322256944448</v>
      </c>
      <c r="C188">
        <v>2400</v>
      </c>
      <c r="D188">
        <v>0</v>
      </c>
      <c r="E188">
        <v>0</v>
      </c>
      <c r="F188">
        <v>2400</v>
      </c>
      <c r="G188">
        <v>1395.7967529</v>
      </c>
      <c r="H188">
        <v>1381.9396973</v>
      </c>
      <c r="I188">
        <v>1250.8580322</v>
      </c>
      <c r="J188">
        <v>1211.1669922000001</v>
      </c>
      <c r="K188">
        <v>80</v>
      </c>
      <c r="L188">
        <v>79.899871825999995</v>
      </c>
      <c r="M188">
        <v>50</v>
      </c>
      <c r="N188">
        <v>14.996889114</v>
      </c>
    </row>
    <row r="189" spans="1:14" x14ac:dyDescent="0.25">
      <c r="A189">
        <v>23.702804</v>
      </c>
      <c r="B189" s="1">
        <f>DATE(2010,5,24) + TIME(16,52,2)</f>
        <v>40322.702800925923</v>
      </c>
      <c r="C189">
        <v>2400</v>
      </c>
      <c r="D189">
        <v>0</v>
      </c>
      <c r="E189">
        <v>0</v>
      </c>
      <c r="F189">
        <v>2400</v>
      </c>
      <c r="G189">
        <v>1395.6933594</v>
      </c>
      <c r="H189">
        <v>1381.8372803</v>
      </c>
      <c r="I189">
        <v>1250.8632812000001</v>
      </c>
      <c r="J189">
        <v>1211.1716309000001</v>
      </c>
      <c r="K189">
        <v>80</v>
      </c>
      <c r="L189">
        <v>79.899932860999996</v>
      </c>
      <c r="M189">
        <v>50</v>
      </c>
      <c r="N189">
        <v>14.996908188000001</v>
      </c>
    </row>
    <row r="190" spans="1:14" x14ac:dyDescent="0.25">
      <c r="A190">
        <v>24.089062999999999</v>
      </c>
      <c r="B190" s="1">
        <f>DATE(2010,5,25) + TIME(2,8,15)</f>
        <v>40323.089062500003</v>
      </c>
      <c r="C190">
        <v>2400</v>
      </c>
      <c r="D190">
        <v>0</v>
      </c>
      <c r="E190">
        <v>0</v>
      </c>
      <c r="F190">
        <v>2400</v>
      </c>
      <c r="G190">
        <v>1395.5902100000001</v>
      </c>
      <c r="H190">
        <v>1381.7351074000001</v>
      </c>
      <c r="I190">
        <v>1250.8685303</v>
      </c>
      <c r="J190">
        <v>1211.1763916</v>
      </c>
      <c r="K190">
        <v>80</v>
      </c>
      <c r="L190">
        <v>79.900001525999997</v>
      </c>
      <c r="M190">
        <v>50</v>
      </c>
      <c r="N190">
        <v>14.996927261</v>
      </c>
    </row>
    <row r="191" spans="1:14" x14ac:dyDescent="0.25">
      <c r="A191">
        <v>24.481611999999998</v>
      </c>
      <c r="B191" s="1">
        <f>DATE(2010,5,25) + TIME(11,33,31)</f>
        <v>40323.481608796297</v>
      </c>
      <c r="C191">
        <v>2400</v>
      </c>
      <c r="D191">
        <v>0</v>
      </c>
      <c r="E191">
        <v>0</v>
      </c>
      <c r="F191">
        <v>2400</v>
      </c>
      <c r="G191">
        <v>1395.4870605000001</v>
      </c>
      <c r="H191">
        <v>1381.6330565999999</v>
      </c>
      <c r="I191">
        <v>1250.8739014</v>
      </c>
      <c r="J191">
        <v>1211.1812743999999</v>
      </c>
      <c r="K191">
        <v>80</v>
      </c>
      <c r="L191">
        <v>79.900070189999994</v>
      </c>
      <c r="M191">
        <v>50</v>
      </c>
      <c r="N191">
        <v>14.996946335000001</v>
      </c>
    </row>
    <row r="192" spans="1:14" x14ac:dyDescent="0.25">
      <c r="A192">
        <v>24.880306000000001</v>
      </c>
      <c r="B192" s="1">
        <f>DATE(2010,5,25) + TIME(21,7,38)</f>
        <v>40323.880300925928</v>
      </c>
      <c r="C192">
        <v>2400</v>
      </c>
      <c r="D192">
        <v>0</v>
      </c>
      <c r="E192">
        <v>0</v>
      </c>
      <c r="F192">
        <v>2400</v>
      </c>
      <c r="G192">
        <v>1395.3839111</v>
      </c>
      <c r="H192">
        <v>1381.5308838000001</v>
      </c>
      <c r="I192">
        <v>1250.8793945</v>
      </c>
      <c r="J192">
        <v>1211.1861572</v>
      </c>
      <c r="K192">
        <v>80</v>
      </c>
      <c r="L192">
        <v>79.900131225999999</v>
      </c>
      <c r="M192">
        <v>50</v>
      </c>
      <c r="N192">
        <v>14.996965407999999</v>
      </c>
    </row>
    <row r="193" spans="1:14" x14ac:dyDescent="0.25">
      <c r="A193">
        <v>25.285212999999999</v>
      </c>
      <c r="B193" s="1">
        <f>DATE(2010,5,26) + TIME(6,50,42)</f>
        <v>40324.285208333335</v>
      </c>
      <c r="C193">
        <v>2400</v>
      </c>
      <c r="D193">
        <v>0</v>
      </c>
      <c r="E193">
        <v>0</v>
      </c>
      <c r="F193">
        <v>2400</v>
      </c>
      <c r="G193">
        <v>1395.2807617000001</v>
      </c>
      <c r="H193">
        <v>1381.4288329999999</v>
      </c>
      <c r="I193">
        <v>1250.8850098</v>
      </c>
      <c r="J193">
        <v>1211.1911620999999</v>
      </c>
      <c r="K193">
        <v>80</v>
      </c>
      <c r="L193">
        <v>79.900199889999996</v>
      </c>
      <c r="M193">
        <v>50</v>
      </c>
      <c r="N193">
        <v>14.996984482</v>
      </c>
    </row>
    <row r="194" spans="1:14" x14ac:dyDescent="0.25">
      <c r="A194">
        <v>25.696943000000001</v>
      </c>
      <c r="B194" s="1">
        <f>DATE(2010,5,26) + TIME(16,43,35)</f>
        <v>40324.696932870371</v>
      </c>
      <c r="C194">
        <v>2400</v>
      </c>
      <c r="D194">
        <v>0</v>
      </c>
      <c r="E194">
        <v>0</v>
      </c>
      <c r="F194">
        <v>2400</v>
      </c>
      <c r="G194">
        <v>1395.1776123</v>
      </c>
      <c r="H194">
        <v>1381.3266602000001</v>
      </c>
      <c r="I194">
        <v>1250.890625</v>
      </c>
      <c r="J194">
        <v>1211.1962891000001</v>
      </c>
      <c r="K194">
        <v>80</v>
      </c>
      <c r="L194">
        <v>79.900268554999997</v>
      </c>
      <c r="M194">
        <v>50</v>
      </c>
      <c r="N194">
        <v>14.997003554999999</v>
      </c>
    </row>
    <row r="195" spans="1:14" x14ac:dyDescent="0.25">
      <c r="A195">
        <v>26.116256</v>
      </c>
      <c r="B195" s="1">
        <f>DATE(2010,5,27) + TIME(2,47,24)</f>
        <v>40325.116249999999</v>
      </c>
      <c r="C195">
        <v>2400</v>
      </c>
      <c r="D195">
        <v>0</v>
      </c>
      <c r="E195">
        <v>0</v>
      </c>
      <c r="F195">
        <v>2400</v>
      </c>
      <c r="G195">
        <v>1395.0744629000001</v>
      </c>
      <c r="H195">
        <v>1381.2243652</v>
      </c>
      <c r="I195">
        <v>1250.8963623</v>
      </c>
      <c r="J195">
        <v>1211.2015381000001</v>
      </c>
      <c r="K195">
        <v>80</v>
      </c>
      <c r="L195">
        <v>79.900344849000007</v>
      </c>
      <c r="M195">
        <v>50</v>
      </c>
      <c r="N195">
        <v>14.997021674999999</v>
      </c>
    </row>
    <row r="196" spans="1:14" x14ac:dyDescent="0.25">
      <c r="A196">
        <v>26.544017</v>
      </c>
      <c r="B196" s="1">
        <f>DATE(2010,5,27) + TIME(13,3,23)</f>
        <v>40325.544016203705</v>
      </c>
      <c r="C196">
        <v>2400</v>
      </c>
      <c r="D196">
        <v>0</v>
      </c>
      <c r="E196">
        <v>0</v>
      </c>
      <c r="F196">
        <v>2400</v>
      </c>
      <c r="G196">
        <v>1394.9709473</v>
      </c>
      <c r="H196">
        <v>1381.1218262</v>
      </c>
      <c r="I196">
        <v>1250.9022216999999</v>
      </c>
      <c r="J196">
        <v>1211.2067870999999</v>
      </c>
      <c r="K196">
        <v>80</v>
      </c>
      <c r="L196">
        <v>79.900413513000004</v>
      </c>
      <c r="M196">
        <v>50</v>
      </c>
      <c r="N196">
        <v>14.997041702000001</v>
      </c>
    </row>
    <row r="197" spans="1:14" x14ac:dyDescent="0.25">
      <c r="A197">
        <v>26.976102000000001</v>
      </c>
      <c r="B197" s="1">
        <f>DATE(2010,5,27) + TIME(23,25,35)</f>
        <v>40325.976099537038</v>
      </c>
      <c r="C197">
        <v>2400</v>
      </c>
      <c r="D197">
        <v>0</v>
      </c>
      <c r="E197">
        <v>0</v>
      </c>
      <c r="F197">
        <v>2400</v>
      </c>
      <c r="G197">
        <v>1394.8669434000001</v>
      </c>
      <c r="H197">
        <v>1381.0189209</v>
      </c>
      <c r="I197">
        <v>1250.9082031</v>
      </c>
      <c r="J197">
        <v>1211.2122803</v>
      </c>
      <c r="K197">
        <v>80</v>
      </c>
      <c r="L197">
        <v>79.900482178000004</v>
      </c>
      <c r="M197">
        <v>50</v>
      </c>
      <c r="N197">
        <v>14.997060776</v>
      </c>
    </row>
    <row r="198" spans="1:14" x14ac:dyDescent="0.25">
      <c r="A198">
        <v>27.409918000000001</v>
      </c>
      <c r="B198" s="1">
        <f>DATE(2010,5,28) + TIME(9,50,16)</f>
        <v>40326.409907407404</v>
      </c>
      <c r="C198">
        <v>2400</v>
      </c>
      <c r="D198">
        <v>0</v>
      </c>
      <c r="E198">
        <v>0</v>
      </c>
      <c r="F198">
        <v>2400</v>
      </c>
      <c r="G198">
        <v>1394.7635498</v>
      </c>
      <c r="H198">
        <v>1380.9163818</v>
      </c>
      <c r="I198">
        <v>1250.9141846</v>
      </c>
      <c r="J198">
        <v>1211.2177733999999</v>
      </c>
      <c r="K198">
        <v>80</v>
      </c>
      <c r="L198">
        <v>79.900558472</v>
      </c>
      <c r="M198">
        <v>50</v>
      </c>
      <c r="N198">
        <v>14.997078896</v>
      </c>
    </row>
    <row r="199" spans="1:14" x14ac:dyDescent="0.25">
      <c r="A199">
        <v>27.846215999999998</v>
      </c>
      <c r="B199" s="1">
        <f>DATE(2010,5,28) + TIME(20,18,33)</f>
        <v>40326.846215277779</v>
      </c>
      <c r="C199">
        <v>2400</v>
      </c>
      <c r="D199">
        <v>0</v>
      </c>
      <c r="E199">
        <v>0</v>
      </c>
      <c r="F199">
        <v>2400</v>
      </c>
      <c r="G199">
        <v>1394.6613769999999</v>
      </c>
      <c r="H199">
        <v>1380.8151855000001</v>
      </c>
      <c r="I199">
        <v>1250.9202881000001</v>
      </c>
      <c r="J199">
        <v>1211.2232666</v>
      </c>
      <c r="K199">
        <v>80</v>
      </c>
      <c r="L199">
        <v>79.900634765999996</v>
      </c>
      <c r="M199">
        <v>50</v>
      </c>
      <c r="N199">
        <v>14.997097969</v>
      </c>
    </row>
    <row r="200" spans="1:14" x14ac:dyDescent="0.25">
      <c r="A200">
        <v>28.285730999999998</v>
      </c>
      <c r="B200" s="1">
        <f>DATE(2010,5,29) + TIME(6,51,27)</f>
        <v>40327.285729166666</v>
      </c>
      <c r="C200">
        <v>2400</v>
      </c>
      <c r="D200">
        <v>0</v>
      </c>
      <c r="E200">
        <v>0</v>
      </c>
      <c r="F200">
        <v>2400</v>
      </c>
      <c r="G200">
        <v>1394.5601807</v>
      </c>
      <c r="H200">
        <v>1380.7148437999999</v>
      </c>
      <c r="I200">
        <v>1250.9263916</v>
      </c>
      <c r="J200">
        <v>1211.2288818</v>
      </c>
      <c r="K200">
        <v>80</v>
      </c>
      <c r="L200">
        <v>79.900703429999993</v>
      </c>
      <c r="M200">
        <v>50</v>
      </c>
      <c r="N200">
        <v>14.997117042999999</v>
      </c>
    </row>
    <row r="201" spans="1:14" x14ac:dyDescent="0.25">
      <c r="A201">
        <v>28.729213000000001</v>
      </c>
      <c r="B201" s="1">
        <f>DATE(2010,5,29) + TIME(17,30,4)</f>
        <v>40327.729212962964</v>
      </c>
      <c r="C201">
        <v>2400</v>
      </c>
      <c r="D201">
        <v>0</v>
      </c>
      <c r="E201">
        <v>0</v>
      </c>
      <c r="F201">
        <v>2400</v>
      </c>
      <c r="G201">
        <v>1394.4597168</v>
      </c>
      <c r="H201">
        <v>1380.6153564000001</v>
      </c>
      <c r="I201">
        <v>1250.9324951000001</v>
      </c>
      <c r="J201">
        <v>1211.2344971</v>
      </c>
      <c r="K201">
        <v>80</v>
      </c>
      <c r="L201">
        <v>79.900779724000003</v>
      </c>
      <c r="M201">
        <v>50</v>
      </c>
      <c r="N201">
        <v>14.997135161999999</v>
      </c>
    </row>
    <row r="202" spans="1:14" x14ac:dyDescent="0.25">
      <c r="A202">
        <v>29.176922999999999</v>
      </c>
      <c r="B202" s="1">
        <f>DATE(2010,5,30) + TIME(4,14,46)</f>
        <v>40328.176921296297</v>
      </c>
      <c r="C202">
        <v>2400</v>
      </c>
      <c r="D202">
        <v>0</v>
      </c>
      <c r="E202">
        <v>0</v>
      </c>
      <c r="F202">
        <v>2400</v>
      </c>
      <c r="G202">
        <v>1394.3599853999999</v>
      </c>
      <c r="H202">
        <v>1380.5163574000001</v>
      </c>
      <c r="I202">
        <v>1250.9387207</v>
      </c>
      <c r="J202">
        <v>1211.2401123</v>
      </c>
      <c r="K202">
        <v>80</v>
      </c>
      <c r="L202">
        <v>79.900856017999999</v>
      </c>
      <c r="M202">
        <v>50</v>
      </c>
      <c r="N202">
        <v>14.997154236</v>
      </c>
    </row>
    <row r="203" spans="1:14" x14ac:dyDescent="0.25">
      <c r="A203">
        <v>29.627185000000001</v>
      </c>
      <c r="B203" s="1">
        <f>DATE(2010,5,30) + TIME(15,3,8)</f>
        <v>40328.627175925925</v>
      </c>
      <c r="C203">
        <v>2400</v>
      </c>
      <c r="D203">
        <v>0</v>
      </c>
      <c r="E203">
        <v>0</v>
      </c>
      <c r="F203">
        <v>2400</v>
      </c>
      <c r="G203">
        <v>1394.2607422000001</v>
      </c>
      <c r="H203">
        <v>1380.4179687999999</v>
      </c>
      <c r="I203">
        <v>1250.9450684000001</v>
      </c>
      <c r="J203">
        <v>1211.2458495999999</v>
      </c>
      <c r="K203">
        <v>80</v>
      </c>
      <c r="L203">
        <v>79.900932311999995</v>
      </c>
      <c r="M203">
        <v>50</v>
      </c>
      <c r="N203">
        <v>14.997172356</v>
      </c>
    </row>
    <row r="204" spans="1:14" x14ac:dyDescent="0.25">
      <c r="A204">
        <v>30.080691999999999</v>
      </c>
      <c r="B204" s="1">
        <f>DATE(2010,5,31) + TIME(1,56,11)</f>
        <v>40329.080682870372</v>
      </c>
      <c r="C204">
        <v>2400</v>
      </c>
      <c r="D204">
        <v>0</v>
      </c>
      <c r="E204">
        <v>0</v>
      </c>
      <c r="F204">
        <v>2400</v>
      </c>
      <c r="G204">
        <v>1394.1623535000001</v>
      </c>
      <c r="H204">
        <v>1380.3204346</v>
      </c>
      <c r="I204">
        <v>1250.9514160000001</v>
      </c>
      <c r="J204">
        <v>1211.2517089999999</v>
      </c>
      <c r="K204">
        <v>80</v>
      </c>
      <c r="L204">
        <v>79.901008606000005</v>
      </c>
      <c r="M204">
        <v>50</v>
      </c>
      <c r="N204">
        <v>14.997190475</v>
      </c>
    </row>
    <row r="205" spans="1:14" x14ac:dyDescent="0.25">
      <c r="A205">
        <v>30.538133999999999</v>
      </c>
      <c r="B205" s="1">
        <f>DATE(2010,5,31) + TIME(12,54,54)</f>
        <v>40329.538124999999</v>
      </c>
      <c r="C205">
        <v>2400</v>
      </c>
      <c r="D205">
        <v>0</v>
      </c>
      <c r="E205">
        <v>0</v>
      </c>
      <c r="F205">
        <v>2400</v>
      </c>
      <c r="G205">
        <v>1394.0646973</v>
      </c>
      <c r="H205">
        <v>1380.2236327999999</v>
      </c>
      <c r="I205">
        <v>1250.9577637</v>
      </c>
      <c r="J205">
        <v>1211.2574463000001</v>
      </c>
      <c r="K205">
        <v>80</v>
      </c>
      <c r="L205">
        <v>79.901084900000001</v>
      </c>
      <c r="M205">
        <v>50</v>
      </c>
      <c r="N205">
        <v>14.997208595</v>
      </c>
    </row>
    <row r="206" spans="1:14" x14ac:dyDescent="0.25">
      <c r="A206">
        <v>31</v>
      </c>
      <c r="B206" s="1">
        <f>DATE(2010,6,1) + TIME(0,0,0)</f>
        <v>40330</v>
      </c>
      <c r="C206">
        <v>2400</v>
      </c>
      <c r="D206">
        <v>0</v>
      </c>
      <c r="E206">
        <v>0</v>
      </c>
      <c r="F206">
        <v>2400</v>
      </c>
      <c r="G206">
        <v>1393.9676514</v>
      </c>
      <c r="H206">
        <v>1380.1274414</v>
      </c>
      <c r="I206">
        <v>1250.9642334</v>
      </c>
      <c r="J206">
        <v>1211.2634277</v>
      </c>
      <c r="K206">
        <v>80</v>
      </c>
      <c r="L206">
        <v>79.901161193999997</v>
      </c>
      <c r="M206">
        <v>50</v>
      </c>
      <c r="N206">
        <v>14.997226715</v>
      </c>
    </row>
    <row r="207" spans="1:14" x14ac:dyDescent="0.25">
      <c r="A207">
        <v>31.462085999999999</v>
      </c>
      <c r="B207" s="1">
        <f>DATE(2010,6,1) + TIME(11,5,24)</f>
        <v>40330.462083333332</v>
      </c>
      <c r="C207">
        <v>2400</v>
      </c>
      <c r="D207">
        <v>0</v>
      </c>
      <c r="E207">
        <v>0</v>
      </c>
      <c r="F207">
        <v>2400</v>
      </c>
      <c r="G207">
        <v>1393.8710937999999</v>
      </c>
      <c r="H207">
        <v>1380.0316161999999</v>
      </c>
      <c r="I207">
        <v>1250.9707031</v>
      </c>
      <c r="J207">
        <v>1211.2694091999999</v>
      </c>
      <c r="K207">
        <v>80</v>
      </c>
      <c r="L207">
        <v>79.901237488000007</v>
      </c>
      <c r="M207">
        <v>50</v>
      </c>
      <c r="N207">
        <v>14.997244835</v>
      </c>
    </row>
    <row r="208" spans="1:14" x14ac:dyDescent="0.25">
      <c r="A208">
        <v>31.935683000000001</v>
      </c>
      <c r="B208" s="1">
        <f>DATE(2010,6,1) + TIME(22,27,23)</f>
        <v>40330.935682870368</v>
      </c>
      <c r="C208">
        <v>2400</v>
      </c>
      <c r="D208">
        <v>0</v>
      </c>
      <c r="E208">
        <v>0</v>
      </c>
      <c r="F208">
        <v>2400</v>
      </c>
      <c r="G208">
        <v>1393.7758789</v>
      </c>
      <c r="H208">
        <v>1379.9371338000001</v>
      </c>
      <c r="I208">
        <v>1250.9772949000001</v>
      </c>
      <c r="J208">
        <v>1211.2753906</v>
      </c>
      <c r="K208">
        <v>80</v>
      </c>
      <c r="L208">
        <v>79.901321410999998</v>
      </c>
      <c r="M208">
        <v>50</v>
      </c>
      <c r="N208">
        <v>14.997262955</v>
      </c>
    </row>
    <row r="209" spans="1:14" x14ac:dyDescent="0.25">
      <c r="A209">
        <v>32.415576000000001</v>
      </c>
      <c r="B209" s="1">
        <f>DATE(2010,6,2) + TIME(9,58,25)</f>
        <v>40331.415567129632</v>
      </c>
      <c r="C209">
        <v>2400</v>
      </c>
      <c r="D209">
        <v>0</v>
      </c>
      <c r="E209">
        <v>0</v>
      </c>
      <c r="F209">
        <v>2400</v>
      </c>
      <c r="G209">
        <v>1393.6796875</v>
      </c>
      <c r="H209">
        <v>1379.8416748</v>
      </c>
      <c r="I209">
        <v>1250.9840088000001</v>
      </c>
      <c r="J209">
        <v>1211.2816161999999</v>
      </c>
      <c r="K209">
        <v>80</v>
      </c>
      <c r="L209">
        <v>79.901397704999994</v>
      </c>
      <c r="M209">
        <v>50</v>
      </c>
      <c r="N209">
        <v>14.997281075</v>
      </c>
    </row>
    <row r="210" spans="1:14" x14ac:dyDescent="0.25">
      <c r="A210">
        <v>32.901198000000001</v>
      </c>
      <c r="B210" s="1">
        <f>DATE(2010,6,2) + TIME(21,37,43)</f>
        <v>40331.901192129626</v>
      </c>
      <c r="C210">
        <v>2400</v>
      </c>
      <c r="D210">
        <v>0</v>
      </c>
      <c r="E210">
        <v>0</v>
      </c>
      <c r="F210">
        <v>2400</v>
      </c>
      <c r="G210">
        <v>1393.5836182</v>
      </c>
      <c r="H210">
        <v>1379.7464600000001</v>
      </c>
      <c r="I210">
        <v>1250.9908447</v>
      </c>
      <c r="J210">
        <v>1211.2878418</v>
      </c>
      <c r="K210">
        <v>80</v>
      </c>
      <c r="L210">
        <v>79.901481627999999</v>
      </c>
      <c r="M210">
        <v>50</v>
      </c>
      <c r="N210">
        <v>14.997298240999999</v>
      </c>
    </row>
    <row r="211" spans="1:14" x14ac:dyDescent="0.25">
      <c r="A211">
        <v>33.393464000000002</v>
      </c>
      <c r="B211" s="1">
        <f>DATE(2010,6,3) + TIME(9,26,35)</f>
        <v>40332.393460648149</v>
      </c>
      <c r="C211">
        <v>2400</v>
      </c>
      <c r="D211">
        <v>0</v>
      </c>
      <c r="E211">
        <v>0</v>
      </c>
      <c r="F211">
        <v>2400</v>
      </c>
      <c r="G211">
        <v>1393.487793</v>
      </c>
      <c r="H211">
        <v>1379.6513672000001</v>
      </c>
      <c r="I211">
        <v>1250.9976807</v>
      </c>
      <c r="J211">
        <v>1211.2941894999999</v>
      </c>
      <c r="K211">
        <v>80</v>
      </c>
      <c r="L211">
        <v>79.901565551999994</v>
      </c>
      <c r="M211">
        <v>50</v>
      </c>
      <c r="N211">
        <v>14.997316359999999</v>
      </c>
    </row>
    <row r="212" spans="1:14" x14ac:dyDescent="0.25">
      <c r="A212">
        <v>33.893223999999996</v>
      </c>
      <c r="B212" s="1">
        <f>DATE(2010,6,3) + TIME(21,26,14)</f>
        <v>40332.893217592595</v>
      </c>
      <c r="C212">
        <v>2400</v>
      </c>
      <c r="D212">
        <v>0</v>
      </c>
      <c r="E212">
        <v>0</v>
      </c>
      <c r="F212">
        <v>2400</v>
      </c>
      <c r="G212">
        <v>1393.3920897999999</v>
      </c>
      <c r="H212">
        <v>1379.5562743999999</v>
      </c>
      <c r="I212">
        <v>1251.0047606999999</v>
      </c>
      <c r="J212">
        <v>1211.3006591999999</v>
      </c>
      <c r="K212">
        <v>80</v>
      </c>
      <c r="L212">
        <v>79.901649474999999</v>
      </c>
      <c r="M212">
        <v>50</v>
      </c>
      <c r="N212">
        <v>14.997334479999999</v>
      </c>
    </row>
    <row r="213" spans="1:14" x14ac:dyDescent="0.25">
      <c r="A213">
        <v>34.401257000000001</v>
      </c>
      <c r="B213" s="1">
        <f>DATE(2010,6,4) + TIME(9,37,48)</f>
        <v>40333.401250000003</v>
      </c>
      <c r="C213">
        <v>2400</v>
      </c>
      <c r="D213">
        <v>0</v>
      </c>
      <c r="E213">
        <v>0</v>
      </c>
      <c r="F213">
        <v>2400</v>
      </c>
      <c r="G213">
        <v>1393.2962646000001</v>
      </c>
      <c r="H213">
        <v>1379.4611815999999</v>
      </c>
      <c r="I213">
        <v>1251.0119629000001</v>
      </c>
      <c r="J213">
        <v>1211.307251</v>
      </c>
      <c r="K213">
        <v>80</v>
      </c>
      <c r="L213">
        <v>79.901741028000004</v>
      </c>
      <c r="M213">
        <v>50</v>
      </c>
      <c r="N213">
        <v>14.997352599999999</v>
      </c>
    </row>
    <row r="214" spans="1:14" x14ac:dyDescent="0.25">
      <c r="A214">
        <v>34.918489999999998</v>
      </c>
      <c r="B214" s="1">
        <f>DATE(2010,6,4) + TIME(22,2,37)</f>
        <v>40333.918483796297</v>
      </c>
      <c r="C214">
        <v>2400</v>
      </c>
      <c r="D214">
        <v>0</v>
      </c>
      <c r="E214">
        <v>0</v>
      </c>
      <c r="F214">
        <v>2400</v>
      </c>
      <c r="G214">
        <v>1393.2003173999999</v>
      </c>
      <c r="H214">
        <v>1379.3658447</v>
      </c>
      <c r="I214">
        <v>1251.0191649999999</v>
      </c>
      <c r="J214">
        <v>1211.3139647999999</v>
      </c>
      <c r="K214">
        <v>80</v>
      </c>
      <c r="L214">
        <v>79.901824950999995</v>
      </c>
      <c r="M214">
        <v>50</v>
      </c>
      <c r="N214">
        <v>14.997370719999999</v>
      </c>
    </row>
    <row r="215" spans="1:14" x14ac:dyDescent="0.25">
      <c r="A215">
        <v>35.438859000000001</v>
      </c>
      <c r="B215" s="1">
        <f>DATE(2010,6,5) + TIME(10,31,57)</f>
        <v>40334.438854166663</v>
      </c>
      <c r="C215">
        <v>2400</v>
      </c>
      <c r="D215">
        <v>0</v>
      </c>
      <c r="E215">
        <v>0</v>
      </c>
      <c r="F215">
        <v>2400</v>
      </c>
      <c r="G215">
        <v>1393.1040039</v>
      </c>
      <c r="H215">
        <v>1379.2701416</v>
      </c>
      <c r="I215">
        <v>1251.0266113</v>
      </c>
      <c r="J215">
        <v>1211.3208007999999</v>
      </c>
      <c r="K215">
        <v>80</v>
      </c>
      <c r="L215">
        <v>79.901916503999999</v>
      </c>
      <c r="M215">
        <v>50</v>
      </c>
      <c r="N215">
        <v>14.997388839999999</v>
      </c>
    </row>
    <row r="216" spans="1:14" x14ac:dyDescent="0.25">
      <c r="A216">
        <v>35.962603000000001</v>
      </c>
      <c r="B216" s="1">
        <f>DATE(2010,6,5) + TIME(23,6,8)</f>
        <v>40334.962592592594</v>
      </c>
      <c r="C216">
        <v>2400</v>
      </c>
      <c r="D216">
        <v>0</v>
      </c>
      <c r="E216">
        <v>0</v>
      </c>
      <c r="F216">
        <v>2400</v>
      </c>
      <c r="G216">
        <v>1393.0084228999999</v>
      </c>
      <c r="H216">
        <v>1379.175293</v>
      </c>
      <c r="I216">
        <v>1251.0341797000001</v>
      </c>
      <c r="J216">
        <v>1211.3277588000001</v>
      </c>
      <c r="K216">
        <v>80</v>
      </c>
      <c r="L216">
        <v>79.902000427000004</v>
      </c>
      <c r="M216">
        <v>50</v>
      </c>
      <c r="N216">
        <v>14.997406006</v>
      </c>
    </row>
    <row r="217" spans="1:14" x14ac:dyDescent="0.25">
      <c r="A217">
        <v>36.490651</v>
      </c>
      <c r="B217" s="1">
        <f>DATE(2010,6,6) + TIME(11,46,32)</f>
        <v>40335.490648148145</v>
      </c>
      <c r="C217">
        <v>2400</v>
      </c>
      <c r="D217">
        <v>0</v>
      </c>
      <c r="E217">
        <v>0</v>
      </c>
      <c r="F217">
        <v>2400</v>
      </c>
      <c r="G217">
        <v>1392.9135742000001</v>
      </c>
      <c r="H217">
        <v>1379.0810547000001</v>
      </c>
      <c r="I217">
        <v>1251.041626</v>
      </c>
      <c r="J217">
        <v>1211.3347168</v>
      </c>
      <c r="K217">
        <v>80</v>
      </c>
      <c r="L217">
        <v>79.902091979999994</v>
      </c>
      <c r="M217">
        <v>50</v>
      </c>
      <c r="N217">
        <v>14.997424126</v>
      </c>
    </row>
    <row r="218" spans="1:14" x14ac:dyDescent="0.25">
      <c r="A218">
        <v>37.023463999999997</v>
      </c>
      <c r="B218" s="1">
        <f>DATE(2010,6,7) + TIME(0,33,47)</f>
        <v>40336.023460648146</v>
      </c>
      <c r="C218">
        <v>2400</v>
      </c>
      <c r="D218">
        <v>0</v>
      </c>
      <c r="E218">
        <v>0</v>
      </c>
      <c r="F218">
        <v>2400</v>
      </c>
      <c r="G218">
        <v>1392.8193358999999</v>
      </c>
      <c r="H218">
        <v>1378.9874268000001</v>
      </c>
      <c r="I218">
        <v>1251.0493164</v>
      </c>
      <c r="J218">
        <v>1211.3417969</v>
      </c>
      <c r="K218">
        <v>80</v>
      </c>
      <c r="L218">
        <v>79.902183532999999</v>
      </c>
      <c r="M218">
        <v>50</v>
      </c>
      <c r="N218">
        <v>14.997442245</v>
      </c>
    </row>
    <row r="219" spans="1:14" x14ac:dyDescent="0.25">
      <c r="A219">
        <v>37.558225999999998</v>
      </c>
      <c r="B219" s="1">
        <f>DATE(2010,6,7) + TIME(13,23,50)</f>
        <v>40336.558217592596</v>
      </c>
      <c r="C219">
        <v>2400</v>
      </c>
      <c r="D219">
        <v>0</v>
      </c>
      <c r="E219">
        <v>0</v>
      </c>
      <c r="F219">
        <v>2400</v>
      </c>
      <c r="G219">
        <v>1392.7254639</v>
      </c>
      <c r="H219">
        <v>1378.8942870999999</v>
      </c>
      <c r="I219">
        <v>1251.0570068</v>
      </c>
      <c r="J219">
        <v>1211.348999</v>
      </c>
      <c r="K219">
        <v>80</v>
      </c>
      <c r="L219">
        <v>79.902275084999999</v>
      </c>
      <c r="M219">
        <v>50</v>
      </c>
      <c r="N219">
        <v>14.997459412</v>
      </c>
    </row>
    <row r="220" spans="1:14" x14ac:dyDescent="0.25">
      <c r="A220">
        <v>38.095762999999998</v>
      </c>
      <c r="B220" s="1">
        <f>DATE(2010,6,8) + TIME(2,17,53)</f>
        <v>40337.095752314817</v>
      </c>
      <c r="C220">
        <v>2400</v>
      </c>
      <c r="D220">
        <v>0</v>
      </c>
      <c r="E220">
        <v>0</v>
      </c>
      <c r="F220">
        <v>2400</v>
      </c>
      <c r="G220">
        <v>1392.6325684000001</v>
      </c>
      <c r="H220">
        <v>1378.8020019999999</v>
      </c>
      <c r="I220">
        <v>1251.0648193</v>
      </c>
      <c r="J220">
        <v>1211.3562012</v>
      </c>
      <c r="K220">
        <v>80</v>
      </c>
      <c r="L220">
        <v>79.902366638000004</v>
      </c>
      <c r="M220">
        <v>50</v>
      </c>
      <c r="N220">
        <v>14.997477530999999</v>
      </c>
    </row>
    <row r="221" spans="1:14" x14ac:dyDescent="0.25">
      <c r="A221">
        <v>38.636895000000003</v>
      </c>
      <c r="B221" s="1">
        <f>DATE(2010,6,8) + TIME(15,17,7)</f>
        <v>40337.636886574073</v>
      </c>
      <c r="C221">
        <v>2400</v>
      </c>
      <c r="D221">
        <v>0</v>
      </c>
      <c r="E221">
        <v>0</v>
      </c>
      <c r="F221">
        <v>2400</v>
      </c>
      <c r="G221">
        <v>1392.5405272999999</v>
      </c>
      <c r="H221">
        <v>1378.7104492000001</v>
      </c>
      <c r="I221">
        <v>1251.0726318</v>
      </c>
      <c r="J221">
        <v>1211.3634033000001</v>
      </c>
      <c r="K221">
        <v>80</v>
      </c>
      <c r="L221">
        <v>79.902458190999994</v>
      </c>
      <c r="M221">
        <v>50</v>
      </c>
      <c r="N221">
        <v>14.997494698000001</v>
      </c>
    </row>
    <row r="222" spans="1:14" x14ac:dyDescent="0.25">
      <c r="A222">
        <v>39.182462000000001</v>
      </c>
      <c r="B222" s="1">
        <f>DATE(2010,6,9) + TIME(4,22,44)</f>
        <v>40338.182453703703</v>
      </c>
      <c r="C222">
        <v>2400</v>
      </c>
      <c r="D222">
        <v>0</v>
      </c>
      <c r="E222">
        <v>0</v>
      </c>
      <c r="F222">
        <v>2400</v>
      </c>
      <c r="G222">
        <v>1392.4490966999999</v>
      </c>
      <c r="H222">
        <v>1378.6196289</v>
      </c>
      <c r="I222">
        <v>1251.0805664</v>
      </c>
      <c r="J222">
        <v>1211.3707274999999</v>
      </c>
      <c r="K222">
        <v>80</v>
      </c>
      <c r="L222">
        <v>79.902549743999998</v>
      </c>
      <c r="M222">
        <v>50</v>
      </c>
      <c r="N222">
        <v>14.997511864</v>
      </c>
    </row>
    <row r="223" spans="1:14" x14ac:dyDescent="0.25">
      <c r="A223">
        <v>39.733322999999999</v>
      </c>
      <c r="B223" s="1">
        <f>DATE(2010,6,9) + TIME(17,35,59)</f>
        <v>40338.73332175926</v>
      </c>
      <c r="C223">
        <v>2400</v>
      </c>
      <c r="D223">
        <v>0</v>
      </c>
      <c r="E223">
        <v>0</v>
      </c>
      <c r="F223">
        <v>2400</v>
      </c>
      <c r="G223">
        <v>1392.3582764</v>
      </c>
      <c r="H223">
        <v>1378.5292969</v>
      </c>
      <c r="I223">
        <v>1251.088501</v>
      </c>
      <c r="J223">
        <v>1211.3781738</v>
      </c>
      <c r="K223">
        <v>80</v>
      </c>
      <c r="L223">
        <v>79.902641295999999</v>
      </c>
      <c r="M223">
        <v>50</v>
      </c>
      <c r="N223">
        <v>14.997529030000001</v>
      </c>
    </row>
    <row r="224" spans="1:14" x14ac:dyDescent="0.25">
      <c r="A224">
        <v>40.290360999999997</v>
      </c>
      <c r="B224" s="1">
        <f>DATE(2010,6,10) + TIME(6,58,7)</f>
        <v>40339.290358796294</v>
      </c>
      <c r="C224">
        <v>2400</v>
      </c>
      <c r="D224">
        <v>0</v>
      </c>
      <c r="E224">
        <v>0</v>
      </c>
      <c r="F224">
        <v>2400</v>
      </c>
      <c r="G224">
        <v>1392.2677002</v>
      </c>
      <c r="H224">
        <v>1378.4392089999999</v>
      </c>
      <c r="I224">
        <v>1251.0965576000001</v>
      </c>
      <c r="J224">
        <v>1211.3856201000001</v>
      </c>
      <c r="K224">
        <v>80</v>
      </c>
      <c r="L224">
        <v>79.902740479000002</v>
      </c>
      <c r="M224">
        <v>50</v>
      </c>
      <c r="N224">
        <v>14.997546196</v>
      </c>
    </row>
    <row r="225" spans="1:14" x14ac:dyDescent="0.25">
      <c r="A225">
        <v>40.853265999999998</v>
      </c>
      <c r="B225" s="1">
        <f>DATE(2010,6,10) + TIME(20,28,42)</f>
        <v>40339.853263888886</v>
      </c>
      <c r="C225">
        <v>2400</v>
      </c>
      <c r="D225">
        <v>0</v>
      </c>
      <c r="E225">
        <v>0</v>
      </c>
      <c r="F225">
        <v>2400</v>
      </c>
      <c r="G225">
        <v>1392.1773682</v>
      </c>
      <c r="H225">
        <v>1378.3493652</v>
      </c>
      <c r="I225">
        <v>1251.1048584</v>
      </c>
      <c r="J225">
        <v>1211.3933105000001</v>
      </c>
      <c r="K225">
        <v>80</v>
      </c>
      <c r="L225">
        <v>79.902832031000003</v>
      </c>
      <c r="M225">
        <v>50</v>
      </c>
      <c r="N225">
        <v>14.997563361999999</v>
      </c>
    </row>
    <row r="226" spans="1:14" x14ac:dyDescent="0.25">
      <c r="A226">
        <v>41.421658999999998</v>
      </c>
      <c r="B226" s="1">
        <f>DATE(2010,6,11) + TIME(10,7,11)</f>
        <v>40340.421655092592</v>
      </c>
      <c r="C226">
        <v>2400</v>
      </c>
      <c r="D226">
        <v>0</v>
      </c>
      <c r="E226">
        <v>0</v>
      </c>
      <c r="F226">
        <v>2400</v>
      </c>
      <c r="G226">
        <v>1392.0872803</v>
      </c>
      <c r="H226">
        <v>1378.2597656</v>
      </c>
      <c r="I226">
        <v>1251.1131591999999</v>
      </c>
      <c r="J226">
        <v>1211.401001</v>
      </c>
      <c r="K226">
        <v>80</v>
      </c>
      <c r="L226">
        <v>79.902931213000002</v>
      </c>
      <c r="M226">
        <v>50</v>
      </c>
      <c r="N226">
        <v>14.997580528</v>
      </c>
    </row>
    <row r="227" spans="1:14" x14ac:dyDescent="0.25">
      <c r="A227">
        <v>41.996454999999997</v>
      </c>
      <c r="B227" s="1">
        <f>DATE(2010,6,11) + TIME(23,54,53)</f>
        <v>40340.996446759258</v>
      </c>
      <c r="C227">
        <v>2400</v>
      </c>
      <c r="D227">
        <v>0</v>
      </c>
      <c r="E227">
        <v>0</v>
      </c>
      <c r="F227">
        <v>2400</v>
      </c>
      <c r="G227">
        <v>1391.9974365</v>
      </c>
      <c r="H227">
        <v>1378.1705322</v>
      </c>
      <c r="I227">
        <v>1251.121582</v>
      </c>
      <c r="J227">
        <v>1211.4088135</v>
      </c>
      <c r="K227">
        <v>80</v>
      </c>
      <c r="L227">
        <v>79.903030396000005</v>
      </c>
      <c r="M227">
        <v>50</v>
      </c>
      <c r="N227">
        <v>14.997597694</v>
      </c>
    </row>
    <row r="228" spans="1:14" x14ac:dyDescent="0.25">
      <c r="A228">
        <v>42.578757000000003</v>
      </c>
      <c r="B228" s="1">
        <f>DATE(2010,6,12) + TIME(13,53,24)</f>
        <v>40341.578750000001</v>
      </c>
      <c r="C228">
        <v>2400</v>
      </c>
      <c r="D228">
        <v>0</v>
      </c>
      <c r="E228">
        <v>0</v>
      </c>
      <c r="F228">
        <v>2400</v>
      </c>
      <c r="G228">
        <v>1391.9078368999999</v>
      </c>
      <c r="H228">
        <v>1378.0814209</v>
      </c>
      <c r="I228">
        <v>1251.1301269999999</v>
      </c>
      <c r="J228">
        <v>1211.4168701000001</v>
      </c>
      <c r="K228">
        <v>80</v>
      </c>
      <c r="L228">
        <v>79.903129578000005</v>
      </c>
      <c r="M228">
        <v>50</v>
      </c>
      <c r="N228">
        <v>14.997614861000001</v>
      </c>
    </row>
    <row r="229" spans="1:14" x14ac:dyDescent="0.25">
      <c r="A229">
        <v>43.169516999999999</v>
      </c>
      <c r="B229" s="1">
        <f>DATE(2010,6,13) + TIME(4,4,6)</f>
        <v>40342.16951388889</v>
      </c>
      <c r="C229">
        <v>2400</v>
      </c>
      <c r="D229">
        <v>0</v>
      </c>
      <c r="E229">
        <v>0</v>
      </c>
      <c r="F229">
        <v>2400</v>
      </c>
      <c r="G229">
        <v>1391.8183594</v>
      </c>
      <c r="H229">
        <v>1377.9923096</v>
      </c>
      <c r="I229">
        <v>1251.1387939000001</v>
      </c>
      <c r="J229">
        <v>1211.4249268000001</v>
      </c>
      <c r="K229">
        <v>80</v>
      </c>
      <c r="L229">
        <v>79.903228760000005</v>
      </c>
      <c r="M229">
        <v>50</v>
      </c>
      <c r="N229">
        <v>14.997632027</v>
      </c>
    </row>
    <row r="230" spans="1:14" x14ac:dyDescent="0.25">
      <c r="A230">
        <v>43.769689999999997</v>
      </c>
      <c r="B230" s="1">
        <f>DATE(2010,6,13) + TIME(18,28,21)</f>
        <v>40342.769687499997</v>
      </c>
      <c r="C230">
        <v>2400</v>
      </c>
      <c r="D230">
        <v>0</v>
      </c>
      <c r="E230">
        <v>0</v>
      </c>
      <c r="F230">
        <v>2400</v>
      </c>
      <c r="G230">
        <v>1391.7287598</v>
      </c>
      <c r="H230">
        <v>1377.9030762</v>
      </c>
      <c r="I230">
        <v>1251.1475829999999</v>
      </c>
      <c r="J230">
        <v>1211.4331055</v>
      </c>
      <c r="K230">
        <v>80</v>
      </c>
      <c r="L230">
        <v>79.903327942000004</v>
      </c>
      <c r="M230">
        <v>50</v>
      </c>
      <c r="N230">
        <v>14.997649193000001</v>
      </c>
    </row>
    <row r="231" spans="1:14" x14ac:dyDescent="0.25">
      <c r="A231">
        <v>44.380397000000002</v>
      </c>
      <c r="B231" s="1">
        <f>DATE(2010,6,14) + TIME(9,7,46)</f>
        <v>40343.380393518521</v>
      </c>
      <c r="C231">
        <v>2400</v>
      </c>
      <c r="D231">
        <v>0</v>
      </c>
      <c r="E231">
        <v>0</v>
      </c>
      <c r="F231">
        <v>2400</v>
      </c>
      <c r="G231">
        <v>1391.6387939000001</v>
      </c>
      <c r="H231">
        <v>1377.8135986</v>
      </c>
      <c r="I231">
        <v>1251.1566161999999</v>
      </c>
      <c r="J231">
        <v>1211.4415283000001</v>
      </c>
      <c r="K231">
        <v>80</v>
      </c>
      <c r="L231">
        <v>79.903434752999999</v>
      </c>
      <c r="M231">
        <v>50</v>
      </c>
      <c r="N231">
        <v>14.997666359</v>
      </c>
    </row>
    <row r="232" spans="1:14" x14ac:dyDescent="0.25">
      <c r="A232">
        <v>44.998773</v>
      </c>
      <c r="B232" s="1">
        <f>DATE(2010,6,14) + TIME(23,58,13)</f>
        <v>40343.998761574076</v>
      </c>
      <c r="C232">
        <v>2400</v>
      </c>
      <c r="D232">
        <v>0</v>
      </c>
      <c r="E232">
        <v>0</v>
      </c>
      <c r="F232">
        <v>2400</v>
      </c>
      <c r="G232">
        <v>1391.5485839999999</v>
      </c>
      <c r="H232">
        <v>1377.7237548999999</v>
      </c>
      <c r="I232">
        <v>1251.1658935999999</v>
      </c>
      <c r="J232">
        <v>1211.4500731999999</v>
      </c>
      <c r="K232">
        <v>80</v>
      </c>
      <c r="L232">
        <v>79.903533936000002</v>
      </c>
      <c r="M232">
        <v>50</v>
      </c>
      <c r="N232">
        <v>14.997683524999999</v>
      </c>
    </row>
    <row r="233" spans="1:14" x14ac:dyDescent="0.25">
      <c r="A233">
        <v>45.6218</v>
      </c>
      <c r="B233" s="1">
        <f>DATE(2010,6,15) + TIME(14,55,23)</f>
        <v>40344.621793981481</v>
      </c>
      <c r="C233">
        <v>2400</v>
      </c>
      <c r="D233">
        <v>0</v>
      </c>
      <c r="E233">
        <v>0</v>
      </c>
      <c r="F233">
        <v>2400</v>
      </c>
      <c r="G233">
        <v>1391.458374</v>
      </c>
      <c r="H233">
        <v>1377.6340332</v>
      </c>
      <c r="I233">
        <v>1251.1751709</v>
      </c>
      <c r="J233">
        <v>1211.4588623</v>
      </c>
      <c r="K233">
        <v>80</v>
      </c>
      <c r="L233">
        <v>79.903640746999997</v>
      </c>
      <c r="M233">
        <v>50</v>
      </c>
      <c r="N233">
        <v>14.997700691</v>
      </c>
    </row>
    <row r="234" spans="1:14" x14ac:dyDescent="0.25">
      <c r="A234">
        <v>46.245882999999999</v>
      </c>
      <c r="B234" s="1">
        <f>DATE(2010,6,16) + TIME(5,54,4)</f>
        <v>40345.245879629627</v>
      </c>
      <c r="C234">
        <v>2400</v>
      </c>
      <c r="D234">
        <v>0</v>
      </c>
      <c r="E234">
        <v>0</v>
      </c>
      <c r="F234">
        <v>2400</v>
      </c>
      <c r="G234">
        <v>1391.3687743999999</v>
      </c>
      <c r="H234">
        <v>1377.5446777</v>
      </c>
      <c r="I234">
        <v>1251.1845702999999</v>
      </c>
      <c r="J234">
        <v>1211.4676514</v>
      </c>
      <c r="K234">
        <v>80</v>
      </c>
      <c r="L234">
        <v>79.903747558999996</v>
      </c>
      <c r="M234">
        <v>50</v>
      </c>
      <c r="N234">
        <v>14.997717857</v>
      </c>
    </row>
    <row r="235" spans="1:14" x14ac:dyDescent="0.25">
      <c r="A235">
        <v>46.872031999999997</v>
      </c>
      <c r="B235" s="1">
        <f>DATE(2010,6,16) + TIME(20,55,43)</f>
        <v>40345.872025462966</v>
      </c>
      <c r="C235">
        <v>2400</v>
      </c>
      <c r="D235">
        <v>0</v>
      </c>
      <c r="E235">
        <v>0</v>
      </c>
      <c r="F235">
        <v>2400</v>
      </c>
      <c r="G235">
        <v>1391.2800293</v>
      </c>
      <c r="H235">
        <v>1377.4564209</v>
      </c>
      <c r="I235">
        <v>1251.1940918</v>
      </c>
      <c r="J235">
        <v>1211.4765625</v>
      </c>
      <c r="K235">
        <v>80</v>
      </c>
      <c r="L235">
        <v>79.903854370000005</v>
      </c>
      <c r="M235">
        <v>50</v>
      </c>
      <c r="N235">
        <v>14.99773407</v>
      </c>
    </row>
    <row r="236" spans="1:14" x14ac:dyDescent="0.25">
      <c r="A236">
        <v>47.501241999999998</v>
      </c>
      <c r="B236" s="1">
        <f>DATE(2010,6,17) + TIME(12,1,47)</f>
        <v>40346.501238425924</v>
      </c>
      <c r="C236">
        <v>2400</v>
      </c>
      <c r="D236">
        <v>0</v>
      </c>
      <c r="E236">
        <v>0</v>
      </c>
      <c r="F236">
        <v>2400</v>
      </c>
      <c r="G236">
        <v>1391.1922606999999</v>
      </c>
      <c r="H236">
        <v>1377.3690185999999</v>
      </c>
      <c r="I236">
        <v>1251.2036132999999</v>
      </c>
      <c r="J236">
        <v>1211.4854736</v>
      </c>
      <c r="K236">
        <v>80</v>
      </c>
      <c r="L236">
        <v>79.903961182000003</v>
      </c>
      <c r="M236">
        <v>50</v>
      </c>
      <c r="N236">
        <v>14.997751235999999</v>
      </c>
    </row>
    <row r="237" spans="1:14" x14ac:dyDescent="0.25">
      <c r="A237">
        <v>48.134492999999999</v>
      </c>
      <c r="B237" s="1">
        <f>DATE(2010,6,18) + TIME(3,13,40)</f>
        <v>40347.13449074074</v>
      </c>
      <c r="C237">
        <v>2400</v>
      </c>
      <c r="D237">
        <v>0</v>
      </c>
      <c r="E237">
        <v>0</v>
      </c>
      <c r="F237">
        <v>2400</v>
      </c>
      <c r="G237">
        <v>1391.1051024999999</v>
      </c>
      <c r="H237">
        <v>1377.2822266000001</v>
      </c>
      <c r="I237">
        <v>1251.2132568</v>
      </c>
      <c r="J237">
        <v>1211.4945068</v>
      </c>
      <c r="K237">
        <v>80</v>
      </c>
      <c r="L237">
        <v>79.904067992999998</v>
      </c>
      <c r="M237">
        <v>50</v>
      </c>
      <c r="N237">
        <v>14.997768402</v>
      </c>
    </row>
    <row r="238" spans="1:14" x14ac:dyDescent="0.25">
      <c r="A238">
        <v>48.772781000000002</v>
      </c>
      <c r="B238" s="1">
        <f>DATE(2010,6,18) + TIME(18,32,48)</f>
        <v>40347.772777777776</v>
      </c>
      <c r="C238">
        <v>2400</v>
      </c>
      <c r="D238">
        <v>0</v>
      </c>
      <c r="E238">
        <v>0</v>
      </c>
      <c r="F238">
        <v>2400</v>
      </c>
      <c r="G238">
        <v>1391.0185547000001</v>
      </c>
      <c r="H238">
        <v>1377.1959228999999</v>
      </c>
      <c r="I238">
        <v>1251.2230225000001</v>
      </c>
      <c r="J238">
        <v>1211.5035399999999</v>
      </c>
      <c r="K238">
        <v>80</v>
      </c>
      <c r="L238">
        <v>79.904174804999997</v>
      </c>
      <c r="M238">
        <v>50</v>
      </c>
      <c r="N238">
        <v>14.997784615</v>
      </c>
    </row>
    <row r="239" spans="1:14" x14ac:dyDescent="0.25">
      <c r="A239">
        <v>49.416910000000001</v>
      </c>
      <c r="B239" s="1">
        <f>DATE(2010,6,19) + TIME(10,0,21)</f>
        <v>40348.416909722226</v>
      </c>
      <c r="C239">
        <v>2400</v>
      </c>
      <c r="D239">
        <v>0</v>
      </c>
      <c r="E239">
        <v>0</v>
      </c>
      <c r="F239">
        <v>2400</v>
      </c>
      <c r="G239">
        <v>1390.9324951000001</v>
      </c>
      <c r="H239">
        <v>1377.1101074000001</v>
      </c>
      <c r="I239">
        <v>1251.2329102000001</v>
      </c>
      <c r="J239">
        <v>1211.5128173999999</v>
      </c>
      <c r="K239">
        <v>80</v>
      </c>
      <c r="L239">
        <v>79.904281616000006</v>
      </c>
      <c r="M239">
        <v>50</v>
      </c>
      <c r="N239">
        <v>14.997801781</v>
      </c>
    </row>
    <row r="240" spans="1:14" x14ac:dyDescent="0.25">
      <c r="A240">
        <v>50.065151999999998</v>
      </c>
      <c r="B240" s="1">
        <f>DATE(2010,6,20) + TIME(1,33,49)</f>
        <v>40349.065150462964</v>
      </c>
      <c r="C240">
        <v>2400</v>
      </c>
      <c r="D240">
        <v>0</v>
      </c>
      <c r="E240">
        <v>0</v>
      </c>
      <c r="F240">
        <v>2400</v>
      </c>
      <c r="G240">
        <v>1390.8465576000001</v>
      </c>
      <c r="H240">
        <v>1377.0245361</v>
      </c>
      <c r="I240">
        <v>1251.2427978999999</v>
      </c>
      <c r="J240">
        <v>1211.5222168</v>
      </c>
      <c r="K240">
        <v>80</v>
      </c>
      <c r="L240">
        <v>79.904396057</v>
      </c>
      <c r="M240">
        <v>50</v>
      </c>
      <c r="N240">
        <v>14.997817993</v>
      </c>
    </row>
    <row r="241" spans="1:14" x14ac:dyDescent="0.25">
      <c r="A241">
        <v>50.718522</v>
      </c>
      <c r="B241" s="1">
        <f>DATE(2010,6,20) + TIME(17,14,40)</f>
        <v>40349.718518518515</v>
      </c>
      <c r="C241">
        <v>2400</v>
      </c>
      <c r="D241">
        <v>0</v>
      </c>
      <c r="E241">
        <v>0</v>
      </c>
      <c r="F241">
        <v>2400</v>
      </c>
      <c r="G241">
        <v>1390.7613524999999</v>
      </c>
      <c r="H241">
        <v>1376.9394531</v>
      </c>
      <c r="I241">
        <v>1251.2529297000001</v>
      </c>
      <c r="J241">
        <v>1211.5316161999999</v>
      </c>
      <c r="K241">
        <v>80</v>
      </c>
      <c r="L241">
        <v>79.904502868999998</v>
      </c>
      <c r="M241">
        <v>50</v>
      </c>
      <c r="N241">
        <v>14.997834206</v>
      </c>
    </row>
    <row r="242" spans="1:14" x14ac:dyDescent="0.25">
      <c r="A242">
        <v>51.378050999999999</v>
      </c>
      <c r="B242" s="1">
        <f>DATE(2010,6,21) + TIME(9,4,23)</f>
        <v>40350.37804398148</v>
      </c>
      <c r="C242">
        <v>2400</v>
      </c>
      <c r="D242">
        <v>0</v>
      </c>
      <c r="E242">
        <v>0</v>
      </c>
      <c r="F242">
        <v>2400</v>
      </c>
      <c r="G242">
        <v>1390.6763916</v>
      </c>
      <c r="H242">
        <v>1376.8548584</v>
      </c>
      <c r="I242">
        <v>1251.2631836</v>
      </c>
      <c r="J242">
        <v>1211.5411377</v>
      </c>
      <c r="K242">
        <v>80</v>
      </c>
      <c r="L242">
        <v>79.904617310000006</v>
      </c>
      <c r="M242">
        <v>50</v>
      </c>
      <c r="N242">
        <v>14.997850418000001</v>
      </c>
    </row>
    <row r="243" spans="1:14" x14ac:dyDescent="0.25">
      <c r="A243">
        <v>52.044800000000002</v>
      </c>
      <c r="B243" s="1">
        <f>DATE(2010,6,22) + TIME(1,4,30)</f>
        <v>40351.044791666667</v>
      </c>
      <c r="C243">
        <v>2400</v>
      </c>
      <c r="D243">
        <v>0</v>
      </c>
      <c r="E243">
        <v>0</v>
      </c>
      <c r="F243">
        <v>2400</v>
      </c>
      <c r="G243">
        <v>1390.5916748</v>
      </c>
      <c r="H243">
        <v>1376.7703856999999</v>
      </c>
      <c r="I243">
        <v>1251.2734375</v>
      </c>
      <c r="J243">
        <v>1211.5509033000001</v>
      </c>
      <c r="K243">
        <v>80</v>
      </c>
      <c r="L243">
        <v>79.904724121000001</v>
      </c>
      <c r="M243">
        <v>50</v>
      </c>
      <c r="N243">
        <v>14.997867584</v>
      </c>
    </row>
    <row r="244" spans="1:14" x14ac:dyDescent="0.25">
      <c r="A244">
        <v>52.720050000000001</v>
      </c>
      <c r="B244" s="1">
        <f>DATE(2010,6,22) + TIME(17,16,52)</f>
        <v>40351.720046296294</v>
      </c>
      <c r="C244">
        <v>2400</v>
      </c>
      <c r="D244">
        <v>0</v>
      </c>
      <c r="E244">
        <v>0</v>
      </c>
      <c r="F244">
        <v>2400</v>
      </c>
      <c r="G244">
        <v>1390.5072021000001</v>
      </c>
      <c r="H244">
        <v>1376.6860352000001</v>
      </c>
      <c r="I244">
        <v>1251.2839355000001</v>
      </c>
      <c r="J244">
        <v>1211.5607910000001</v>
      </c>
      <c r="K244">
        <v>80</v>
      </c>
      <c r="L244">
        <v>79.904838561999995</v>
      </c>
      <c r="M244">
        <v>50</v>
      </c>
      <c r="N244">
        <v>14.997883797</v>
      </c>
    </row>
    <row r="245" spans="1:14" x14ac:dyDescent="0.25">
      <c r="A245">
        <v>53.404929000000003</v>
      </c>
      <c r="B245" s="1">
        <f>DATE(2010,6,23) + TIME(9,43,5)</f>
        <v>40352.404918981483</v>
      </c>
      <c r="C245">
        <v>2400</v>
      </c>
      <c r="D245">
        <v>0</v>
      </c>
      <c r="E245">
        <v>0</v>
      </c>
      <c r="F245">
        <v>2400</v>
      </c>
      <c r="G245">
        <v>1390.4226074000001</v>
      </c>
      <c r="H245">
        <v>1376.6018065999999</v>
      </c>
      <c r="I245">
        <v>1251.2946777</v>
      </c>
      <c r="J245">
        <v>1211.5708007999999</v>
      </c>
      <c r="K245">
        <v>80</v>
      </c>
      <c r="L245">
        <v>79.904953003000003</v>
      </c>
      <c r="M245">
        <v>50</v>
      </c>
      <c r="N245">
        <v>14.997900009</v>
      </c>
    </row>
    <row r="246" spans="1:14" x14ac:dyDescent="0.25">
      <c r="A246">
        <v>54.100548000000003</v>
      </c>
      <c r="B246" s="1">
        <f>DATE(2010,6,24) + TIME(2,24,47)</f>
        <v>40353.100543981483</v>
      </c>
      <c r="C246">
        <v>2400</v>
      </c>
      <c r="D246">
        <v>0</v>
      </c>
      <c r="E246">
        <v>0</v>
      </c>
      <c r="F246">
        <v>2400</v>
      </c>
      <c r="G246">
        <v>1390.3378906</v>
      </c>
      <c r="H246">
        <v>1376.5172118999999</v>
      </c>
      <c r="I246">
        <v>1251.3055420000001</v>
      </c>
      <c r="J246">
        <v>1211.5810547000001</v>
      </c>
      <c r="K246">
        <v>80</v>
      </c>
      <c r="L246">
        <v>79.905075073000006</v>
      </c>
      <c r="M246">
        <v>50</v>
      </c>
      <c r="N246">
        <v>14.997916222000001</v>
      </c>
    </row>
    <row r="247" spans="1:14" x14ac:dyDescent="0.25">
      <c r="A247">
        <v>54.808216999999999</v>
      </c>
      <c r="B247" s="1">
        <f>DATE(2010,6,24) + TIME(19,23,49)</f>
        <v>40353.808206018519</v>
      </c>
      <c r="C247">
        <v>2400</v>
      </c>
      <c r="D247">
        <v>0</v>
      </c>
      <c r="E247">
        <v>0</v>
      </c>
      <c r="F247">
        <v>2400</v>
      </c>
      <c r="G247">
        <v>1390.2529297000001</v>
      </c>
      <c r="H247">
        <v>1376.4324951000001</v>
      </c>
      <c r="I247">
        <v>1251.3166504000001</v>
      </c>
      <c r="J247">
        <v>1211.5914307</v>
      </c>
      <c r="K247">
        <v>80</v>
      </c>
      <c r="L247">
        <v>79.905189514</v>
      </c>
      <c r="M247">
        <v>50</v>
      </c>
      <c r="N247">
        <v>14.997933388</v>
      </c>
    </row>
    <row r="248" spans="1:14" x14ac:dyDescent="0.25">
      <c r="A248">
        <v>55.527664999999999</v>
      </c>
      <c r="B248" s="1">
        <f>DATE(2010,6,25) + TIME(12,39,50)</f>
        <v>40354.527662037035</v>
      </c>
      <c r="C248">
        <v>2400</v>
      </c>
      <c r="D248">
        <v>0</v>
      </c>
      <c r="E248">
        <v>0</v>
      </c>
      <c r="F248">
        <v>2400</v>
      </c>
      <c r="G248">
        <v>1390.1674805</v>
      </c>
      <c r="H248">
        <v>1376.347168</v>
      </c>
      <c r="I248">
        <v>1251.3280029</v>
      </c>
      <c r="J248">
        <v>1211.6020507999999</v>
      </c>
      <c r="K248">
        <v>80</v>
      </c>
      <c r="L248">
        <v>79.905311584000003</v>
      </c>
      <c r="M248">
        <v>50</v>
      </c>
      <c r="N248">
        <v>14.9979496</v>
      </c>
    </row>
    <row r="249" spans="1:14" x14ac:dyDescent="0.25">
      <c r="A249">
        <v>56.247841000000001</v>
      </c>
      <c r="B249" s="1">
        <f>DATE(2010,6,26) + TIME(5,56,53)</f>
        <v>40355.247835648152</v>
      </c>
      <c r="C249">
        <v>2400</v>
      </c>
      <c r="D249">
        <v>0</v>
      </c>
      <c r="E249">
        <v>0</v>
      </c>
      <c r="F249">
        <v>2400</v>
      </c>
      <c r="G249">
        <v>1390.0817870999999</v>
      </c>
      <c r="H249">
        <v>1376.2615966999999</v>
      </c>
      <c r="I249">
        <v>1251.3394774999999</v>
      </c>
      <c r="J249">
        <v>1211.6130370999999</v>
      </c>
      <c r="K249">
        <v>80</v>
      </c>
      <c r="L249">
        <v>79.905433654999996</v>
      </c>
      <c r="M249">
        <v>50</v>
      </c>
      <c r="N249">
        <v>14.997965813</v>
      </c>
    </row>
    <row r="250" spans="1:14" x14ac:dyDescent="0.25">
      <c r="A250">
        <v>56.969949</v>
      </c>
      <c r="B250" s="1">
        <f>DATE(2010,6,26) + TIME(23,16,43)</f>
        <v>40355.969942129632</v>
      </c>
      <c r="C250">
        <v>2400</v>
      </c>
      <c r="D250">
        <v>0</v>
      </c>
      <c r="E250">
        <v>0</v>
      </c>
      <c r="F250">
        <v>2400</v>
      </c>
      <c r="G250">
        <v>1389.9969481999999</v>
      </c>
      <c r="H250">
        <v>1376.1770019999999</v>
      </c>
      <c r="I250">
        <v>1251.3511963000001</v>
      </c>
      <c r="J250">
        <v>1211.6239014</v>
      </c>
      <c r="K250">
        <v>80</v>
      </c>
      <c r="L250">
        <v>79.905548096000004</v>
      </c>
      <c r="M250">
        <v>50</v>
      </c>
      <c r="N250">
        <v>14.997982979</v>
      </c>
    </row>
    <row r="251" spans="1:14" x14ac:dyDescent="0.25">
      <c r="A251">
        <v>57.695177999999999</v>
      </c>
      <c r="B251" s="1">
        <f>DATE(2010,6,27) + TIME(16,41,3)</f>
        <v>40356.695173611108</v>
      </c>
      <c r="C251">
        <v>2400</v>
      </c>
      <c r="D251">
        <v>0</v>
      </c>
      <c r="E251">
        <v>0</v>
      </c>
      <c r="F251">
        <v>2400</v>
      </c>
      <c r="G251">
        <v>1389.9129639</v>
      </c>
      <c r="H251">
        <v>1376.0931396000001</v>
      </c>
      <c r="I251">
        <v>1251.3629149999999</v>
      </c>
      <c r="J251">
        <v>1211.6350098</v>
      </c>
      <c r="K251">
        <v>80</v>
      </c>
      <c r="L251">
        <v>79.905670165999993</v>
      </c>
      <c r="M251">
        <v>50</v>
      </c>
      <c r="N251">
        <v>14.997999191</v>
      </c>
    </row>
    <row r="252" spans="1:14" x14ac:dyDescent="0.25">
      <c r="A252">
        <v>58.424703000000001</v>
      </c>
      <c r="B252" s="1">
        <f>DATE(2010,6,28) + TIME(10,11,34)</f>
        <v>40357.424699074072</v>
      </c>
      <c r="C252">
        <v>2400</v>
      </c>
      <c r="D252">
        <v>0</v>
      </c>
      <c r="E252">
        <v>0</v>
      </c>
      <c r="F252">
        <v>2400</v>
      </c>
      <c r="G252">
        <v>1389.8295897999999</v>
      </c>
      <c r="H252">
        <v>1376.0098877</v>
      </c>
      <c r="I252">
        <v>1251.3746338000001</v>
      </c>
      <c r="J252">
        <v>1211.6461182</v>
      </c>
      <c r="K252">
        <v>80</v>
      </c>
      <c r="L252">
        <v>79.905792235999996</v>
      </c>
      <c r="M252">
        <v>50</v>
      </c>
      <c r="N252">
        <v>14.998015404</v>
      </c>
    </row>
    <row r="253" spans="1:14" x14ac:dyDescent="0.25">
      <c r="A253">
        <v>59.157795</v>
      </c>
      <c r="B253" s="1">
        <f>DATE(2010,6,29) + TIME(3,47,13)</f>
        <v>40358.157789351855</v>
      </c>
      <c r="C253">
        <v>2400</v>
      </c>
      <c r="D253">
        <v>0</v>
      </c>
      <c r="E253">
        <v>0</v>
      </c>
      <c r="F253">
        <v>2400</v>
      </c>
      <c r="G253">
        <v>1389.7468262</v>
      </c>
      <c r="H253">
        <v>1375.927124</v>
      </c>
      <c r="I253">
        <v>1251.3865966999999</v>
      </c>
      <c r="J253">
        <v>1211.6573486</v>
      </c>
      <c r="K253">
        <v>80</v>
      </c>
      <c r="L253">
        <v>79.905914307000003</v>
      </c>
      <c r="M253">
        <v>50</v>
      </c>
      <c r="N253">
        <v>14.998031616</v>
      </c>
    </row>
    <row r="254" spans="1:14" x14ac:dyDescent="0.25">
      <c r="A254">
        <v>59.894047</v>
      </c>
      <c r="B254" s="1">
        <f>DATE(2010,6,29) + TIME(21,27,25)</f>
        <v>40358.89403935185</v>
      </c>
      <c r="C254">
        <v>2400</v>
      </c>
      <c r="D254">
        <v>0</v>
      </c>
      <c r="E254">
        <v>0</v>
      </c>
      <c r="F254">
        <v>2400</v>
      </c>
      <c r="G254">
        <v>1389.6645507999999</v>
      </c>
      <c r="H254">
        <v>1375.8449707</v>
      </c>
      <c r="I254">
        <v>1251.3986815999999</v>
      </c>
      <c r="J254">
        <v>1211.6688231999999</v>
      </c>
      <c r="K254">
        <v>80</v>
      </c>
      <c r="L254">
        <v>79.906036377000007</v>
      </c>
      <c r="M254">
        <v>50</v>
      </c>
      <c r="N254">
        <v>14.998047829000001</v>
      </c>
    </row>
    <row r="255" spans="1:14" x14ac:dyDescent="0.25">
      <c r="A255">
        <v>60.634624000000002</v>
      </c>
      <c r="B255" s="1">
        <f>DATE(2010,6,30) + TIME(15,13,51)</f>
        <v>40359.634618055556</v>
      </c>
      <c r="C255">
        <v>2400</v>
      </c>
      <c r="D255">
        <v>0</v>
      </c>
      <c r="E255">
        <v>0</v>
      </c>
      <c r="F255">
        <v>2400</v>
      </c>
      <c r="G255">
        <v>1389.5828856999999</v>
      </c>
      <c r="H255">
        <v>1375.7633057</v>
      </c>
      <c r="I255">
        <v>1251.4108887</v>
      </c>
      <c r="J255">
        <v>1211.6802978999999</v>
      </c>
      <c r="K255">
        <v>80</v>
      </c>
      <c r="L255">
        <v>79.906158446999996</v>
      </c>
      <c r="M255">
        <v>50</v>
      </c>
      <c r="N255">
        <v>14.998064040999999</v>
      </c>
    </row>
    <row r="256" spans="1:14" x14ac:dyDescent="0.25">
      <c r="A256">
        <v>61</v>
      </c>
      <c r="B256" s="1">
        <f>DATE(2010,7,1) + TIME(0,0,0)</f>
        <v>40360</v>
      </c>
      <c r="C256">
        <v>2400</v>
      </c>
      <c r="D256">
        <v>0</v>
      </c>
      <c r="E256">
        <v>0</v>
      </c>
      <c r="F256">
        <v>2400</v>
      </c>
      <c r="G256">
        <v>1389.5013428</v>
      </c>
      <c r="H256">
        <v>1375.6818848</v>
      </c>
      <c r="I256">
        <v>1251.4227295000001</v>
      </c>
      <c r="J256">
        <v>1211.6914062000001</v>
      </c>
      <c r="K256">
        <v>80</v>
      </c>
      <c r="L256">
        <v>79.906211853000002</v>
      </c>
      <c r="M256">
        <v>50</v>
      </c>
      <c r="N256">
        <v>14.998074532</v>
      </c>
    </row>
    <row r="257" spans="1:14" x14ac:dyDescent="0.25">
      <c r="A257">
        <v>61.746048000000002</v>
      </c>
      <c r="B257" s="1">
        <f>DATE(2010,7,1) + TIME(17,54,18)</f>
        <v>40360.746041666665</v>
      </c>
      <c r="C257">
        <v>2400</v>
      </c>
      <c r="D257">
        <v>0</v>
      </c>
      <c r="E257">
        <v>0</v>
      </c>
      <c r="F257">
        <v>2400</v>
      </c>
      <c r="G257">
        <v>1389.4615478999999</v>
      </c>
      <c r="H257">
        <v>1375.6420897999999</v>
      </c>
      <c r="I257">
        <v>1251.4294434000001</v>
      </c>
      <c r="J257">
        <v>1211.6977539</v>
      </c>
      <c r="K257">
        <v>80</v>
      </c>
      <c r="L257">
        <v>79.906341553000004</v>
      </c>
      <c r="M257">
        <v>50</v>
      </c>
      <c r="N257">
        <v>14.998088836999999</v>
      </c>
    </row>
    <row r="258" spans="1:14" x14ac:dyDescent="0.25">
      <c r="A258">
        <v>62.502585000000003</v>
      </c>
      <c r="B258" s="1">
        <f>DATE(2010,7,2) + TIME(12,3,43)</f>
        <v>40361.502581018518</v>
      </c>
      <c r="C258">
        <v>2400</v>
      </c>
      <c r="D258">
        <v>0</v>
      </c>
      <c r="E258">
        <v>0</v>
      </c>
      <c r="F258">
        <v>2400</v>
      </c>
      <c r="G258">
        <v>1389.3815918</v>
      </c>
      <c r="H258">
        <v>1375.5621338000001</v>
      </c>
      <c r="I258">
        <v>1251.4418945</v>
      </c>
      <c r="J258">
        <v>1211.7094727000001</v>
      </c>
      <c r="K258">
        <v>80</v>
      </c>
      <c r="L258">
        <v>79.906471252000003</v>
      </c>
      <c r="M258">
        <v>50</v>
      </c>
      <c r="N258">
        <v>14.998104095</v>
      </c>
    </row>
    <row r="259" spans="1:14" x14ac:dyDescent="0.25">
      <c r="A259">
        <v>63.267564999999998</v>
      </c>
      <c r="B259" s="1">
        <f>DATE(2010,7,3) + TIME(6,25,17)</f>
        <v>40362.267557870371</v>
      </c>
      <c r="C259">
        <v>2400</v>
      </c>
      <c r="D259">
        <v>0</v>
      </c>
      <c r="E259">
        <v>0</v>
      </c>
      <c r="F259">
        <v>2400</v>
      </c>
      <c r="G259">
        <v>1389.3010254000001</v>
      </c>
      <c r="H259">
        <v>1375.4816894999999</v>
      </c>
      <c r="I259">
        <v>1251.4545897999999</v>
      </c>
      <c r="J259">
        <v>1211.7215576000001</v>
      </c>
      <c r="K259">
        <v>80</v>
      </c>
      <c r="L259">
        <v>79.906593322999996</v>
      </c>
      <c r="M259">
        <v>50</v>
      </c>
      <c r="N259">
        <v>14.998119354</v>
      </c>
    </row>
    <row r="260" spans="1:14" x14ac:dyDescent="0.25">
      <c r="A260">
        <v>64.042597000000001</v>
      </c>
      <c r="B260" s="1">
        <f>DATE(2010,7,4) + TIME(1,1,20)</f>
        <v>40363.042592592596</v>
      </c>
      <c r="C260">
        <v>2400</v>
      </c>
      <c r="D260">
        <v>0</v>
      </c>
      <c r="E260">
        <v>0</v>
      </c>
      <c r="F260">
        <v>2400</v>
      </c>
      <c r="G260">
        <v>1389.2205810999999</v>
      </c>
      <c r="H260">
        <v>1375.4011230000001</v>
      </c>
      <c r="I260">
        <v>1251.4675293</v>
      </c>
      <c r="J260">
        <v>1211.7337646000001</v>
      </c>
      <c r="K260">
        <v>80</v>
      </c>
      <c r="L260">
        <v>79.906723021999994</v>
      </c>
      <c r="M260">
        <v>50</v>
      </c>
      <c r="N260">
        <v>14.998135567</v>
      </c>
    </row>
    <row r="261" spans="1:14" x14ac:dyDescent="0.25">
      <c r="A261">
        <v>64.828858999999994</v>
      </c>
      <c r="B261" s="1">
        <f>DATE(2010,7,4) + TIME(19,53,33)</f>
        <v>40363.82885416667</v>
      </c>
      <c r="C261">
        <v>2400</v>
      </c>
      <c r="D261">
        <v>0</v>
      </c>
      <c r="E261">
        <v>0</v>
      </c>
      <c r="F261">
        <v>2400</v>
      </c>
      <c r="G261">
        <v>1389.1398925999999</v>
      </c>
      <c r="H261">
        <v>1375.3204346</v>
      </c>
      <c r="I261">
        <v>1251.4807129000001</v>
      </c>
      <c r="J261">
        <v>1211.7462158000001</v>
      </c>
      <c r="K261">
        <v>80</v>
      </c>
      <c r="L261">
        <v>79.906852721999996</v>
      </c>
      <c r="M261">
        <v>50</v>
      </c>
      <c r="N261">
        <v>14.998150826</v>
      </c>
    </row>
    <row r="262" spans="1:14" x14ac:dyDescent="0.25">
      <c r="A262">
        <v>65.627725999999996</v>
      </c>
      <c r="B262" s="1">
        <f>DATE(2010,7,5) + TIME(15,3,55)</f>
        <v>40364.62771990741</v>
      </c>
      <c r="C262">
        <v>2400</v>
      </c>
      <c r="D262">
        <v>0</v>
      </c>
      <c r="E262">
        <v>0</v>
      </c>
      <c r="F262">
        <v>2400</v>
      </c>
      <c r="G262">
        <v>1389.059082</v>
      </c>
      <c r="H262">
        <v>1375.239624</v>
      </c>
      <c r="I262">
        <v>1251.4941406</v>
      </c>
      <c r="J262">
        <v>1211.7589111</v>
      </c>
      <c r="K262">
        <v>80</v>
      </c>
      <c r="L262">
        <v>79.906982421999999</v>
      </c>
      <c r="M262">
        <v>50</v>
      </c>
      <c r="N262">
        <v>14.998167038</v>
      </c>
    </row>
    <row r="263" spans="1:14" x14ac:dyDescent="0.25">
      <c r="A263">
        <v>66.439824999999999</v>
      </c>
      <c r="B263" s="1">
        <f>DATE(2010,7,6) + TIME(10,33,20)</f>
        <v>40365.439814814818</v>
      </c>
      <c r="C263">
        <v>2400</v>
      </c>
      <c r="D263">
        <v>0</v>
      </c>
      <c r="E263">
        <v>0</v>
      </c>
      <c r="F263">
        <v>2400</v>
      </c>
      <c r="G263">
        <v>1388.9777832</v>
      </c>
      <c r="H263">
        <v>1375.1583252</v>
      </c>
      <c r="I263">
        <v>1251.5079346</v>
      </c>
      <c r="J263">
        <v>1211.7719727000001</v>
      </c>
      <c r="K263">
        <v>80</v>
      </c>
      <c r="L263">
        <v>79.907112122000001</v>
      </c>
      <c r="M263">
        <v>50</v>
      </c>
      <c r="N263">
        <v>14.99818325</v>
      </c>
    </row>
    <row r="264" spans="1:14" x14ac:dyDescent="0.25">
      <c r="A264">
        <v>67.260192000000004</v>
      </c>
      <c r="B264" s="1">
        <f>DATE(2010,7,7) + TIME(6,14,40)</f>
        <v>40366.260185185187</v>
      </c>
      <c r="C264">
        <v>2400</v>
      </c>
      <c r="D264">
        <v>0</v>
      </c>
      <c r="E264">
        <v>0</v>
      </c>
      <c r="F264">
        <v>2400</v>
      </c>
      <c r="G264">
        <v>1388.8962402</v>
      </c>
      <c r="H264">
        <v>1375.0766602000001</v>
      </c>
      <c r="I264">
        <v>1251.5219727000001</v>
      </c>
      <c r="J264">
        <v>1211.7852783000001</v>
      </c>
      <c r="K264">
        <v>80</v>
      </c>
      <c r="L264">
        <v>79.907249450999998</v>
      </c>
      <c r="M264">
        <v>50</v>
      </c>
      <c r="N264">
        <v>14.998199463000001</v>
      </c>
    </row>
    <row r="265" spans="1:14" x14ac:dyDescent="0.25">
      <c r="A265">
        <v>68.082590999999994</v>
      </c>
      <c r="B265" s="1">
        <f>DATE(2010,7,8) + TIME(1,58,55)</f>
        <v>40367.08258101852</v>
      </c>
      <c r="C265">
        <v>2400</v>
      </c>
      <c r="D265">
        <v>0</v>
      </c>
      <c r="E265">
        <v>0</v>
      </c>
      <c r="F265">
        <v>2400</v>
      </c>
      <c r="G265">
        <v>1388.8146973</v>
      </c>
      <c r="H265">
        <v>1374.9951172000001</v>
      </c>
      <c r="I265">
        <v>1251.5362548999999</v>
      </c>
      <c r="J265">
        <v>1211.7987060999999</v>
      </c>
      <c r="K265">
        <v>80</v>
      </c>
      <c r="L265">
        <v>79.907379149999997</v>
      </c>
      <c r="M265">
        <v>50</v>
      </c>
      <c r="N265">
        <v>14.998215675000001</v>
      </c>
    </row>
    <row r="266" spans="1:14" x14ac:dyDescent="0.25">
      <c r="A266">
        <v>68.907227000000006</v>
      </c>
      <c r="B266" s="1">
        <f>DATE(2010,7,8) + TIME(21,46,24)</f>
        <v>40367.907222222224</v>
      </c>
      <c r="C266">
        <v>2400</v>
      </c>
      <c r="D266">
        <v>0</v>
      </c>
      <c r="E266">
        <v>0</v>
      </c>
      <c r="F266">
        <v>2400</v>
      </c>
      <c r="G266">
        <v>1388.7338867000001</v>
      </c>
      <c r="H266">
        <v>1374.9143065999999</v>
      </c>
      <c r="I266">
        <v>1251.5506591999999</v>
      </c>
      <c r="J266">
        <v>1211.8123779</v>
      </c>
      <c r="K266">
        <v>80</v>
      </c>
      <c r="L266">
        <v>79.907516478999995</v>
      </c>
      <c r="M266">
        <v>50</v>
      </c>
      <c r="N266">
        <v>14.998230934</v>
      </c>
    </row>
    <row r="267" spans="1:14" x14ac:dyDescent="0.25">
      <c r="A267">
        <v>69.732602999999997</v>
      </c>
      <c r="B267" s="1">
        <f>DATE(2010,7,9) + TIME(17,34,56)</f>
        <v>40368.732592592591</v>
      </c>
      <c r="C267">
        <v>2400</v>
      </c>
      <c r="D267">
        <v>0</v>
      </c>
      <c r="E267">
        <v>0</v>
      </c>
      <c r="F267">
        <v>2400</v>
      </c>
      <c r="G267">
        <v>1388.6538086</v>
      </c>
      <c r="H267">
        <v>1374.8341064000001</v>
      </c>
      <c r="I267">
        <v>1251.5651855000001</v>
      </c>
      <c r="J267">
        <v>1211.8261719</v>
      </c>
      <c r="K267">
        <v>80</v>
      </c>
      <c r="L267">
        <v>79.907646178999997</v>
      </c>
      <c r="M267">
        <v>50</v>
      </c>
      <c r="N267">
        <v>14.998247147000001</v>
      </c>
    </row>
    <row r="268" spans="1:14" x14ac:dyDescent="0.25">
      <c r="A268">
        <v>70.560089000000005</v>
      </c>
      <c r="B268" s="1">
        <f>DATE(2010,7,10) + TIME(13,26,31)</f>
        <v>40369.560081018521</v>
      </c>
      <c r="C268">
        <v>2400</v>
      </c>
      <c r="D268">
        <v>0</v>
      </c>
      <c r="E268">
        <v>0</v>
      </c>
      <c r="F268">
        <v>2400</v>
      </c>
      <c r="G268">
        <v>1388.5745850000001</v>
      </c>
      <c r="H268">
        <v>1374.7547606999999</v>
      </c>
      <c r="I268">
        <v>1251.5798339999999</v>
      </c>
      <c r="J268">
        <v>1211.8399658000001</v>
      </c>
      <c r="K268">
        <v>80</v>
      </c>
      <c r="L268">
        <v>79.907783507999994</v>
      </c>
      <c r="M268">
        <v>50</v>
      </c>
      <c r="N268">
        <v>14.998263358999999</v>
      </c>
    </row>
    <row r="269" spans="1:14" x14ac:dyDescent="0.25">
      <c r="A269">
        <v>71.391041000000001</v>
      </c>
      <c r="B269" s="1">
        <f>DATE(2010,7,11) + TIME(9,23,5)</f>
        <v>40370.391030092593</v>
      </c>
      <c r="C269">
        <v>2400</v>
      </c>
      <c r="D269">
        <v>0</v>
      </c>
      <c r="E269">
        <v>0</v>
      </c>
      <c r="F269">
        <v>2400</v>
      </c>
      <c r="G269">
        <v>1388.4959716999999</v>
      </c>
      <c r="H269">
        <v>1374.6760254000001</v>
      </c>
      <c r="I269">
        <v>1251.5946045000001</v>
      </c>
      <c r="J269">
        <v>1211.8538818</v>
      </c>
      <c r="K269">
        <v>80</v>
      </c>
      <c r="L269">
        <v>79.907913207999997</v>
      </c>
      <c r="M269">
        <v>50</v>
      </c>
      <c r="N269">
        <v>14.998278618000001</v>
      </c>
    </row>
    <row r="270" spans="1:14" x14ac:dyDescent="0.25">
      <c r="A270">
        <v>72.226799999999997</v>
      </c>
      <c r="B270" s="1">
        <f>DATE(2010,7,12) + TIME(5,26,35)</f>
        <v>40371.226793981485</v>
      </c>
      <c r="C270">
        <v>2400</v>
      </c>
      <c r="D270">
        <v>0</v>
      </c>
      <c r="E270">
        <v>0</v>
      </c>
      <c r="F270">
        <v>2400</v>
      </c>
      <c r="G270">
        <v>1388.4179687999999</v>
      </c>
      <c r="H270">
        <v>1374.5979004000001</v>
      </c>
      <c r="I270">
        <v>1251.6094971</v>
      </c>
      <c r="J270">
        <v>1211.8680420000001</v>
      </c>
      <c r="K270">
        <v>80</v>
      </c>
      <c r="L270">
        <v>79.908050536999994</v>
      </c>
      <c r="M270">
        <v>50</v>
      </c>
      <c r="N270">
        <v>14.998294830000001</v>
      </c>
    </row>
    <row r="271" spans="1:14" x14ac:dyDescent="0.25">
      <c r="A271">
        <v>73.068706000000006</v>
      </c>
      <c r="B271" s="1">
        <f>DATE(2010,7,13) + TIME(1,38,56)</f>
        <v>40372.068703703706</v>
      </c>
      <c r="C271">
        <v>2400</v>
      </c>
      <c r="D271">
        <v>0</v>
      </c>
      <c r="E271">
        <v>0</v>
      </c>
      <c r="F271">
        <v>2400</v>
      </c>
      <c r="G271">
        <v>1388.340332</v>
      </c>
      <c r="H271">
        <v>1374.5201416</v>
      </c>
      <c r="I271">
        <v>1251.6245117000001</v>
      </c>
      <c r="J271">
        <v>1211.8823242000001</v>
      </c>
      <c r="K271">
        <v>80</v>
      </c>
      <c r="L271">
        <v>79.908187866000006</v>
      </c>
      <c r="M271">
        <v>50</v>
      </c>
      <c r="N271">
        <v>14.998310089</v>
      </c>
    </row>
    <row r="272" spans="1:14" x14ac:dyDescent="0.25">
      <c r="A272">
        <v>73.918100999999993</v>
      </c>
      <c r="B272" s="1">
        <f>DATE(2010,7,13) + TIME(22,2,3)</f>
        <v>40372.918090277781</v>
      </c>
      <c r="C272">
        <v>2400</v>
      </c>
      <c r="D272">
        <v>0</v>
      </c>
      <c r="E272">
        <v>0</v>
      </c>
      <c r="F272">
        <v>2400</v>
      </c>
      <c r="G272">
        <v>1388.2629394999999</v>
      </c>
      <c r="H272">
        <v>1374.4426269999999</v>
      </c>
      <c r="I272">
        <v>1251.6398925999999</v>
      </c>
      <c r="J272">
        <v>1211.8968506000001</v>
      </c>
      <c r="K272">
        <v>80</v>
      </c>
      <c r="L272">
        <v>79.908317565999994</v>
      </c>
      <c r="M272">
        <v>50</v>
      </c>
      <c r="N272">
        <v>14.998325348</v>
      </c>
    </row>
    <row r="273" spans="1:14" x14ac:dyDescent="0.25">
      <c r="A273">
        <v>74.776387</v>
      </c>
      <c r="B273" s="1">
        <f>DATE(2010,7,14) + TIME(18,37,59)</f>
        <v>40373.776377314818</v>
      </c>
      <c r="C273">
        <v>2400</v>
      </c>
      <c r="D273">
        <v>0</v>
      </c>
      <c r="E273">
        <v>0</v>
      </c>
      <c r="F273">
        <v>2400</v>
      </c>
      <c r="G273">
        <v>1388.1856689000001</v>
      </c>
      <c r="H273">
        <v>1374.3652344</v>
      </c>
      <c r="I273">
        <v>1251.6553954999999</v>
      </c>
      <c r="J273">
        <v>1211.9116211</v>
      </c>
      <c r="K273">
        <v>80</v>
      </c>
      <c r="L273">
        <v>79.908454895000006</v>
      </c>
      <c r="M273">
        <v>50</v>
      </c>
      <c r="N273">
        <v>14.99834156</v>
      </c>
    </row>
    <row r="274" spans="1:14" x14ac:dyDescent="0.25">
      <c r="A274">
        <v>75.645121000000003</v>
      </c>
      <c r="B274" s="1">
        <f>DATE(2010,7,15) + TIME(15,28,58)</f>
        <v>40374.645115740743</v>
      </c>
      <c r="C274">
        <v>2400</v>
      </c>
      <c r="D274">
        <v>0</v>
      </c>
      <c r="E274">
        <v>0</v>
      </c>
      <c r="F274">
        <v>2400</v>
      </c>
      <c r="G274">
        <v>1388.1085204999999</v>
      </c>
      <c r="H274">
        <v>1374.2878418</v>
      </c>
      <c r="I274">
        <v>1251.6712646000001</v>
      </c>
      <c r="J274">
        <v>1211.9266356999999</v>
      </c>
      <c r="K274">
        <v>80</v>
      </c>
      <c r="L274">
        <v>79.908592224000003</v>
      </c>
      <c r="M274">
        <v>50</v>
      </c>
      <c r="N274">
        <v>14.998356819</v>
      </c>
    </row>
    <row r="275" spans="1:14" x14ac:dyDescent="0.25">
      <c r="A275">
        <v>76.525829999999999</v>
      </c>
      <c r="B275" s="1">
        <f>DATE(2010,7,16) + TIME(12,37,11)</f>
        <v>40375.525821759256</v>
      </c>
      <c r="C275">
        <v>2400</v>
      </c>
      <c r="D275">
        <v>0</v>
      </c>
      <c r="E275">
        <v>0</v>
      </c>
      <c r="F275">
        <v>2400</v>
      </c>
      <c r="G275">
        <v>1388.03125</v>
      </c>
      <c r="H275">
        <v>1374.2104492000001</v>
      </c>
      <c r="I275">
        <v>1251.6872559000001</v>
      </c>
      <c r="J275">
        <v>1211.9418945</v>
      </c>
      <c r="K275">
        <v>80</v>
      </c>
      <c r="L275">
        <v>79.908737183</v>
      </c>
      <c r="M275">
        <v>50</v>
      </c>
      <c r="N275">
        <v>14.998372077999999</v>
      </c>
    </row>
    <row r="276" spans="1:14" x14ac:dyDescent="0.25">
      <c r="A276">
        <v>77.416376</v>
      </c>
      <c r="B276" s="1">
        <f>DATE(2010,7,17) + TIME(9,59,34)</f>
        <v>40376.416365740741</v>
      </c>
      <c r="C276">
        <v>2400</v>
      </c>
      <c r="D276">
        <v>0</v>
      </c>
      <c r="E276">
        <v>0</v>
      </c>
      <c r="F276">
        <v>2400</v>
      </c>
      <c r="G276">
        <v>1387.9538574000001</v>
      </c>
      <c r="H276">
        <v>1374.1326904</v>
      </c>
      <c r="I276">
        <v>1251.7037353999999</v>
      </c>
      <c r="J276">
        <v>1211.9573975000001</v>
      </c>
      <c r="K276">
        <v>80</v>
      </c>
      <c r="L276">
        <v>79.908874511999997</v>
      </c>
      <c r="M276">
        <v>50</v>
      </c>
      <c r="N276">
        <v>14.998388289999999</v>
      </c>
    </row>
    <row r="277" spans="1:14" x14ac:dyDescent="0.25">
      <c r="A277">
        <v>78.313061000000005</v>
      </c>
      <c r="B277" s="1">
        <f>DATE(2010,7,18) + TIME(7,30,48)</f>
        <v>40377.313055555554</v>
      </c>
      <c r="C277">
        <v>2400</v>
      </c>
      <c r="D277">
        <v>0</v>
      </c>
      <c r="E277">
        <v>0</v>
      </c>
      <c r="F277">
        <v>2400</v>
      </c>
      <c r="G277">
        <v>1387.8762207</v>
      </c>
      <c r="H277">
        <v>1374.0549315999999</v>
      </c>
      <c r="I277">
        <v>1251.7204589999999</v>
      </c>
      <c r="J277">
        <v>1211.9732666</v>
      </c>
      <c r="K277">
        <v>80</v>
      </c>
      <c r="L277">
        <v>79.909019470000004</v>
      </c>
      <c r="M277">
        <v>50</v>
      </c>
      <c r="N277">
        <v>14.998403549000001</v>
      </c>
    </row>
    <row r="278" spans="1:14" x14ac:dyDescent="0.25">
      <c r="A278">
        <v>79.215232</v>
      </c>
      <c r="B278" s="1">
        <f>DATE(2010,7,19) + TIME(5,9,56)</f>
        <v>40378.215231481481</v>
      </c>
      <c r="C278">
        <v>2400</v>
      </c>
      <c r="D278">
        <v>0</v>
      </c>
      <c r="E278">
        <v>0</v>
      </c>
      <c r="F278">
        <v>2400</v>
      </c>
      <c r="G278">
        <v>1387.7990723</v>
      </c>
      <c r="H278">
        <v>1373.9775391000001</v>
      </c>
      <c r="I278">
        <v>1251.7374268000001</v>
      </c>
      <c r="J278">
        <v>1211.9893798999999</v>
      </c>
      <c r="K278">
        <v>80</v>
      </c>
      <c r="L278">
        <v>79.909164429</v>
      </c>
      <c r="M278">
        <v>50</v>
      </c>
      <c r="N278">
        <v>14.998419761999999</v>
      </c>
    </row>
    <row r="279" spans="1:14" x14ac:dyDescent="0.25">
      <c r="A279">
        <v>80.124391000000003</v>
      </c>
      <c r="B279" s="1">
        <f>DATE(2010,7,20) + TIME(2,59,7)</f>
        <v>40379.124386574076</v>
      </c>
      <c r="C279">
        <v>2400</v>
      </c>
      <c r="D279">
        <v>0</v>
      </c>
      <c r="E279">
        <v>0</v>
      </c>
      <c r="F279">
        <v>2400</v>
      </c>
      <c r="G279">
        <v>1387.722168</v>
      </c>
      <c r="H279">
        <v>1373.9003906</v>
      </c>
      <c r="I279">
        <v>1251.7546387</v>
      </c>
      <c r="J279">
        <v>1212.0057373</v>
      </c>
      <c r="K279">
        <v>80</v>
      </c>
      <c r="L279">
        <v>79.909301757999998</v>
      </c>
      <c r="M279">
        <v>50</v>
      </c>
      <c r="N279">
        <v>14.998435020000001</v>
      </c>
    </row>
    <row r="280" spans="1:14" x14ac:dyDescent="0.25">
      <c r="A280">
        <v>81.042039000000003</v>
      </c>
      <c r="B280" s="1">
        <f>DATE(2010,7,21) + TIME(1,0,32)</f>
        <v>40380.042037037034</v>
      </c>
      <c r="C280">
        <v>2400</v>
      </c>
      <c r="D280">
        <v>0</v>
      </c>
      <c r="E280">
        <v>0</v>
      </c>
      <c r="F280">
        <v>2400</v>
      </c>
      <c r="G280">
        <v>1387.6455077999999</v>
      </c>
      <c r="H280">
        <v>1373.8234863</v>
      </c>
      <c r="I280">
        <v>1251.7720947</v>
      </c>
      <c r="J280">
        <v>1212.0223389</v>
      </c>
      <c r="K280">
        <v>80</v>
      </c>
      <c r="L280">
        <v>79.909446716000005</v>
      </c>
      <c r="M280">
        <v>50</v>
      </c>
      <c r="N280">
        <v>14.998451233000001</v>
      </c>
    </row>
    <row r="281" spans="1:14" x14ac:dyDescent="0.25">
      <c r="A281">
        <v>81.961836000000005</v>
      </c>
      <c r="B281" s="1">
        <f>DATE(2010,7,21) + TIME(23,5,2)</f>
        <v>40380.961828703701</v>
      </c>
      <c r="C281">
        <v>2400</v>
      </c>
      <c r="D281">
        <v>0</v>
      </c>
      <c r="E281">
        <v>0</v>
      </c>
      <c r="F281">
        <v>2400</v>
      </c>
      <c r="G281">
        <v>1387.5689697</v>
      </c>
      <c r="H281">
        <v>1373.7467041</v>
      </c>
      <c r="I281">
        <v>1251.7897949000001</v>
      </c>
      <c r="J281">
        <v>1212.0391846</v>
      </c>
      <c r="K281">
        <v>80</v>
      </c>
      <c r="L281">
        <v>79.909591675000001</v>
      </c>
      <c r="M281">
        <v>50</v>
      </c>
      <c r="N281">
        <v>14.998466492</v>
      </c>
    </row>
    <row r="282" spans="1:14" x14ac:dyDescent="0.25">
      <c r="A282">
        <v>82.884180000000001</v>
      </c>
      <c r="B282" s="1">
        <f>DATE(2010,7,22) + TIME(21,13,13)</f>
        <v>40381.88417824074</v>
      </c>
      <c r="C282">
        <v>2400</v>
      </c>
      <c r="D282">
        <v>0</v>
      </c>
      <c r="E282">
        <v>0</v>
      </c>
      <c r="F282">
        <v>2400</v>
      </c>
      <c r="G282">
        <v>1387.4930420000001</v>
      </c>
      <c r="H282">
        <v>1373.6704102000001</v>
      </c>
      <c r="I282">
        <v>1251.8077393000001</v>
      </c>
      <c r="J282">
        <v>1212.0561522999999</v>
      </c>
      <c r="K282">
        <v>80</v>
      </c>
      <c r="L282">
        <v>79.909736632999994</v>
      </c>
      <c r="M282">
        <v>50</v>
      </c>
      <c r="N282">
        <v>14.998482704000001</v>
      </c>
    </row>
    <row r="283" spans="1:14" x14ac:dyDescent="0.25">
      <c r="A283">
        <v>83.810599999999994</v>
      </c>
      <c r="B283" s="1">
        <f>DATE(2010,7,23) + TIME(19,27,15)</f>
        <v>40382.810590277775</v>
      </c>
      <c r="C283">
        <v>2400</v>
      </c>
      <c r="D283">
        <v>0</v>
      </c>
      <c r="E283">
        <v>0</v>
      </c>
      <c r="F283">
        <v>2400</v>
      </c>
      <c r="G283">
        <v>1387.4176024999999</v>
      </c>
      <c r="H283">
        <v>1373.5948486</v>
      </c>
      <c r="I283">
        <v>1251.8258057</v>
      </c>
      <c r="J283">
        <v>1212.0733643000001</v>
      </c>
      <c r="K283">
        <v>80</v>
      </c>
      <c r="L283">
        <v>79.909881592000005</v>
      </c>
      <c r="M283">
        <v>50</v>
      </c>
      <c r="N283">
        <v>14.998497963</v>
      </c>
    </row>
    <row r="284" spans="1:14" x14ac:dyDescent="0.25">
      <c r="A284">
        <v>84.742635000000007</v>
      </c>
      <c r="B284" s="1">
        <f>DATE(2010,7,24) + TIME(17,49,23)</f>
        <v>40383.742627314816</v>
      </c>
      <c r="C284">
        <v>2400</v>
      </c>
      <c r="D284">
        <v>0</v>
      </c>
      <c r="E284">
        <v>0</v>
      </c>
      <c r="F284">
        <v>2400</v>
      </c>
      <c r="G284">
        <v>1387.3427733999999</v>
      </c>
      <c r="H284">
        <v>1373.5195312000001</v>
      </c>
      <c r="I284">
        <v>1251.8441161999999</v>
      </c>
      <c r="J284">
        <v>1212.0906981999999</v>
      </c>
      <c r="K284">
        <v>80</v>
      </c>
      <c r="L284">
        <v>79.910026549999998</v>
      </c>
      <c r="M284">
        <v>50</v>
      </c>
      <c r="N284">
        <v>14.998513222</v>
      </c>
    </row>
    <row r="285" spans="1:14" x14ac:dyDescent="0.25">
      <c r="A285">
        <v>85.681824000000006</v>
      </c>
      <c r="B285" s="1">
        <f>DATE(2010,7,25) + TIME(16,21,49)</f>
        <v>40384.681817129633</v>
      </c>
      <c r="C285">
        <v>2400</v>
      </c>
      <c r="D285">
        <v>0</v>
      </c>
      <c r="E285">
        <v>0</v>
      </c>
      <c r="F285">
        <v>2400</v>
      </c>
      <c r="G285">
        <v>1387.2681885</v>
      </c>
      <c r="H285">
        <v>1373.4447021000001</v>
      </c>
      <c r="I285">
        <v>1251.8626709</v>
      </c>
      <c r="J285">
        <v>1212.1083983999999</v>
      </c>
      <c r="K285">
        <v>80</v>
      </c>
      <c r="L285">
        <v>79.910171508999994</v>
      </c>
      <c r="M285">
        <v>50</v>
      </c>
      <c r="N285">
        <v>14.998529434</v>
      </c>
    </row>
    <row r="286" spans="1:14" x14ac:dyDescent="0.25">
      <c r="A286">
        <v>86.629703000000006</v>
      </c>
      <c r="B286" s="1">
        <f>DATE(2010,7,26) + TIME(15,6,46)</f>
        <v>40385.629699074074</v>
      </c>
      <c r="C286">
        <v>2400</v>
      </c>
      <c r="D286">
        <v>0</v>
      </c>
      <c r="E286">
        <v>0</v>
      </c>
      <c r="F286">
        <v>2400</v>
      </c>
      <c r="G286">
        <v>1387.1937256000001</v>
      </c>
      <c r="H286">
        <v>1373.3699951000001</v>
      </c>
      <c r="I286">
        <v>1251.8815918</v>
      </c>
      <c r="J286">
        <v>1212.1263428</v>
      </c>
      <c r="K286">
        <v>80</v>
      </c>
      <c r="L286">
        <v>79.910316467000001</v>
      </c>
      <c r="M286">
        <v>50</v>
      </c>
      <c r="N286">
        <v>14.998544692999999</v>
      </c>
    </row>
    <row r="287" spans="1:14" x14ac:dyDescent="0.25">
      <c r="A287">
        <v>87.585172</v>
      </c>
      <c r="B287" s="1">
        <f>DATE(2010,7,27) + TIME(14,2,38)</f>
        <v>40386.585162037038</v>
      </c>
      <c r="C287">
        <v>2400</v>
      </c>
      <c r="D287">
        <v>0</v>
      </c>
      <c r="E287">
        <v>0</v>
      </c>
      <c r="F287">
        <v>2400</v>
      </c>
      <c r="G287">
        <v>1387.1193848</v>
      </c>
      <c r="H287">
        <v>1373.2952881000001</v>
      </c>
      <c r="I287">
        <v>1251.9007568</v>
      </c>
      <c r="J287">
        <v>1212.1446533000001</v>
      </c>
      <c r="K287">
        <v>80</v>
      </c>
      <c r="L287">
        <v>79.910461425999998</v>
      </c>
      <c r="M287">
        <v>50</v>
      </c>
      <c r="N287">
        <v>14.998560905</v>
      </c>
    </row>
    <row r="288" spans="1:14" x14ac:dyDescent="0.25">
      <c r="A288">
        <v>88.542038000000005</v>
      </c>
      <c r="B288" s="1">
        <f>DATE(2010,7,28) + TIME(13,0,32)</f>
        <v>40387.542037037034</v>
      </c>
      <c r="C288">
        <v>2400</v>
      </c>
      <c r="D288">
        <v>0</v>
      </c>
      <c r="E288">
        <v>0</v>
      </c>
      <c r="F288">
        <v>2400</v>
      </c>
      <c r="G288">
        <v>1387.0451660000001</v>
      </c>
      <c r="H288">
        <v>1373.2207031</v>
      </c>
      <c r="I288">
        <v>1251.9202881000001</v>
      </c>
      <c r="J288">
        <v>1212.1630858999999</v>
      </c>
      <c r="K288">
        <v>80</v>
      </c>
      <c r="L288">
        <v>79.910614014000004</v>
      </c>
      <c r="M288">
        <v>50</v>
      </c>
      <c r="N288">
        <v>14.998577118</v>
      </c>
    </row>
    <row r="289" spans="1:14" x14ac:dyDescent="0.25">
      <c r="A289">
        <v>89.501799000000005</v>
      </c>
      <c r="B289" s="1">
        <f>DATE(2010,7,29) + TIME(12,2,35)</f>
        <v>40388.501793981479</v>
      </c>
      <c r="C289">
        <v>2400</v>
      </c>
      <c r="D289">
        <v>0</v>
      </c>
      <c r="E289">
        <v>0</v>
      </c>
      <c r="F289">
        <v>2400</v>
      </c>
      <c r="G289">
        <v>1386.9716797000001</v>
      </c>
      <c r="H289">
        <v>1373.1468506000001</v>
      </c>
      <c r="I289">
        <v>1251.9400635</v>
      </c>
      <c r="J289">
        <v>1212.1818848</v>
      </c>
      <c r="K289">
        <v>80</v>
      </c>
      <c r="L289">
        <v>79.910758971999996</v>
      </c>
      <c r="M289">
        <v>50</v>
      </c>
      <c r="N289">
        <v>14.99859333</v>
      </c>
    </row>
    <row r="290" spans="1:14" x14ac:dyDescent="0.25">
      <c r="A290">
        <v>90.466128999999995</v>
      </c>
      <c r="B290" s="1">
        <f>DATE(2010,7,30) + TIME(11,11,13)</f>
        <v>40389.466122685182</v>
      </c>
      <c r="C290">
        <v>2400</v>
      </c>
      <c r="D290">
        <v>0</v>
      </c>
      <c r="E290">
        <v>0</v>
      </c>
      <c r="F290">
        <v>2400</v>
      </c>
      <c r="G290">
        <v>1386.8985596</v>
      </c>
      <c r="H290">
        <v>1373.0733643000001</v>
      </c>
      <c r="I290">
        <v>1251.9599608999999</v>
      </c>
      <c r="J290">
        <v>1212.2008057</v>
      </c>
      <c r="K290">
        <v>80</v>
      </c>
      <c r="L290">
        <v>79.910903931000007</v>
      </c>
      <c r="M290">
        <v>50</v>
      </c>
      <c r="N290">
        <v>14.998609543000001</v>
      </c>
    </row>
    <row r="291" spans="1:14" x14ac:dyDescent="0.25">
      <c r="A291">
        <v>91.436680999999993</v>
      </c>
      <c r="B291" s="1">
        <f>DATE(2010,7,31) + TIME(10,28,49)</f>
        <v>40390.436678240738</v>
      </c>
      <c r="C291">
        <v>2400</v>
      </c>
      <c r="D291">
        <v>0</v>
      </c>
      <c r="E291">
        <v>0</v>
      </c>
      <c r="F291">
        <v>2400</v>
      </c>
      <c r="G291">
        <v>1386.8259277</v>
      </c>
      <c r="H291">
        <v>1373.0003661999999</v>
      </c>
      <c r="I291">
        <v>1251.9801024999999</v>
      </c>
      <c r="J291">
        <v>1212.2199707</v>
      </c>
      <c r="K291">
        <v>80</v>
      </c>
      <c r="L291">
        <v>79.911056518999999</v>
      </c>
      <c r="M291">
        <v>50</v>
      </c>
      <c r="N291">
        <v>14.998625755000001</v>
      </c>
    </row>
    <row r="292" spans="1:14" x14ac:dyDescent="0.25">
      <c r="A292">
        <v>92</v>
      </c>
      <c r="B292" s="1">
        <f>DATE(2010,8,1) + TIME(0,0,0)</f>
        <v>40391</v>
      </c>
      <c r="C292">
        <v>2400</v>
      </c>
      <c r="D292">
        <v>0</v>
      </c>
      <c r="E292">
        <v>0</v>
      </c>
      <c r="F292">
        <v>2400</v>
      </c>
      <c r="G292">
        <v>1386.7531738</v>
      </c>
      <c r="H292">
        <v>1372.9272461</v>
      </c>
      <c r="I292">
        <v>1252.0002440999999</v>
      </c>
      <c r="J292">
        <v>1212.2391356999999</v>
      </c>
      <c r="K292">
        <v>80</v>
      </c>
      <c r="L292">
        <v>79.911140442000004</v>
      </c>
      <c r="M292">
        <v>50</v>
      </c>
      <c r="N292">
        <v>14.998638153</v>
      </c>
    </row>
    <row r="293" spans="1:14" x14ac:dyDescent="0.25">
      <c r="A293">
        <v>92.978419000000002</v>
      </c>
      <c r="B293" s="1">
        <f>DATE(2010,8,1) + TIME(23,28,55)</f>
        <v>40391.978414351855</v>
      </c>
      <c r="C293">
        <v>2400</v>
      </c>
      <c r="D293">
        <v>0</v>
      </c>
      <c r="E293">
        <v>0</v>
      </c>
      <c r="F293">
        <v>2400</v>
      </c>
      <c r="G293">
        <v>1386.7114257999999</v>
      </c>
      <c r="H293">
        <v>1372.8852539</v>
      </c>
      <c r="I293">
        <v>1252.0126952999999</v>
      </c>
      <c r="J293">
        <v>1212.2509766000001</v>
      </c>
      <c r="K293">
        <v>80</v>
      </c>
      <c r="L293">
        <v>79.911285399999997</v>
      </c>
      <c r="M293">
        <v>50</v>
      </c>
      <c r="N293">
        <v>14.998653411999999</v>
      </c>
    </row>
    <row r="294" spans="1:14" x14ac:dyDescent="0.25">
      <c r="A294">
        <v>93.972791000000001</v>
      </c>
      <c r="B294" s="1">
        <f>DATE(2010,8,2) + TIME(23,20,49)</f>
        <v>40392.97278935185</v>
      </c>
      <c r="C294">
        <v>2400</v>
      </c>
      <c r="D294">
        <v>0</v>
      </c>
      <c r="E294">
        <v>0</v>
      </c>
      <c r="F294">
        <v>2400</v>
      </c>
      <c r="G294">
        <v>1386.6397704999999</v>
      </c>
      <c r="H294">
        <v>1372.8131103999999</v>
      </c>
      <c r="I294">
        <v>1252.0336914</v>
      </c>
      <c r="J294">
        <v>1212.270874</v>
      </c>
      <c r="K294">
        <v>80</v>
      </c>
      <c r="L294">
        <v>79.911437988000003</v>
      </c>
      <c r="M294">
        <v>50</v>
      </c>
      <c r="N294">
        <v>14.998669624</v>
      </c>
    </row>
    <row r="295" spans="1:14" x14ac:dyDescent="0.25">
      <c r="A295">
        <v>94.979294999999993</v>
      </c>
      <c r="B295" s="1">
        <f>DATE(2010,8,3) + TIME(23,30,11)</f>
        <v>40393.97929398148</v>
      </c>
      <c r="C295">
        <v>2400</v>
      </c>
      <c r="D295">
        <v>0</v>
      </c>
      <c r="E295">
        <v>0</v>
      </c>
      <c r="F295">
        <v>2400</v>
      </c>
      <c r="G295">
        <v>1386.5673827999999</v>
      </c>
      <c r="H295">
        <v>1372.7403564000001</v>
      </c>
      <c r="I295">
        <v>1252.0551757999999</v>
      </c>
      <c r="J295">
        <v>1212.2913818</v>
      </c>
      <c r="K295">
        <v>80</v>
      </c>
      <c r="L295">
        <v>79.911590575999995</v>
      </c>
      <c r="M295">
        <v>50</v>
      </c>
      <c r="N295">
        <v>14.998686790000001</v>
      </c>
    </row>
    <row r="296" spans="1:14" x14ac:dyDescent="0.25">
      <c r="A296">
        <v>95.996171000000004</v>
      </c>
      <c r="B296" s="1">
        <f>DATE(2010,8,4) + TIME(23,54,29)</f>
        <v>40394.996168981481</v>
      </c>
      <c r="C296">
        <v>2400</v>
      </c>
      <c r="D296">
        <v>0</v>
      </c>
      <c r="E296">
        <v>0</v>
      </c>
      <c r="F296">
        <v>2400</v>
      </c>
      <c r="G296">
        <v>1386.494751</v>
      </c>
      <c r="H296">
        <v>1372.6673584</v>
      </c>
      <c r="I296">
        <v>1252.0771483999999</v>
      </c>
      <c r="J296">
        <v>1212.3122559000001</v>
      </c>
      <c r="K296">
        <v>80</v>
      </c>
      <c r="L296">
        <v>79.911743164000001</v>
      </c>
      <c r="M296">
        <v>50</v>
      </c>
      <c r="N296">
        <v>14.998704910000001</v>
      </c>
    </row>
    <row r="297" spans="1:14" x14ac:dyDescent="0.25">
      <c r="A297">
        <v>96.504687000000004</v>
      </c>
      <c r="B297" s="1">
        <f>DATE(2010,8,5) + TIME(12,6,44)</f>
        <v>40395.504675925928</v>
      </c>
      <c r="C297">
        <v>2400</v>
      </c>
      <c r="D297">
        <v>0</v>
      </c>
      <c r="E297">
        <v>0</v>
      </c>
      <c r="F297">
        <v>2400</v>
      </c>
      <c r="G297">
        <v>1386.421875</v>
      </c>
      <c r="H297">
        <v>1372.5939940999999</v>
      </c>
      <c r="I297">
        <v>1252.098999</v>
      </c>
      <c r="J297">
        <v>1212.3330077999999</v>
      </c>
      <c r="K297">
        <v>80</v>
      </c>
      <c r="L297">
        <v>79.911819457999997</v>
      </c>
      <c r="M297">
        <v>50</v>
      </c>
      <c r="N297">
        <v>14.998718262000001</v>
      </c>
    </row>
    <row r="298" spans="1:14" x14ac:dyDescent="0.25">
      <c r="A298">
        <v>97.013202000000007</v>
      </c>
      <c r="B298" s="1">
        <f>DATE(2010,8,6) + TIME(0,19,0)</f>
        <v>40396.013194444444</v>
      </c>
      <c r="C298">
        <v>2400</v>
      </c>
      <c r="D298">
        <v>0</v>
      </c>
      <c r="E298">
        <v>0</v>
      </c>
      <c r="F298">
        <v>2400</v>
      </c>
      <c r="G298">
        <v>1386.3851318</v>
      </c>
      <c r="H298">
        <v>1372.5570068</v>
      </c>
      <c r="I298">
        <v>1252.1104736</v>
      </c>
      <c r="J298">
        <v>1212.3439940999999</v>
      </c>
      <c r="K298">
        <v>80</v>
      </c>
      <c r="L298">
        <v>79.911895752000007</v>
      </c>
      <c r="M298">
        <v>50</v>
      </c>
      <c r="N298">
        <v>14.998730659</v>
      </c>
    </row>
    <row r="299" spans="1:14" x14ac:dyDescent="0.25">
      <c r="A299">
        <v>97.521718000000007</v>
      </c>
      <c r="B299" s="1">
        <f>DATE(2010,8,6) + TIME(12,31,16)</f>
        <v>40396.52171296296</v>
      </c>
      <c r="C299">
        <v>2400</v>
      </c>
      <c r="D299">
        <v>0</v>
      </c>
      <c r="E299">
        <v>0</v>
      </c>
      <c r="F299">
        <v>2400</v>
      </c>
      <c r="G299">
        <v>1386.3492432</v>
      </c>
      <c r="H299">
        <v>1372.520874</v>
      </c>
      <c r="I299">
        <v>1252.1218262</v>
      </c>
      <c r="J299">
        <v>1212.3548584</v>
      </c>
      <c r="K299">
        <v>80</v>
      </c>
      <c r="L299">
        <v>79.911972046000002</v>
      </c>
      <c r="M299">
        <v>50</v>
      </c>
      <c r="N299">
        <v>14.998742104</v>
      </c>
    </row>
    <row r="300" spans="1:14" x14ac:dyDescent="0.25">
      <c r="A300">
        <v>98.030232999999996</v>
      </c>
      <c r="B300" s="1">
        <f>DATE(2010,8,7) + TIME(0,43,32)</f>
        <v>40397.030231481483</v>
      </c>
      <c r="C300">
        <v>2400</v>
      </c>
      <c r="D300">
        <v>0</v>
      </c>
      <c r="E300">
        <v>0</v>
      </c>
      <c r="F300">
        <v>2400</v>
      </c>
      <c r="G300">
        <v>1386.3134766000001</v>
      </c>
      <c r="H300">
        <v>1372.4848632999999</v>
      </c>
      <c r="I300">
        <v>1252.1333007999999</v>
      </c>
      <c r="J300">
        <v>1212.3657227000001</v>
      </c>
      <c r="K300">
        <v>80</v>
      </c>
      <c r="L300">
        <v>79.912048339999998</v>
      </c>
      <c r="M300">
        <v>50</v>
      </c>
      <c r="N300">
        <v>14.998753548</v>
      </c>
    </row>
    <row r="301" spans="1:14" x14ac:dyDescent="0.25">
      <c r="A301">
        <v>98.538747999999998</v>
      </c>
      <c r="B301" s="1">
        <f>DATE(2010,8,7) + TIME(12,55,47)</f>
        <v>40397.538738425923</v>
      </c>
      <c r="C301">
        <v>2400</v>
      </c>
      <c r="D301">
        <v>0</v>
      </c>
      <c r="E301">
        <v>0</v>
      </c>
      <c r="F301">
        <v>2400</v>
      </c>
      <c r="G301">
        <v>1386.277832</v>
      </c>
      <c r="H301">
        <v>1372.4489745999999</v>
      </c>
      <c r="I301">
        <v>1252.1447754000001</v>
      </c>
      <c r="J301">
        <v>1212.3765868999999</v>
      </c>
      <c r="K301">
        <v>80</v>
      </c>
      <c r="L301">
        <v>79.912124633999994</v>
      </c>
      <c r="M301">
        <v>50</v>
      </c>
      <c r="N301">
        <v>14.998764037999999</v>
      </c>
    </row>
    <row r="302" spans="1:14" x14ac:dyDescent="0.25">
      <c r="A302">
        <v>99.047263999999998</v>
      </c>
      <c r="B302" s="1">
        <f>DATE(2010,8,8) + TIME(1,8,3)</f>
        <v>40398.047256944446</v>
      </c>
      <c r="C302">
        <v>2400</v>
      </c>
      <c r="D302">
        <v>0</v>
      </c>
      <c r="E302">
        <v>0</v>
      </c>
      <c r="F302">
        <v>2400</v>
      </c>
      <c r="G302">
        <v>1386.2424315999999</v>
      </c>
      <c r="H302">
        <v>1372.4133300999999</v>
      </c>
      <c r="I302">
        <v>1252.1563721</v>
      </c>
      <c r="J302">
        <v>1212.3875731999999</v>
      </c>
      <c r="K302">
        <v>80</v>
      </c>
      <c r="L302">
        <v>79.912200928000004</v>
      </c>
      <c r="M302">
        <v>50</v>
      </c>
      <c r="N302">
        <v>14.998775481999999</v>
      </c>
    </row>
    <row r="303" spans="1:14" x14ac:dyDescent="0.25">
      <c r="A303">
        <v>99.555779000000001</v>
      </c>
      <c r="B303" s="1">
        <f>DATE(2010,8,8) + TIME(13,20,19)</f>
        <v>40398.555775462963</v>
      </c>
      <c r="C303">
        <v>2400</v>
      </c>
      <c r="D303">
        <v>0</v>
      </c>
      <c r="E303">
        <v>0</v>
      </c>
      <c r="F303">
        <v>2400</v>
      </c>
      <c r="G303">
        <v>1386.2071533000001</v>
      </c>
      <c r="H303">
        <v>1372.3778076000001</v>
      </c>
      <c r="I303">
        <v>1252.1679687999999</v>
      </c>
      <c r="J303">
        <v>1212.3986815999999</v>
      </c>
      <c r="K303">
        <v>80</v>
      </c>
      <c r="L303">
        <v>79.912277222</v>
      </c>
      <c r="M303">
        <v>50</v>
      </c>
      <c r="N303">
        <v>14.998786925999999</v>
      </c>
    </row>
    <row r="304" spans="1:14" x14ac:dyDescent="0.25">
      <c r="A304">
        <v>100.064295</v>
      </c>
      <c r="B304" s="1">
        <f>DATE(2010,8,9) + TIME(1,32,35)</f>
        <v>40399.064293981479</v>
      </c>
      <c r="C304">
        <v>2400</v>
      </c>
      <c r="D304">
        <v>0</v>
      </c>
      <c r="E304">
        <v>0</v>
      </c>
      <c r="F304">
        <v>2400</v>
      </c>
      <c r="G304">
        <v>1386.1719971</v>
      </c>
      <c r="H304">
        <v>1372.3425293</v>
      </c>
      <c r="I304">
        <v>1252.1796875</v>
      </c>
      <c r="J304">
        <v>1212.4097899999999</v>
      </c>
      <c r="K304">
        <v>80</v>
      </c>
      <c r="L304">
        <v>79.912353515999996</v>
      </c>
      <c r="M304">
        <v>50</v>
      </c>
      <c r="N304">
        <v>14.998798369999999</v>
      </c>
    </row>
    <row r="305" spans="1:14" x14ac:dyDescent="0.25">
      <c r="A305">
        <v>100.57281</v>
      </c>
      <c r="B305" s="1">
        <f>DATE(2010,8,9) + TIME(13,44,50)</f>
        <v>40399.572800925926</v>
      </c>
      <c r="C305">
        <v>2400</v>
      </c>
      <c r="D305">
        <v>0</v>
      </c>
      <c r="E305">
        <v>0</v>
      </c>
      <c r="F305">
        <v>2400</v>
      </c>
      <c r="G305">
        <v>1386.1370850000001</v>
      </c>
      <c r="H305">
        <v>1372.3073730000001</v>
      </c>
      <c r="I305">
        <v>1252.1914062000001</v>
      </c>
      <c r="J305">
        <v>1212.4208983999999</v>
      </c>
      <c r="K305">
        <v>80</v>
      </c>
      <c r="L305">
        <v>79.912429810000006</v>
      </c>
      <c r="M305">
        <v>50</v>
      </c>
      <c r="N305">
        <v>14.998809813999999</v>
      </c>
    </row>
    <row r="306" spans="1:14" x14ac:dyDescent="0.25">
      <c r="A306">
        <v>101.081326</v>
      </c>
      <c r="B306" s="1">
        <f>DATE(2010,8,10) + TIME(1,57,6)</f>
        <v>40400.081319444442</v>
      </c>
      <c r="C306">
        <v>2400</v>
      </c>
      <c r="D306">
        <v>0</v>
      </c>
      <c r="E306">
        <v>0</v>
      </c>
      <c r="F306">
        <v>2400</v>
      </c>
      <c r="G306">
        <v>1386.1022949000001</v>
      </c>
      <c r="H306">
        <v>1372.2723389</v>
      </c>
      <c r="I306">
        <v>1252.2032471</v>
      </c>
      <c r="J306">
        <v>1212.4321289</v>
      </c>
      <c r="K306">
        <v>80</v>
      </c>
      <c r="L306">
        <v>79.912498474000003</v>
      </c>
      <c r="M306">
        <v>50</v>
      </c>
      <c r="N306">
        <v>14.998822212</v>
      </c>
    </row>
    <row r="307" spans="1:14" x14ac:dyDescent="0.25">
      <c r="A307">
        <v>101.58984100000001</v>
      </c>
      <c r="B307" s="1">
        <f>DATE(2010,8,10) + TIME(14,9,22)</f>
        <v>40400.589837962965</v>
      </c>
      <c r="C307">
        <v>2400</v>
      </c>
      <c r="D307">
        <v>0</v>
      </c>
      <c r="E307">
        <v>0</v>
      </c>
      <c r="F307">
        <v>2400</v>
      </c>
      <c r="G307">
        <v>1386.067749</v>
      </c>
      <c r="H307">
        <v>1372.2374268000001</v>
      </c>
      <c r="I307">
        <v>1252.2150879000001</v>
      </c>
      <c r="J307">
        <v>1212.4434814000001</v>
      </c>
      <c r="K307">
        <v>80</v>
      </c>
      <c r="L307">
        <v>79.912574767999999</v>
      </c>
      <c r="M307">
        <v>50</v>
      </c>
      <c r="N307">
        <v>14.998834609999999</v>
      </c>
    </row>
    <row r="308" spans="1:14" x14ac:dyDescent="0.25">
      <c r="A308">
        <v>102.09835699999999</v>
      </c>
      <c r="B308" s="1">
        <f>DATE(2010,8,11) + TIME(2,21,38)</f>
        <v>40401.098356481481</v>
      </c>
      <c r="C308">
        <v>2400</v>
      </c>
      <c r="D308">
        <v>0</v>
      </c>
      <c r="E308">
        <v>0</v>
      </c>
      <c r="F308">
        <v>2400</v>
      </c>
      <c r="G308">
        <v>1386.0332031</v>
      </c>
      <c r="H308">
        <v>1372.2026367000001</v>
      </c>
      <c r="I308">
        <v>1252.2269286999999</v>
      </c>
      <c r="J308">
        <v>1212.4547118999999</v>
      </c>
      <c r="K308">
        <v>80</v>
      </c>
      <c r="L308">
        <v>79.912651061999995</v>
      </c>
      <c r="M308">
        <v>50</v>
      </c>
      <c r="N308">
        <v>14.998847960999999</v>
      </c>
    </row>
    <row r="309" spans="1:14" x14ac:dyDescent="0.25">
      <c r="A309">
        <v>102.606872</v>
      </c>
      <c r="B309" s="1">
        <f>DATE(2010,8,11) + TIME(14,33,53)</f>
        <v>40401.606863425928</v>
      </c>
      <c r="C309">
        <v>2400</v>
      </c>
      <c r="D309">
        <v>0</v>
      </c>
      <c r="E309">
        <v>0</v>
      </c>
      <c r="F309">
        <v>2400</v>
      </c>
      <c r="G309">
        <v>1385.9989014</v>
      </c>
      <c r="H309">
        <v>1372.1680908000001</v>
      </c>
      <c r="I309">
        <v>1252.2390137</v>
      </c>
      <c r="J309">
        <v>1212.4661865</v>
      </c>
      <c r="K309">
        <v>80</v>
      </c>
      <c r="L309">
        <v>79.912727356000005</v>
      </c>
      <c r="M309">
        <v>50</v>
      </c>
      <c r="N309">
        <v>14.998861313000001</v>
      </c>
    </row>
    <row r="310" spans="1:14" x14ac:dyDescent="0.25">
      <c r="A310">
        <v>103.623903</v>
      </c>
      <c r="B310" s="1">
        <f>DATE(2010,8,12) + TIME(14,58,25)</f>
        <v>40402.623900462961</v>
      </c>
      <c r="C310">
        <v>2400</v>
      </c>
      <c r="D310">
        <v>0</v>
      </c>
      <c r="E310">
        <v>0</v>
      </c>
      <c r="F310">
        <v>2400</v>
      </c>
      <c r="G310">
        <v>1385.965332</v>
      </c>
      <c r="H310">
        <v>1372.1342772999999</v>
      </c>
      <c r="I310">
        <v>1252.2514647999999</v>
      </c>
      <c r="J310">
        <v>1212.4780272999999</v>
      </c>
      <c r="K310">
        <v>80</v>
      </c>
      <c r="L310">
        <v>79.912879943999997</v>
      </c>
      <c r="M310">
        <v>50</v>
      </c>
      <c r="N310">
        <v>14.998881340000001</v>
      </c>
    </row>
    <row r="311" spans="1:14" x14ac:dyDescent="0.25">
      <c r="A311">
        <v>104.642897</v>
      </c>
      <c r="B311" s="1">
        <f>DATE(2010,8,13) + TIME(15,25,46)</f>
        <v>40403.642893518518</v>
      </c>
      <c r="C311">
        <v>2400</v>
      </c>
      <c r="D311">
        <v>0</v>
      </c>
      <c r="E311">
        <v>0</v>
      </c>
      <c r="F311">
        <v>2400</v>
      </c>
      <c r="G311">
        <v>1385.8977050999999</v>
      </c>
      <c r="H311">
        <v>1372.0662841999999</v>
      </c>
      <c r="I311">
        <v>1252.2755127</v>
      </c>
      <c r="J311">
        <v>1212.5008545000001</v>
      </c>
      <c r="K311">
        <v>80</v>
      </c>
      <c r="L311">
        <v>79.913024902000004</v>
      </c>
      <c r="M311">
        <v>50</v>
      </c>
      <c r="N311">
        <v>14.998908043</v>
      </c>
    </row>
    <row r="312" spans="1:14" x14ac:dyDescent="0.25">
      <c r="A312">
        <v>105.673531</v>
      </c>
      <c r="B312" s="1">
        <f>DATE(2010,8,14) + TIME(16,9,53)</f>
        <v>40404.673530092594</v>
      </c>
      <c r="C312">
        <v>2400</v>
      </c>
      <c r="D312">
        <v>0</v>
      </c>
      <c r="E312">
        <v>0</v>
      </c>
      <c r="F312">
        <v>2400</v>
      </c>
      <c r="G312">
        <v>1385.8304443</v>
      </c>
      <c r="H312">
        <v>1371.9984131000001</v>
      </c>
      <c r="I312">
        <v>1252.2999268000001</v>
      </c>
      <c r="J312">
        <v>1212.5240478999999</v>
      </c>
      <c r="K312">
        <v>80</v>
      </c>
      <c r="L312">
        <v>79.913177489999995</v>
      </c>
      <c r="M312">
        <v>50</v>
      </c>
      <c r="N312">
        <v>14.998938559999999</v>
      </c>
    </row>
    <row r="313" spans="1:14" x14ac:dyDescent="0.25">
      <c r="A313">
        <v>106.717401</v>
      </c>
      <c r="B313" s="1">
        <f>DATE(2010,8,15) + TIME(17,13,3)</f>
        <v>40405.717395833337</v>
      </c>
      <c r="C313">
        <v>2400</v>
      </c>
      <c r="D313">
        <v>0</v>
      </c>
      <c r="E313">
        <v>0</v>
      </c>
      <c r="F313">
        <v>2400</v>
      </c>
      <c r="G313">
        <v>1385.7628173999999</v>
      </c>
      <c r="H313">
        <v>1371.9302978999999</v>
      </c>
      <c r="I313">
        <v>1252.3249512</v>
      </c>
      <c r="J313">
        <v>1212.5478516000001</v>
      </c>
      <c r="K313">
        <v>80</v>
      </c>
      <c r="L313">
        <v>79.913330078000001</v>
      </c>
      <c r="M313">
        <v>50</v>
      </c>
      <c r="N313">
        <v>14.998974799999999</v>
      </c>
    </row>
    <row r="314" spans="1:14" x14ac:dyDescent="0.25">
      <c r="A314">
        <v>107.776247</v>
      </c>
      <c r="B314" s="1">
        <f>DATE(2010,8,16) + TIME(18,37,47)</f>
        <v>40406.776238425926</v>
      </c>
      <c r="C314">
        <v>2400</v>
      </c>
      <c r="D314">
        <v>0</v>
      </c>
      <c r="E314">
        <v>0</v>
      </c>
      <c r="F314">
        <v>2400</v>
      </c>
      <c r="G314">
        <v>1385.6950684000001</v>
      </c>
      <c r="H314">
        <v>1371.8619385</v>
      </c>
      <c r="I314">
        <v>1252.3505858999999</v>
      </c>
      <c r="J314">
        <v>1212.5721435999999</v>
      </c>
      <c r="K314">
        <v>80</v>
      </c>
      <c r="L314">
        <v>79.913482665999993</v>
      </c>
      <c r="M314">
        <v>50</v>
      </c>
      <c r="N314">
        <v>14.999014854</v>
      </c>
    </row>
    <row r="315" spans="1:14" x14ac:dyDescent="0.25">
      <c r="A315">
        <v>108.851923</v>
      </c>
      <c r="B315" s="1">
        <f>DATE(2010,8,17) + TIME(20,26,46)</f>
        <v>40407.851921296293</v>
      </c>
      <c r="C315">
        <v>2400</v>
      </c>
      <c r="D315">
        <v>0</v>
      </c>
      <c r="E315">
        <v>0</v>
      </c>
      <c r="F315">
        <v>2400</v>
      </c>
      <c r="G315">
        <v>1385.6268310999999</v>
      </c>
      <c r="H315">
        <v>1371.7932129000001</v>
      </c>
      <c r="I315">
        <v>1252.3768310999999</v>
      </c>
      <c r="J315">
        <v>1212.597168</v>
      </c>
      <c r="K315">
        <v>80</v>
      </c>
      <c r="L315">
        <v>79.913635253999999</v>
      </c>
      <c r="M315">
        <v>50</v>
      </c>
      <c r="N315">
        <v>14.999059677</v>
      </c>
    </row>
    <row r="316" spans="1:14" x14ac:dyDescent="0.25">
      <c r="A316">
        <v>109.390961</v>
      </c>
      <c r="B316" s="1">
        <f>DATE(2010,8,18) + TIME(9,22,59)</f>
        <v>40408.390960648147</v>
      </c>
      <c r="C316">
        <v>2400</v>
      </c>
      <c r="D316">
        <v>0</v>
      </c>
      <c r="E316">
        <v>0</v>
      </c>
      <c r="F316">
        <v>2400</v>
      </c>
      <c r="G316">
        <v>1385.5578613</v>
      </c>
      <c r="H316">
        <v>1371.7236327999999</v>
      </c>
      <c r="I316">
        <v>1252.4033202999999</v>
      </c>
      <c r="J316">
        <v>1212.6223144999999</v>
      </c>
      <c r="K316">
        <v>80</v>
      </c>
      <c r="L316">
        <v>79.913711547999995</v>
      </c>
      <c r="M316">
        <v>50</v>
      </c>
      <c r="N316">
        <v>14.999096870000001</v>
      </c>
    </row>
    <row r="317" spans="1:14" x14ac:dyDescent="0.25">
      <c r="A317">
        <v>109.929998</v>
      </c>
      <c r="B317" s="1">
        <f>DATE(2010,8,18) + TIME(22,19,11)</f>
        <v>40408.929988425924</v>
      </c>
      <c r="C317">
        <v>2400</v>
      </c>
      <c r="D317">
        <v>0</v>
      </c>
      <c r="E317">
        <v>0</v>
      </c>
      <c r="F317">
        <v>2400</v>
      </c>
      <c r="G317">
        <v>1385.5230713000001</v>
      </c>
      <c r="H317">
        <v>1371.6885986</v>
      </c>
      <c r="I317">
        <v>1252.4172363</v>
      </c>
      <c r="J317">
        <v>1212.6354980000001</v>
      </c>
      <c r="K317">
        <v>80</v>
      </c>
      <c r="L317">
        <v>79.913787842000005</v>
      </c>
      <c r="M317">
        <v>50</v>
      </c>
      <c r="N317">
        <v>14.999131202999999</v>
      </c>
    </row>
    <row r="318" spans="1:14" x14ac:dyDescent="0.25">
      <c r="A318">
        <v>110.469036</v>
      </c>
      <c r="B318" s="1">
        <f>DATE(2010,8,19) + TIME(11,15,24)</f>
        <v>40409.469027777777</v>
      </c>
      <c r="C318">
        <v>2400</v>
      </c>
      <c r="D318">
        <v>0</v>
      </c>
      <c r="E318">
        <v>0</v>
      </c>
      <c r="F318">
        <v>2400</v>
      </c>
      <c r="G318">
        <v>1385.4888916</v>
      </c>
      <c r="H318">
        <v>1371.6541748</v>
      </c>
      <c r="I318">
        <v>1252.4309082</v>
      </c>
      <c r="J318">
        <v>1212.6486815999999</v>
      </c>
      <c r="K318">
        <v>80</v>
      </c>
      <c r="L318">
        <v>79.913871764999996</v>
      </c>
      <c r="M318">
        <v>50</v>
      </c>
      <c r="N318">
        <v>14.999166489</v>
      </c>
    </row>
    <row r="319" spans="1:14" x14ac:dyDescent="0.25">
      <c r="A319">
        <v>111.008073</v>
      </c>
      <c r="B319" s="1">
        <f>DATE(2010,8,20) + TIME(0,11,37)</f>
        <v>40410.008067129631</v>
      </c>
      <c r="C319">
        <v>2400</v>
      </c>
      <c r="D319">
        <v>0</v>
      </c>
      <c r="E319">
        <v>0</v>
      </c>
      <c r="F319">
        <v>2400</v>
      </c>
      <c r="G319">
        <v>1385.4549560999999</v>
      </c>
      <c r="H319">
        <v>1371.6198730000001</v>
      </c>
      <c r="I319">
        <v>1252.4448242000001</v>
      </c>
      <c r="J319">
        <v>1212.6618652</v>
      </c>
      <c r="K319">
        <v>80</v>
      </c>
      <c r="L319">
        <v>79.913948059000006</v>
      </c>
      <c r="M319">
        <v>50</v>
      </c>
      <c r="N319">
        <v>14.999201775</v>
      </c>
    </row>
    <row r="320" spans="1:14" x14ac:dyDescent="0.25">
      <c r="A320">
        <v>111.547111</v>
      </c>
      <c r="B320" s="1">
        <f>DATE(2010,8,20) + TIME(13,7,50)</f>
        <v>40410.547106481485</v>
      </c>
      <c r="C320">
        <v>2400</v>
      </c>
      <c r="D320">
        <v>0</v>
      </c>
      <c r="E320">
        <v>0</v>
      </c>
      <c r="F320">
        <v>2400</v>
      </c>
      <c r="G320">
        <v>1385.4211425999999</v>
      </c>
      <c r="H320">
        <v>1371.5858154</v>
      </c>
      <c r="I320">
        <v>1252.4588623</v>
      </c>
      <c r="J320">
        <v>1212.6751709</v>
      </c>
      <c r="K320">
        <v>80</v>
      </c>
      <c r="L320">
        <v>79.914024353000002</v>
      </c>
      <c r="M320">
        <v>50</v>
      </c>
      <c r="N320">
        <v>14.999238968</v>
      </c>
    </row>
    <row r="321" spans="1:14" x14ac:dyDescent="0.25">
      <c r="A321">
        <v>112.08614799999999</v>
      </c>
      <c r="B321" s="1">
        <f>DATE(2010,8,21) + TIME(2,4,3)</f>
        <v>40411.086145833331</v>
      </c>
      <c r="C321">
        <v>2400</v>
      </c>
      <c r="D321">
        <v>0</v>
      </c>
      <c r="E321">
        <v>0</v>
      </c>
      <c r="F321">
        <v>2400</v>
      </c>
      <c r="G321">
        <v>1385.3874512</v>
      </c>
      <c r="H321">
        <v>1371.5517577999999</v>
      </c>
      <c r="I321">
        <v>1252.4729004000001</v>
      </c>
      <c r="J321">
        <v>1212.6884766000001</v>
      </c>
      <c r="K321">
        <v>80</v>
      </c>
      <c r="L321">
        <v>79.914100646999998</v>
      </c>
      <c r="M321">
        <v>50</v>
      </c>
      <c r="N321">
        <v>14.999277115</v>
      </c>
    </row>
    <row r="322" spans="1:14" x14ac:dyDescent="0.25">
      <c r="A322">
        <v>112.625186</v>
      </c>
      <c r="B322" s="1">
        <f>DATE(2010,8,21) + TIME(15,0,16)</f>
        <v>40411.625185185185</v>
      </c>
      <c r="C322">
        <v>2400</v>
      </c>
      <c r="D322">
        <v>0</v>
      </c>
      <c r="E322">
        <v>0</v>
      </c>
      <c r="F322">
        <v>2400</v>
      </c>
      <c r="G322">
        <v>1385.3538818</v>
      </c>
      <c r="H322">
        <v>1371.5179443</v>
      </c>
      <c r="I322">
        <v>1252.4870605000001</v>
      </c>
      <c r="J322">
        <v>1212.7019043</v>
      </c>
      <c r="K322">
        <v>80</v>
      </c>
      <c r="L322">
        <v>79.914176940999994</v>
      </c>
      <c r="M322">
        <v>50</v>
      </c>
      <c r="N322">
        <v>14.999319076999999</v>
      </c>
    </row>
    <row r="323" spans="1:14" x14ac:dyDescent="0.25">
      <c r="A323">
        <v>113.16422300000001</v>
      </c>
      <c r="B323" s="1">
        <f>DATE(2010,8,22) + TIME(3,56,28)</f>
        <v>40412.164212962962</v>
      </c>
      <c r="C323">
        <v>2400</v>
      </c>
      <c r="D323">
        <v>0</v>
      </c>
      <c r="E323">
        <v>0</v>
      </c>
      <c r="F323">
        <v>2400</v>
      </c>
      <c r="G323">
        <v>1385.3205565999999</v>
      </c>
      <c r="H323">
        <v>1371.4842529</v>
      </c>
      <c r="I323">
        <v>1252.5012207</v>
      </c>
      <c r="J323">
        <v>1212.7154541</v>
      </c>
      <c r="K323">
        <v>80</v>
      </c>
      <c r="L323">
        <v>79.914253235000004</v>
      </c>
      <c r="M323">
        <v>50</v>
      </c>
      <c r="N323">
        <v>14.999362946</v>
      </c>
    </row>
    <row r="324" spans="1:14" x14ac:dyDescent="0.25">
      <c r="A324">
        <v>113.703261</v>
      </c>
      <c r="B324" s="1">
        <f>DATE(2010,8,22) + TIME(16,52,41)</f>
        <v>40412.703252314815</v>
      </c>
      <c r="C324">
        <v>2400</v>
      </c>
      <c r="D324">
        <v>0</v>
      </c>
      <c r="E324">
        <v>0</v>
      </c>
      <c r="F324">
        <v>2400</v>
      </c>
      <c r="G324">
        <v>1385.2872314000001</v>
      </c>
      <c r="H324">
        <v>1371.4506836</v>
      </c>
      <c r="I324">
        <v>1252.5155029</v>
      </c>
      <c r="J324">
        <v>1212.7290039</v>
      </c>
      <c r="K324">
        <v>80</v>
      </c>
      <c r="L324">
        <v>79.914329529</v>
      </c>
      <c r="M324">
        <v>50</v>
      </c>
      <c r="N324">
        <v>14.999410629</v>
      </c>
    </row>
    <row r="325" spans="1:14" x14ac:dyDescent="0.25">
      <c r="A325">
        <v>114.24229800000001</v>
      </c>
      <c r="B325" s="1">
        <f>DATE(2010,8,23) + TIME(5,48,54)</f>
        <v>40413.242291666669</v>
      </c>
      <c r="C325">
        <v>2400</v>
      </c>
      <c r="D325">
        <v>0</v>
      </c>
      <c r="E325">
        <v>0</v>
      </c>
      <c r="F325">
        <v>2400</v>
      </c>
      <c r="G325">
        <v>1385.2541504000001</v>
      </c>
      <c r="H325">
        <v>1371.4172363</v>
      </c>
      <c r="I325">
        <v>1252.5299072</v>
      </c>
      <c r="J325">
        <v>1212.7426757999999</v>
      </c>
      <c r="K325">
        <v>80</v>
      </c>
      <c r="L325">
        <v>79.914405822999996</v>
      </c>
      <c r="M325">
        <v>50</v>
      </c>
      <c r="N325">
        <v>14.999461174</v>
      </c>
    </row>
    <row r="326" spans="1:14" x14ac:dyDescent="0.25">
      <c r="A326">
        <v>114.781336</v>
      </c>
      <c r="B326" s="1">
        <f>DATE(2010,8,23) + TIME(18,45,7)</f>
        <v>40413.781331018516</v>
      </c>
      <c r="C326">
        <v>2400</v>
      </c>
      <c r="D326">
        <v>0</v>
      </c>
      <c r="E326">
        <v>0</v>
      </c>
      <c r="F326">
        <v>2400</v>
      </c>
      <c r="G326">
        <v>1385.2210693</v>
      </c>
      <c r="H326">
        <v>1371.3840332</v>
      </c>
      <c r="I326">
        <v>1252.5444336</v>
      </c>
      <c r="J326">
        <v>1212.7564697</v>
      </c>
      <c r="K326">
        <v>80</v>
      </c>
      <c r="L326">
        <v>79.914482117000006</v>
      </c>
      <c r="M326">
        <v>50</v>
      </c>
      <c r="N326">
        <v>14.999515533</v>
      </c>
    </row>
    <row r="327" spans="1:14" x14ac:dyDescent="0.25">
      <c r="A327">
        <v>115.320374</v>
      </c>
      <c r="B327" s="1">
        <f>DATE(2010,8,24) + TIME(7,41,20)</f>
        <v>40414.320370370369</v>
      </c>
      <c r="C327">
        <v>2400</v>
      </c>
      <c r="D327">
        <v>0</v>
      </c>
      <c r="E327">
        <v>0</v>
      </c>
      <c r="F327">
        <v>2400</v>
      </c>
      <c r="G327">
        <v>1385.1882324000001</v>
      </c>
      <c r="H327">
        <v>1371.3508300999999</v>
      </c>
      <c r="I327">
        <v>1252.559082</v>
      </c>
      <c r="J327">
        <v>1212.7703856999999</v>
      </c>
      <c r="K327">
        <v>80</v>
      </c>
      <c r="L327">
        <v>79.914558411000002</v>
      </c>
      <c r="M327">
        <v>50</v>
      </c>
      <c r="N327">
        <v>14.999573708</v>
      </c>
    </row>
    <row r="328" spans="1:14" x14ac:dyDescent="0.25">
      <c r="A328">
        <v>115.85941099999999</v>
      </c>
      <c r="B328" s="1">
        <f>DATE(2010,8,24) + TIME(20,37,33)</f>
        <v>40414.859409722223</v>
      </c>
      <c r="C328">
        <v>2400</v>
      </c>
      <c r="D328">
        <v>0</v>
      </c>
      <c r="E328">
        <v>0</v>
      </c>
      <c r="F328">
        <v>2400</v>
      </c>
      <c r="G328">
        <v>1385.1555175999999</v>
      </c>
      <c r="H328">
        <v>1371.317749</v>
      </c>
      <c r="I328">
        <v>1252.5737305</v>
      </c>
      <c r="J328">
        <v>1212.7843018000001</v>
      </c>
      <c r="K328">
        <v>80</v>
      </c>
      <c r="L328">
        <v>79.914634704999997</v>
      </c>
      <c r="M328">
        <v>50</v>
      </c>
      <c r="N328">
        <v>14.999635696</v>
      </c>
    </row>
    <row r="329" spans="1:14" x14ac:dyDescent="0.25">
      <c r="A329">
        <v>116.93748600000001</v>
      </c>
      <c r="B329" s="1">
        <f>DATE(2010,8,25) + TIME(22,29,58)</f>
        <v>40415.937476851854</v>
      </c>
      <c r="C329">
        <v>2400</v>
      </c>
      <c r="D329">
        <v>0</v>
      </c>
      <c r="E329">
        <v>0</v>
      </c>
      <c r="F329">
        <v>2400</v>
      </c>
      <c r="G329">
        <v>1385.1234131000001</v>
      </c>
      <c r="H329">
        <v>1371.2854004000001</v>
      </c>
      <c r="I329">
        <v>1252.5889893000001</v>
      </c>
      <c r="J329">
        <v>1212.7987060999999</v>
      </c>
      <c r="K329">
        <v>80</v>
      </c>
      <c r="L329">
        <v>79.914787292</v>
      </c>
      <c r="M329">
        <v>50</v>
      </c>
      <c r="N329">
        <v>14.999732971</v>
      </c>
    </row>
    <row r="330" spans="1:14" x14ac:dyDescent="0.25">
      <c r="A330">
        <v>118.017473</v>
      </c>
      <c r="B330" s="1">
        <f>DATE(2010,8,27) + TIME(0,25,9)</f>
        <v>40417.017465277779</v>
      </c>
      <c r="C330">
        <v>2400</v>
      </c>
      <c r="D330">
        <v>0</v>
      </c>
      <c r="E330">
        <v>0</v>
      </c>
      <c r="F330">
        <v>2400</v>
      </c>
      <c r="G330">
        <v>1385.0589600000001</v>
      </c>
      <c r="H330">
        <v>1371.2203368999999</v>
      </c>
      <c r="I330">
        <v>1252.6185303</v>
      </c>
      <c r="J330">
        <v>1212.8269043</v>
      </c>
      <c r="K330">
        <v>80</v>
      </c>
      <c r="L330">
        <v>79.914939880000006</v>
      </c>
      <c r="M330">
        <v>50</v>
      </c>
      <c r="N330">
        <v>14.999863625</v>
      </c>
    </row>
    <row r="331" spans="1:14" x14ac:dyDescent="0.25">
      <c r="A331">
        <v>119.11162</v>
      </c>
      <c r="B331" s="1">
        <f>DATE(2010,8,28) + TIME(2,40,43)</f>
        <v>40418.111608796295</v>
      </c>
      <c r="C331">
        <v>2400</v>
      </c>
      <c r="D331">
        <v>0</v>
      </c>
      <c r="E331">
        <v>0</v>
      </c>
      <c r="F331">
        <v>2400</v>
      </c>
      <c r="G331">
        <v>1384.9946289</v>
      </c>
      <c r="H331">
        <v>1371.1552733999999</v>
      </c>
      <c r="I331">
        <v>1252.6488036999999</v>
      </c>
      <c r="J331">
        <v>1212.8555908000001</v>
      </c>
      <c r="K331">
        <v>80</v>
      </c>
      <c r="L331">
        <v>79.915092467999997</v>
      </c>
      <c r="M331">
        <v>50</v>
      </c>
      <c r="N331">
        <v>15.000025749000001</v>
      </c>
    </row>
    <row r="332" spans="1:14" x14ac:dyDescent="0.25">
      <c r="A332">
        <v>120.221773</v>
      </c>
      <c r="B332" s="1">
        <f>DATE(2010,8,29) + TIME(5,19,21)</f>
        <v>40419.221770833334</v>
      </c>
      <c r="C332">
        <v>2400</v>
      </c>
      <c r="D332">
        <v>0</v>
      </c>
      <c r="E332">
        <v>0</v>
      </c>
      <c r="F332">
        <v>2400</v>
      </c>
      <c r="G332">
        <v>1384.9299315999999</v>
      </c>
      <c r="H332">
        <v>1371.0899658000001</v>
      </c>
      <c r="I332">
        <v>1252.6798096</v>
      </c>
      <c r="J332">
        <v>1212.8850098</v>
      </c>
      <c r="K332">
        <v>80</v>
      </c>
      <c r="L332">
        <v>79.915245056000003</v>
      </c>
      <c r="M332">
        <v>50</v>
      </c>
      <c r="N332">
        <v>15.000217438</v>
      </c>
    </row>
    <row r="333" spans="1:14" x14ac:dyDescent="0.25">
      <c r="A333">
        <v>120.785949</v>
      </c>
      <c r="B333" s="1">
        <f>DATE(2010,8,29) + TIME(18,51,45)</f>
        <v>40419.785937499997</v>
      </c>
      <c r="C333">
        <v>2400</v>
      </c>
      <c r="D333">
        <v>0</v>
      </c>
      <c r="E333">
        <v>0</v>
      </c>
      <c r="F333">
        <v>2400</v>
      </c>
      <c r="G333">
        <v>1384.8645019999999</v>
      </c>
      <c r="H333">
        <v>1371.0239257999999</v>
      </c>
      <c r="I333">
        <v>1252.7111815999999</v>
      </c>
      <c r="J333">
        <v>1212.9147949000001</v>
      </c>
      <c r="K333">
        <v>80</v>
      </c>
      <c r="L333">
        <v>79.915321349999999</v>
      </c>
      <c r="M333">
        <v>50</v>
      </c>
      <c r="N333">
        <v>15.000375748</v>
      </c>
    </row>
    <row r="334" spans="1:14" x14ac:dyDescent="0.25">
      <c r="A334">
        <v>121.35012500000001</v>
      </c>
      <c r="B334" s="1">
        <f>DATE(2010,8,30) + TIME(8,24,10)</f>
        <v>40420.350115740737</v>
      </c>
      <c r="C334">
        <v>2400</v>
      </c>
      <c r="D334">
        <v>0</v>
      </c>
      <c r="E334">
        <v>0</v>
      </c>
      <c r="F334">
        <v>2400</v>
      </c>
      <c r="G334">
        <v>1384.8310547000001</v>
      </c>
      <c r="H334">
        <v>1370.9901123</v>
      </c>
      <c r="I334">
        <v>1252.7277832</v>
      </c>
      <c r="J334">
        <v>1212.9306641000001</v>
      </c>
      <c r="K334">
        <v>80</v>
      </c>
      <c r="L334">
        <v>79.915405273000005</v>
      </c>
      <c r="M334">
        <v>50</v>
      </c>
      <c r="N334">
        <v>15.000529288999999</v>
      </c>
    </row>
    <row r="335" spans="1:14" x14ac:dyDescent="0.25">
      <c r="A335">
        <v>121.91430099999999</v>
      </c>
      <c r="B335" s="1">
        <f>DATE(2010,8,30) + TIME(21,56,35)</f>
        <v>40420.914293981485</v>
      </c>
      <c r="C335">
        <v>2400</v>
      </c>
      <c r="D335">
        <v>0</v>
      </c>
      <c r="E335">
        <v>0</v>
      </c>
      <c r="F335">
        <v>2400</v>
      </c>
      <c r="G335">
        <v>1384.7980957</v>
      </c>
      <c r="H335">
        <v>1370.9569091999999</v>
      </c>
      <c r="I335">
        <v>1252.7443848</v>
      </c>
      <c r="J335">
        <v>1212.9464111</v>
      </c>
      <c r="K335">
        <v>80</v>
      </c>
      <c r="L335">
        <v>79.915481567</v>
      </c>
      <c r="M335">
        <v>50</v>
      </c>
      <c r="N335">
        <v>15.000684738</v>
      </c>
    </row>
    <row r="336" spans="1:14" x14ac:dyDescent="0.25">
      <c r="A336">
        <v>123</v>
      </c>
      <c r="B336" s="1">
        <f>DATE(2010,9,1) + TIME(0,0,0)</f>
        <v>40422</v>
      </c>
      <c r="C336">
        <v>2400</v>
      </c>
      <c r="D336">
        <v>0</v>
      </c>
      <c r="E336">
        <v>0</v>
      </c>
      <c r="F336">
        <v>2400</v>
      </c>
      <c r="G336">
        <v>1384.7658690999999</v>
      </c>
      <c r="H336">
        <v>1370.9243164</v>
      </c>
      <c r="I336">
        <v>1252.7614745999999</v>
      </c>
      <c r="J336">
        <v>1212.9627685999999</v>
      </c>
      <c r="K336">
        <v>80</v>
      </c>
      <c r="L336">
        <v>79.915634155000006</v>
      </c>
      <c r="M336">
        <v>50</v>
      </c>
      <c r="N336">
        <v>15.000911713000001</v>
      </c>
    </row>
    <row r="337" spans="1:14" x14ac:dyDescent="0.25">
      <c r="A337">
        <v>123.564176</v>
      </c>
      <c r="B337" s="1">
        <f>DATE(2010,9,1) + TIME(13,32,24)</f>
        <v>40422.564166666663</v>
      </c>
      <c r="C337">
        <v>2400</v>
      </c>
      <c r="D337">
        <v>0</v>
      </c>
      <c r="E337">
        <v>0</v>
      </c>
      <c r="F337">
        <v>2400</v>
      </c>
      <c r="G337">
        <v>1384.7034911999999</v>
      </c>
      <c r="H337">
        <v>1370.8612060999999</v>
      </c>
      <c r="I337">
        <v>1252.7933350000001</v>
      </c>
      <c r="J337">
        <v>1212.9929199000001</v>
      </c>
      <c r="K337">
        <v>80</v>
      </c>
      <c r="L337">
        <v>79.915710449000002</v>
      </c>
      <c r="M337">
        <v>50</v>
      </c>
      <c r="N337">
        <v>15.001122475000001</v>
      </c>
    </row>
    <row r="338" spans="1:14" x14ac:dyDescent="0.25">
      <c r="A338">
        <v>124.12835200000001</v>
      </c>
      <c r="B338" s="1">
        <f>DATE(2010,9,2) + TIME(3,4,49)</f>
        <v>40423.128344907411</v>
      </c>
      <c r="C338">
        <v>2400</v>
      </c>
      <c r="D338">
        <v>0</v>
      </c>
      <c r="E338">
        <v>0</v>
      </c>
      <c r="F338">
        <v>2400</v>
      </c>
      <c r="G338">
        <v>1384.6705322</v>
      </c>
      <c r="H338">
        <v>1370.8280029</v>
      </c>
      <c r="I338">
        <v>1252.8106689000001</v>
      </c>
      <c r="J338">
        <v>1213.0093993999999</v>
      </c>
      <c r="K338">
        <v>80</v>
      </c>
      <c r="L338">
        <v>79.915786742999998</v>
      </c>
      <c r="M338">
        <v>50</v>
      </c>
      <c r="N338">
        <v>15.001332283</v>
      </c>
    </row>
    <row r="339" spans="1:14" x14ac:dyDescent="0.25">
      <c r="A339">
        <v>124.692528</v>
      </c>
      <c r="B339" s="1">
        <f>DATE(2010,9,2) + TIME(16,37,14)</f>
        <v>40423.692523148151</v>
      </c>
      <c r="C339">
        <v>2400</v>
      </c>
      <c r="D339">
        <v>0</v>
      </c>
      <c r="E339">
        <v>0</v>
      </c>
      <c r="F339">
        <v>2400</v>
      </c>
      <c r="G339">
        <v>1384.6383057</v>
      </c>
      <c r="H339">
        <v>1370.7954102000001</v>
      </c>
      <c r="I339">
        <v>1252.8278809000001</v>
      </c>
      <c r="J339">
        <v>1213.0257568</v>
      </c>
      <c r="K339">
        <v>80</v>
      </c>
      <c r="L339">
        <v>79.915863036999994</v>
      </c>
      <c r="M339">
        <v>50</v>
      </c>
      <c r="N339">
        <v>15.001548766999999</v>
      </c>
    </row>
    <row r="340" spans="1:14" x14ac:dyDescent="0.25">
      <c r="A340">
        <v>125.256704</v>
      </c>
      <c r="B340" s="1">
        <f>DATE(2010,9,3) + TIME(6,9,39)</f>
        <v>40424.256701388891</v>
      </c>
      <c r="C340">
        <v>2400</v>
      </c>
      <c r="D340">
        <v>0</v>
      </c>
      <c r="E340">
        <v>0</v>
      </c>
      <c r="F340">
        <v>2400</v>
      </c>
      <c r="G340">
        <v>1384.6062012</v>
      </c>
      <c r="H340">
        <v>1370.7629394999999</v>
      </c>
      <c r="I340">
        <v>1252.8453368999999</v>
      </c>
      <c r="J340">
        <v>1213.0423584</v>
      </c>
      <c r="K340">
        <v>80</v>
      </c>
      <c r="L340">
        <v>79.915946959999999</v>
      </c>
      <c r="M340">
        <v>50</v>
      </c>
      <c r="N340">
        <v>15.001775742</v>
      </c>
    </row>
    <row r="341" spans="1:14" x14ac:dyDescent="0.25">
      <c r="A341">
        <v>125.82088</v>
      </c>
      <c r="B341" s="1">
        <f>DATE(2010,9,3) + TIME(19,42,4)</f>
        <v>40424.820879629631</v>
      </c>
      <c r="C341">
        <v>2400</v>
      </c>
      <c r="D341">
        <v>0</v>
      </c>
      <c r="E341">
        <v>0</v>
      </c>
      <c r="F341">
        <v>2400</v>
      </c>
      <c r="G341">
        <v>1384.5742187999999</v>
      </c>
      <c r="H341">
        <v>1370.7305908000001</v>
      </c>
      <c r="I341">
        <v>1252.862793</v>
      </c>
      <c r="J341">
        <v>1213.0589600000001</v>
      </c>
      <c r="K341">
        <v>80</v>
      </c>
      <c r="L341">
        <v>79.916023253999995</v>
      </c>
      <c r="M341">
        <v>50</v>
      </c>
      <c r="N341">
        <v>15.002016068</v>
      </c>
    </row>
    <row r="342" spans="1:14" x14ac:dyDescent="0.25">
      <c r="A342">
        <v>126.38505600000001</v>
      </c>
      <c r="B342" s="1">
        <f>DATE(2010,9,4) + TIME(9,14,28)</f>
        <v>40425.385046296295</v>
      </c>
      <c r="C342">
        <v>2400</v>
      </c>
      <c r="D342">
        <v>0</v>
      </c>
      <c r="E342">
        <v>0</v>
      </c>
      <c r="F342">
        <v>2400</v>
      </c>
      <c r="G342">
        <v>1384.5422363</v>
      </c>
      <c r="H342">
        <v>1370.6983643000001</v>
      </c>
      <c r="I342">
        <v>1252.8804932</v>
      </c>
      <c r="J342">
        <v>1213.0758057</v>
      </c>
      <c r="K342">
        <v>80</v>
      </c>
      <c r="L342">
        <v>79.916099548000005</v>
      </c>
      <c r="M342">
        <v>50</v>
      </c>
      <c r="N342">
        <v>15.002271651999999</v>
      </c>
    </row>
    <row r="343" spans="1:14" x14ac:dyDescent="0.25">
      <c r="A343">
        <v>126.94923199999999</v>
      </c>
      <c r="B343" s="1">
        <f>DATE(2010,9,4) + TIME(22,46,53)</f>
        <v>40425.949224537035</v>
      </c>
      <c r="C343">
        <v>2400</v>
      </c>
      <c r="D343">
        <v>0</v>
      </c>
      <c r="E343">
        <v>0</v>
      </c>
      <c r="F343">
        <v>2400</v>
      </c>
      <c r="G343">
        <v>1384.5104980000001</v>
      </c>
      <c r="H343">
        <v>1370.6661377</v>
      </c>
      <c r="I343">
        <v>1252.8983154</v>
      </c>
      <c r="J343">
        <v>1213.0927733999999</v>
      </c>
      <c r="K343">
        <v>80</v>
      </c>
      <c r="L343">
        <v>79.916175842000001</v>
      </c>
      <c r="M343">
        <v>50</v>
      </c>
      <c r="N343">
        <v>15.002545357000001</v>
      </c>
    </row>
    <row r="344" spans="1:14" x14ac:dyDescent="0.25">
      <c r="A344">
        <v>127.513408</v>
      </c>
      <c r="B344" s="1">
        <f>DATE(2010,9,5) + TIME(12,19,18)</f>
        <v>40426.513402777775</v>
      </c>
      <c r="C344">
        <v>2400</v>
      </c>
      <c r="D344">
        <v>0</v>
      </c>
      <c r="E344">
        <v>0</v>
      </c>
      <c r="F344">
        <v>2400</v>
      </c>
      <c r="G344">
        <v>1384.4788818</v>
      </c>
      <c r="H344">
        <v>1370.6341553</v>
      </c>
      <c r="I344">
        <v>1252.9162598</v>
      </c>
      <c r="J344">
        <v>1213.1098632999999</v>
      </c>
      <c r="K344">
        <v>80</v>
      </c>
      <c r="L344">
        <v>79.916252135999997</v>
      </c>
      <c r="M344">
        <v>50</v>
      </c>
      <c r="N344">
        <v>15.002839088</v>
      </c>
    </row>
    <row r="345" spans="1:14" x14ac:dyDescent="0.25">
      <c r="A345">
        <v>128.077584</v>
      </c>
      <c r="B345" s="1">
        <f>DATE(2010,9,6) + TIME(1,51,43)</f>
        <v>40427.077581018515</v>
      </c>
      <c r="C345">
        <v>2400</v>
      </c>
      <c r="D345">
        <v>0</v>
      </c>
      <c r="E345">
        <v>0</v>
      </c>
      <c r="F345">
        <v>2400</v>
      </c>
      <c r="G345">
        <v>1384.4472656</v>
      </c>
      <c r="H345">
        <v>1370.6022949000001</v>
      </c>
      <c r="I345">
        <v>1252.9344481999999</v>
      </c>
      <c r="J345">
        <v>1213.1271973</v>
      </c>
      <c r="K345">
        <v>80</v>
      </c>
      <c r="L345">
        <v>79.916328429999993</v>
      </c>
      <c r="M345">
        <v>50</v>
      </c>
      <c r="N345">
        <v>15.003153801</v>
      </c>
    </row>
    <row r="346" spans="1:14" x14ac:dyDescent="0.25">
      <c r="A346">
        <v>128.64176</v>
      </c>
      <c r="B346" s="1">
        <f>DATE(2010,9,6) + TIME(15,24,8)</f>
        <v>40427.641759259262</v>
      </c>
      <c r="C346">
        <v>2400</v>
      </c>
      <c r="D346">
        <v>0</v>
      </c>
      <c r="E346">
        <v>0</v>
      </c>
      <c r="F346">
        <v>2400</v>
      </c>
      <c r="G346">
        <v>1384.4158935999999</v>
      </c>
      <c r="H346">
        <v>1370.5704346</v>
      </c>
      <c r="I346">
        <v>1252.9526367000001</v>
      </c>
      <c r="J346">
        <v>1213.1445312000001</v>
      </c>
      <c r="K346">
        <v>80</v>
      </c>
      <c r="L346">
        <v>79.916404724000003</v>
      </c>
      <c r="M346">
        <v>50</v>
      </c>
      <c r="N346">
        <v>15.003491402</v>
      </c>
    </row>
    <row r="347" spans="1:14" x14ac:dyDescent="0.25">
      <c r="A347">
        <v>129.77011200000001</v>
      </c>
      <c r="B347" s="1">
        <f>DATE(2010,9,7) + TIME(18,28,57)</f>
        <v>40428.770104166666</v>
      </c>
      <c r="C347">
        <v>2400</v>
      </c>
      <c r="D347">
        <v>0</v>
      </c>
      <c r="E347">
        <v>0</v>
      </c>
      <c r="F347">
        <v>2400</v>
      </c>
      <c r="G347">
        <v>1384.3850098</v>
      </c>
      <c r="H347">
        <v>1370.5391846</v>
      </c>
      <c r="I347">
        <v>1252.9714355000001</v>
      </c>
      <c r="J347">
        <v>1213.1625977000001</v>
      </c>
      <c r="K347">
        <v>80</v>
      </c>
      <c r="L347">
        <v>79.916557311999995</v>
      </c>
      <c r="M347">
        <v>50</v>
      </c>
      <c r="N347">
        <v>15.004011154000001</v>
      </c>
    </row>
    <row r="348" spans="1:14" x14ac:dyDescent="0.25">
      <c r="A348">
        <v>130.899394</v>
      </c>
      <c r="B348" s="1">
        <f>DATE(2010,9,8) + TIME(21,35,7)</f>
        <v>40429.899386574078</v>
      </c>
      <c r="C348">
        <v>2400</v>
      </c>
      <c r="D348">
        <v>0</v>
      </c>
      <c r="E348">
        <v>0</v>
      </c>
      <c r="F348">
        <v>2400</v>
      </c>
      <c r="G348">
        <v>1384.3229980000001</v>
      </c>
      <c r="H348">
        <v>1370.4764404</v>
      </c>
      <c r="I348">
        <v>1253.0085449000001</v>
      </c>
      <c r="J348">
        <v>1213.1977539</v>
      </c>
      <c r="K348">
        <v>80</v>
      </c>
      <c r="L348">
        <v>79.916709900000001</v>
      </c>
      <c r="M348">
        <v>50</v>
      </c>
      <c r="N348">
        <v>15.004720688000001</v>
      </c>
    </row>
    <row r="349" spans="1:14" x14ac:dyDescent="0.25">
      <c r="A349">
        <v>132.04580300000001</v>
      </c>
      <c r="B349" s="1">
        <f>DATE(2010,9,10) + TIME(1,5,57)</f>
        <v>40431.045798611114</v>
      </c>
      <c r="C349">
        <v>2400</v>
      </c>
      <c r="D349">
        <v>0</v>
      </c>
      <c r="E349">
        <v>0</v>
      </c>
      <c r="F349">
        <v>2400</v>
      </c>
      <c r="G349">
        <v>1384.2611084</v>
      </c>
      <c r="H349">
        <v>1370.4138184000001</v>
      </c>
      <c r="I349">
        <v>1253.0463867000001</v>
      </c>
      <c r="J349">
        <v>1213.2338867000001</v>
      </c>
      <c r="K349">
        <v>80</v>
      </c>
      <c r="L349">
        <v>79.916862488000007</v>
      </c>
      <c r="M349">
        <v>50</v>
      </c>
      <c r="N349">
        <v>15.005588531000001</v>
      </c>
    </row>
    <row r="350" spans="1:14" x14ac:dyDescent="0.25">
      <c r="A350">
        <v>132.628692</v>
      </c>
      <c r="B350" s="1">
        <f>DATE(2010,9,10) + TIME(15,5,18)</f>
        <v>40431.628680555557</v>
      </c>
      <c r="C350">
        <v>2400</v>
      </c>
      <c r="D350">
        <v>0</v>
      </c>
      <c r="E350">
        <v>0</v>
      </c>
      <c r="F350">
        <v>2400</v>
      </c>
      <c r="G350">
        <v>1384.1984863</v>
      </c>
      <c r="H350">
        <v>1370.3504639</v>
      </c>
      <c r="I350">
        <v>1253.0850829999999</v>
      </c>
      <c r="J350">
        <v>1213.2706298999999</v>
      </c>
      <c r="K350">
        <v>80</v>
      </c>
      <c r="L350">
        <v>79.916938782000003</v>
      </c>
      <c r="M350">
        <v>50</v>
      </c>
      <c r="N350">
        <v>15.006309508999999</v>
      </c>
    </row>
    <row r="351" spans="1:14" x14ac:dyDescent="0.25">
      <c r="A351">
        <v>133.21158</v>
      </c>
      <c r="B351" s="1">
        <f>DATE(2010,9,11) + TIME(5,4,40)</f>
        <v>40432.211574074077</v>
      </c>
      <c r="C351">
        <v>2400</v>
      </c>
      <c r="D351">
        <v>0</v>
      </c>
      <c r="E351">
        <v>0</v>
      </c>
      <c r="F351">
        <v>2400</v>
      </c>
      <c r="G351">
        <v>1384.1662598</v>
      </c>
      <c r="H351">
        <v>1370.3179932</v>
      </c>
      <c r="I351">
        <v>1253.1054687999999</v>
      </c>
      <c r="J351">
        <v>1213.2902832</v>
      </c>
      <c r="K351">
        <v>80</v>
      </c>
      <c r="L351">
        <v>79.917022704999994</v>
      </c>
      <c r="M351">
        <v>50</v>
      </c>
      <c r="N351">
        <v>15.007006645000001</v>
      </c>
    </row>
    <row r="352" spans="1:14" x14ac:dyDescent="0.25">
      <c r="A352">
        <v>133.79446899999999</v>
      </c>
      <c r="B352" s="1">
        <f>DATE(2010,9,11) + TIME(19,4,2)</f>
        <v>40432.79446759259</v>
      </c>
      <c r="C352">
        <v>2400</v>
      </c>
      <c r="D352">
        <v>0</v>
      </c>
      <c r="E352">
        <v>0</v>
      </c>
      <c r="F352">
        <v>2400</v>
      </c>
      <c r="G352">
        <v>1384.1347656</v>
      </c>
      <c r="H352">
        <v>1370.2860106999999</v>
      </c>
      <c r="I352">
        <v>1253.1259766000001</v>
      </c>
      <c r="J352">
        <v>1213.3099365</v>
      </c>
      <c r="K352">
        <v>80</v>
      </c>
      <c r="L352">
        <v>79.917098999000004</v>
      </c>
      <c r="M352">
        <v>50</v>
      </c>
      <c r="N352">
        <v>15.007708549</v>
      </c>
    </row>
    <row r="353" spans="1:14" x14ac:dyDescent="0.25">
      <c r="A353">
        <v>134.37735799999999</v>
      </c>
      <c r="B353" s="1">
        <f>DATE(2010,9,12) + TIME(9,3,23)</f>
        <v>40433.377349537041</v>
      </c>
      <c r="C353">
        <v>2400</v>
      </c>
      <c r="D353">
        <v>0</v>
      </c>
      <c r="E353">
        <v>0</v>
      </c>
      <c r="F353">
        <v>2400</v>
      </c>
      <c r="G353">
        <v>1384.1033935999999</v>
      </c>
      <c r="H353">
        <v>1370.2541504000001</v>
      </c>
      <c r="I353">
        <v>1253.1466064000001</v>
      </c>
      <c r="J353">
        <v>1213.3297118999999</v>
      </c>
      <c r="K353">
        <v>80</v>
      </c>
      <c r="L353">
        <v>79.917175293</v>
      </c>
      <c r="M353">
        <v>50</v>
      </c>
      <c r="N353">
        <v>15.008433342</v>
      </c>
    </row>
    <row r="354" spans="1:14" x14ac:dyDescent="0.25">
      <c r="A354">
        <v>134.96024700000001</v>
      </c>
      <c r="B354" s="1">
        <f>DATE(2010,9,12) + TIME(23,2,45)</f>
        <v>40433.960243055553</v>
      </c>
      <c r="C354">
        <v>2400</v>
      </c>
      <c r="D354">
        <v>0</v>
      </c>
      <c r="E354">
        <v>0</v>
      </c>
      <c r="F354">
        <v>2400</v>
      </c>
      <c r="G354">
        <v>1384.0720214999999</v>
      </c>
      <c r="H354">
        <v>1370.2225341999999</v>
      </c>
      <c r="I354">
        <v>1253.1674805</v>
      </c>
      <c r="J354">
        <v>1213.3497314000001</v>
      </c>
      <c r="K354">
        <v>80</v>
      </c>
      <c r="L354">
        <v>79.917251586999996</v>
      </c>
      <c r="M354">
        <v>50</v>
      </c>
      <c r="N354">
        <v>15.009194374</v>
      </c>
    </row>
    <row r="355" spans="1:14" x14ac:dyDescent="0.25">
      <c r="A355">
        <v>135.543136</v>
      </c>
      <c r="B355" s="1">
        <f>DATE(2010,9,13) + TIME(13,2,6)</f>
        <v>40434.543124999997</v>
      </c>
      <c r="C355">
        <v>2400</v>
      </c>
      <c r="D355">
        <v>0</v>
      </c>
      <c r="E355">
        <v>0</v>
      </c>
      <c r="F355">
        <v>2400</v>
      </c>
      <c r="G355">
        <v>1384.0407714999999</v>
      </c>
      <c r="H355">
        <v>1370.190918</v>
      </c>
      <c r="I355">
        <v>1253.1885986</v>
      </c>
      <c r="J355">
        <v>1213.3699951000001</v>
      </c>
      <c r="K355">
        <v>80</v>
      </c>
      <c r="L355">
        <v>79.917335510000001</v>
      </c>
      <c r="M355">
        <v>50</v>
      </c>
      <c r="N355">
        <v>15.009999275</v>
      </c>
    </row>
    <row r="356" spans="1:14" x14ac:dyDescent="0.25">
      <c r="A356">
        <v>136.126025</v>
      </c>
      <c r="B356" s="1">
        <f>DATE(2010,9,14) + TIME(3,1,28)</f>
        <v>40435.126018518517</v>
      </c>
      <c r="C356">
        <v>2400</v>
      </c>
      <c r="D356">
        <v>0</v>
      </c>
      <c r="E356">
        <v>0</v>
      </c>
      <c r="F356">
        <v>2400</v>
      </c>
      <c r="G356">
        <v>1384.0096435999999</v>
      </c>
      <c r="H356">
        <v>1370.1593018000001</v>
      </c>
      <c r="I356">
        <v>1253.2099608999999</v>
      </c>
      <c r="J356">
        <v>1213.3905029</v>
      </c>
      <c r="K356">
        <v>80</v>
      </c>
      <c r="L356">
        <v>79.917411803999997</v>
      </c>
      <c r="M356">
        <v>50</v>
      </c>
      <c r="N356">
        <v>15.010854720999999</v>
      </c>
    </row>
    <row r="357" spans="1:14" x14ac:dyDescent="0.25">
      <c r="A357">
        <v>136.708913</v>
      </c>
      <c r="B357" s="1">
        <f>DATE(2010,9,14) + TIME(17,0,50)</f>
        <v>40435.708912037036</v>
      </c>
      <c r="C357">
        <v>2400</v>
      </c>
      <c r="D357">
        <v>0</v>
      </c>
      <c r="E357">
        <v>0</v>
      </c>
      <c r="F357">
        <v>2400</v>
      </c>
      <c r="G357">
        <v>1383.9786377</v>
      </c>
      <c r="H357">
        <v>1370.1279297000001</v>
      </c>
      <c r="I357">
        <v>1253.2314452999999</v>
      </c>
      <c r="J357">
        <v>1213.4111327999999</v>
      </c>
      <c r="K357">
        <v>80</v>
      </c>
      <c r="L357">
        <v>79.917488098000007</v>
      </c>
      <c r="M357">
        <v>50</v>
      </c>
      <c r="N357">
        <v>15.011767387000001</v>
      </c>
    </row>
    <row r="358" spans="1:14" x14ac:dyDescent="0.25">
      <c r="A358">
        <v>137.29086599999999</v>
      </c>
      <c r="B358" s="1">
        <f>DATE(2010,9,15) + TIME(6,58,50)</f>
        <v>40436.290856481479</v>
      </c>
      <c r="C358">
        <v>2400</v>
      </c>
      <c r="D358">
        <v>0</v>
      </c>
      <c r="E358">
        <v>0</v>
      </c>
      <c r="F358">
        <v>2400</v>
      </c>
      <c r="G358">
        <v>1383.9477539</v>
      </c>
      <c r="H358">
        <v>1370.0965576000001</v>
      </c>
      <c r="I358">
        <v>1253.2532959</v>
      </c>
      <c r="J358">
        <v>1213.4321289</v>
      </c>
      <c r="K358">
        <v>80</v>
      </c>
      <c r="L358">
        <v>79.917564392000003</v>
      </c>
      <c r="M358">
        <v>50</v>
      </c>
      <c r="N358">
        <v>15.012741089</v>
      </c>
    </row>
    <row r="359" spans="1:14" x14ac:dyDescent="0.25">
      <c r="A359">
        <v>137.87152800000001</v>
      </c>
      <c r="B359" s="1">
        <f>DATE(2010,9,15) + TIME(20,55,0)</f>
        <v>40436.871527777781</v>
      </c>
      <c r="C359">
        <v>2400</v>
      </c>
      <c r="D359">
        <v>0</v>
      </c>
      <c r="E359">
        <v>0</v>
      </c>
      <c r="F359">
        <v>2400</v>
      </c>
      <c r="G359">
        <v>1383.9169922000001</v>
      </c>
      <c r="H359">
        <v>1370.0654297000001</v>
      </c>
      <c r="I359">
        <v>1253.2752685999999</v>
      </c>
      <c r="J359">
        <v>1213.4532471</v>
      </c>
      <c r="K359">
        <v>80</v>
      </c>
      <c r="L359">
        <v>79.917640685999999</v>
      </c>
      <c r="M359">
        <v>50</v>
      </c>
      <c r="N359">
        <v>15.013778687</v>
      </c>
    </row>
    <row r="360" spans="1:14" x14ac:dyDescent="0.25">
      <c r="A360">
        <v>138.45106200000001</v>
      </c>
      <c r="B360" s="1">
        <f>DATE(2010,9,16) + TIME(10,49,31)</f>
        <v>40437.451053240744</v>
      </c>
      <c r="C360">
        <v>2400</v>
      </c>
      <c r="D360">
        <v>0</v>
      </c>
      <c r="E360">
        <v>0</v>
      </c>
      <c r="F360">
        <v>2400</v>
      </c>
      <c r="G360">
        <v>1383.8863524999999</v>
      </c>
      <c r="H360">
        <v>1370.0343018000001</v>
      </c>
      <c r="I360">
        <v>1253.2973632999999</v>
      </c>
      <c r="J360">
        <v>1213.4746094</v>
      </c>
      <c r="K360">
        <v>80</v>
      </c>
      <c r="L360">
        <v>79.917716979999994</v>
      </c>
      <c r="M360">
        <v>50</v>
      </c>
      <c r="N360">
        <v>15.014884949000001</v>
      </c>
    </row>
    <row r="361" spans="1:14" x14ac:dyDescent="0.25">
      <c r="A361">
        <v>139.02960999999999</v>
      </c>
      <c r="B361" s="1">
        <f>DATE(2010,9,17) + TIME(0,42,38)</f>
        <v>40438.029606481483</v>
      </c>
      <c r="C361">
        <v>2400</v>
      </c>
      <c r="D361">
        <v>0</v>
      </c>
      <c r="E361">
        <v>0</v>
      </c>
      <c r="F361">
        <v>2400</v>
      </c>
      <c r="G361">
        <v>1383.8558350000001</v>
      </c>
      <c r="H361">
        <v>1370.003418</v>
      </c>
      <c r="I361">
        <v>1253.3197021000001</v>
      </c>
      <c r="J361">
        <v>1213.4962158000001</v>
      </c>
      <c r="K361">
        <v>80</v>
      </c>
      <c r="L361">
        <v>79.917793274000005</v>
      </c>
      <c r="M361">
        <v>50</v>
      </c>
      <c r="N361">
        <v>15.016064644</v>
      </c>
    </row>
    <row r="362" spans="1:14" x14ac:dyDescent="0.25">
      <c r="A362">
        <v>139.60733099999999</v>
      </c>
      <c r="B362" s="1">
        <f>DATE(2010,9,17) + TIME(14,34,33)</f>
        <v>40438.60732638889</v>
      </c>
      <c r="C362">
        <v>2400</v>
      </c>
      <c r="D362">
        <v>0</v>
      </c>
      <c r="E362">
        <v>0</v>
      </c>
      <c r="F362">
        <v>2400</v>
      </c>
      <c r="G362">
        <v>1383.8255615</v>
      </c>
      <c r="H362">
        <v>1369.9726562000001</v>
      </c>
      <c r="I362">
        <v>1253.3422852000001</v>
      </c>
      <c r="J362">
        <v>1213.5179443</v>
      </c>
      <c r="K362">
        <v>80</v>
      </c>
      <c r="L362">
        <v>79.917869568</v>
      </c>
      <c r="M362">
        <v>50</v>
      </c>
      <c r="N362">
        <v>15.01732254</v>
      </c>
    </row>
    <row r="363" spans="1:14" x14ac:dyDescent="0.25">
      <c r="A363">
        <v>140.76147900000001</v>
      </c>
      <c r="B363" s="1">
        <f>DATE(2010,9,18) + TIME(18,16,31)</f>
        <v>40439.761469907404</v>
      </c>
      <c r="C363">
        <v>2400</v>
      </c>
      <c r="D363">
        <v>0</v>
      </c>
      <c r="E363">
        <v>0</v>
      </c>
      <c r="F363">
        <v>2400</v>
      </c>
      <c r="G363">
        <v>1383.7957764</v>
      </c>
      <c r="H363">
        <v>1369.9425048999999</v>
      </c>
      <c r="I363">
        <v>1253.3652344</v>
      </c>
      <c r="J363">
        <v>1213.5406493999999</v>
      </c>
      <c r="K363">
        <v>80</v>
      </c>
      <c r="L363">
        <v>79.918022156000006</v>
      </c>
      <c r="M363">
        <v>50</v>
      </c>
      <c r="N363">
        <v>15.019239426</v>
      </c>
    </row>
    <row r="364" spans="1:14" x14ac:dyDescent="0.25">
      <c r="A364">
        <v>141.916369</v>
      </c>
      <c r="B364" s="1">
        <f>DATE(2010,9,19) + TIME(21,59,34)</f>
        <v>40440.916365740741</v>
      </c>
      <c r="C364">
        <v>2400</v>
      </c>
      <c r="D364">
        <v>0</v>
      </c>
      <c r="E364">
        <v>0</v>
      </c>
      <c r="F364">
        <v>2400</v>
      </c>
      <c r="G364">
        <v>1383.7360839999999</v>
      </c>
      <c r="H364">
        <v>1369.8819579999999</v>
      </c>
      <c r="I364">
        <v>1253.4111327999999</v>
      </c>
      <c r="J364">
        <v>1213.5849608999999</v>
      </c>
      <c r="K364">
        <v>80</v>
      </c>
      <c r="L364">
        <v>79.918167113999999</v>
      </c>
      <c r="M364">
        <v>50</v>
      </c>
      <c r="N364">
        <v>15.021842957</v>
      </c>
    </row>
    <row r="365" spans="1:14" x14ac:dyDescent="0.25">
      <c r="A365">
        <v>143.09089299999999</v>
      </c>
      <c r="B365" s="1">
        <f>DATE(2010,9,21) + TIME(2,10,53)</f>
        <v>40442.090891203705</v>
      </c>
      <c r="C365">
        <v>2400</v>
      </c>
      <c r="D365">
        <v>0</v>
      </c>
      <c r="E365">
        <v>0</v>
      </c>
      <c r="F365">
        <v>2400</v>
      </c>
      <c r="G365">
        <v>1383.6763916</v>
      </c>
      <c r="H365">
        <v>1369.8212891000001</v>
      </c>
      <c r="I365">
        <v>1253.4582519999999</v>
      </c>
      <c r="J365">
        <v>1213.6306152</v>
      </c>
      <c r="K365">
        <v>80</v>
      </c>
      <c r="L365">
        <v>79.918319702000005</v>
      </c>
      <c r="M365">
        <v>50</v>
      </c>
      <c r="N365">
        <v>15.024998665</v>
      </c>
    </row>
    <row r="366" spans="1:14" x14ac:dyDescent="0.25">
      <c r="A366">
        <v>143.68623299999999</v>
      </c>
      <c r="B366" s="1">
        <f>DATE(2010,9,21) + TIME(16,28,10)</f>
        <v>40442.686226851853</v>
      </c>
      <c r="C366">
        <v>2400</v>
      </c>
      <c r="D366">
        <v>0</v>
      </c>
      <c r="E366">
        <v>0</v>
      </c>
      <c r="F366">
        <v>2400</v>
      </c>
      <c r="G366">
        <v>1383.6158447</v>
      </c>
      <c r="H366">
        <v>1369.7600098</v>
      </c>
      <c r="I366">
        <v>1253.5069579999999</v>
      </c>
      <c r="J366">
        <v>1213.6773682</v>
      </c>
      <c r="K366">
        <v>80</v>
      </c>
      <c r="L366">
        <v>79.918395996000001</v>
      </c>
      <c r="M366">
        <v>50</v>
      </c>
      <c r="N366">
        <v>15.027597427</v>
      </c>
    </row>
    <row r="367" spans="1:14" x14ac:dyDescent="0.25">
      <c r="A367">
        <v>144.27527699999999</v>
      </c>
      <c r="B367" s="1">
        <f>DATE(2010,9,22) + TIME(6,36,23)</f>
        <v>40443.275266203702</v>
      </c>
      <c r="C367">
        <v>2400</v>
      </c>
      <c r="D367">
        <v>0</v>
      </c>
      <c r="E367">
        <v>0</v>
      </c>
      <c r="F367">
        <v>2400</v>
      </c>
      <c r="G367">
        <v>1383.5848389</v>
      </c>
      <c r="H367">
        <v>1369.7283935999999</v>
      </c>
      <c r="I367">
        <v>1253.5324707</v>
      </c>
      <c r="J367">
        <v>1213.7026367000001</v>
      </c>
      <c r="K367">
        <v>80</v>
      </c>
      <c r="L367">
        <v>79.918472289999997</v>
      </c>
      <c r="M367">
        <v>50</v>
      </c>
      <c r="N367">
        <v>15.030070305000001</v>
      </c>
    </row>
    <row r="368" spans="1:14" x14ac:dyDescent="0.25">
      <c r="A368">
        <v>144.86379700000001</v>
      </c>
      <c r="B368" s="1">
        <f>DATE(2010,9,22) + TIME(20,43,52)</f>
        <v>40443.863796296297</v>
      </c>
      <c r="C368">
        <v>2400</v>
      </c>
      <c r="D368">
        <v>0</v>
      </c>
      <c r="E368">
        <v>0</v>
      </c>
      <c r="F368">
        <v>2400</v>
      </c>
      <c r="G368">
        <v>1383.5546875</v>
      </c>
      <c r="H368">
        <v>1369.697876</v>
      </c>
      <c r="I368">
        <v>1253.5579834</v>
      </c>
      <c r="J368">
        <v>1213.7277832</v>
      </c>
      <c r="K368">
        <v>80</v>
      </c>
      <c r="L368">
        <v>79.918556213000002</v>
      </c>
      <c r="M368">
        <v>50</v>
      </c>
      <c r="N368">
        <v>15.032535553000001</v>
      </c>
    </row>
    <row r="369" spans="1:14" x14ac:dyDescent="0.25">
      <c r="A369">
        <v>145.45142300000001</v>
      </c>
      <c r="B369" s="1">
        <f>DATE(2010,9,23) + TIME(10,50,2)</f>
        <v>40444.451412037037</v>
      </c>
      <c r="C369">
        <v>2400</v>
      </c>
      <c r="D369">
        <v>0</v>
      </c>
      <c r="E369">
        <v>0</v>
      </c>
      <c r="F369">
        <v>2400</v>
      </c>
      <c r="G369">
        <v>1383.5246582</v>
      </c>
      <c r="H369">
        <v>1369.6673584</v>
      </c>
      <c r="I369">
        <v>1253.5836182</v>
      </c>
      <c r="J369">
        <v>1213.7531738</v>
      </c>
      <c r="K369">
        <v>80</v>
      </c>
      <c r="L369">
        <v>79.918632506999998</v>
      </c>
      <c r="M369">
        <v>50</v>
      </c>
      <c r="N369">
        <v>15.035058021999999</v>
      </c>
    </row>
    <row r="370" spans="1:14" x14ac:dyDescent="0.25">
      <c r="A370">
        <v>146.03817900000001</v>
      </c>
      <c r="B370" s="1">
        <f>DATE(2010,9,24) + TIME(0,54,58)</f>
        <v>40445.038171296299</v>
      </c>
      <c r="C370">
        <v>2400</v>
      </c>
      <c r="D370">
        <v>0</v>
      </c>
      <c r="E370">
        <v>0</v>
      </c>
      <c r="F370">
        <v>2400</v>
      </c>
      <c r="G370">
        <v>1383.494751</v>
      </c>
      <c r="H370">
        <v>1369.6369629000001</v>
      </c>
      <c r="I370">
        <v>1253.6097411999999</v>
      </c>
      <c r="J370">
        <v>1213.7788086</v>
      </c>
      <c r="K370">
        <v>80</v>
      </c>
      <c r="L370">
        <v>79.918701171999999</v>
      </c>
      <c r="M370">
        <v>50</v>
      </c>
      <c r="N370">
        <v>15.037679671999999</v>
      </c>
    </row>
    <row r="371" spans="1:14" x14ac:dyDescent="0.25">
      <c r="A371">
        <v>146.62409</v>
      </c>
      <c r="B371" s="1">
        <f>DATE(2010,9,24) + TIME(14,58,41)</f>
        <v>40445.624085648145</v>
      </c>
      <c r="C371">
        <v>2400</v>
      </c>
      <c r="D371">
        <v>0</v>
      </c>
      <c r="E371">
        <v>0</v>
      </c>
      <c r="F371">
        <v>2400</v>
      </c>
      <c r="G371">
        <v>1383.4649658000001</v>
      </c>
      <c r="H371">
        <v>1369.6066894999999</v>
      </c>
      <c r="I371">
        <v>1253.6359863</v>
      </c>
      <c r="J371">
        <v>1213.8049315999999</v>
      </c>
      <c r="K371">
        <v>80</v>
      </c>
      <c r="L371">
        <v>79.918777465999995</v>
      </c>
      <c r="M371">
        <v>50</v>
      </c>
      <c r="N371">
        <v>15.040429115</v>
      </c>
    </row>
    <row r="372" spans="1:14" x14ac:dyDescent="0.25">
      <c r="A372">
        <v>147.20920899999999</v>
      </c>
      <c r="B372" s="1">
        <f>DATE(2010,9,25) + TIME(5,1,15)</f>
        <v>40446.209201388891</v>
      </c>
      <c r="C372">
        <v>2400</v>
      </c>
      <c r="D372">
        <v>0</v>
      </c>
      <c r="E372">
        <v>0</v>
      </c>
      <c r="F372">
        <v>2400</v>
      </c>
      <c r="G372">
        <v>1383.4353027</v>
      </c>
      <c r="H372">
        <v>1369.5766602000001</v>
      </c>
      <c r="I372">
        <v>1253.6627197</v>
      </c>
      <c r="J372">
        <v>1213.8312988</v>
      </c>
      <c r="K372">
        <v>80</v>
      </c>
      <c r="L372">
        <v>79.918853760000005</v>
      </c>
      <c r="M372">
        <v>50</v>
      </c>
      <c r="N372">
        <v>15.043328284999999</v>
      </c>
    </row>
    <row r="373" spans="1:14" x14ac:dyDescent="0.25">
      <c r="A373">
        <v>147.79360800000001</v>
      </c>
      <c r="B373" s="1">
        <f>DATE(2010,9,25) + TIME(19,2,47)</f>
        <v>40446.793599537035</v>
      </c>
      <c r="C373">
        <v>2400</v>
      </c>
      <c r="D373">
        <v>0</v>
      </c>
      <c r="E373">
        <v>0</v>
      </c>
      <c r="F373">
        <v>2400</v>
      </c>
      <c r="G373">
        <v>1383.4057617000001</v>
      </c>
      <c r="H373">
        <v>1369.5466309000001</v>
      </c>
      <c r="I373">
        <v>1253.6895752</v>
      </c>
      <c r="J373">
        <v>1213.8581543</v>
      </c>
      <c r="K373">
        <v>80</v>
      </c>
      <c r="L373">
        <v>79.918930054</v>
      </c>
      <c r="M373">
        <v>50</v>
      </c>
      <c r="N373">
        <v>15.046394348</v>
      </c>
    </row>
    <row r="374" spans="1:14" x14ac:dyDescent="0.25">
      <c r="A374">
        <v>148.961162</v>
      </c>
      <c r="B374" s="1">
        <f>DATE(2010,9,26) + TIME(23,4,4)</f>
        <v>40447.961157407408</v>
      </c>
      <c r="C374">
        <v>2400</v>
      </c>
      <c r="D374">
        <v>0</v>
      </c>
      <c r="E374">
        <v>0</v>
      </c>
      <c r="F374">
        <v>2400</v>
      </c>
      <c r="G374">
        <v>1383.3767089999999</v>
      </c>
      <c r="H374">
        <v>1369.5169678</v>
      </c>
      <c r="I374">
        <v>1253.7167969</v>
      </c>
      <c r="J374">
        <v>1213.8863524999999</v>
      </c>
      <c r="K374">
        <v>80</v>
      </c>
      <c r="L374">
        <v>79.919082642000006</v>
      </c>
      <c r="M374">
        <v>50</v>
      </c>
      <c r="N374">
        <v>15.051029205000001</v>
      </c>
    </row>
    <row r="375" spans="1:14" x14ac:dyDescent="0.25">
      <c r="A375">
        <v>150.12937099999999</v>
      </c>
      <c r="B375" s="1">
        <f>DATE(2010,9,28) + TIME(3,6,17)</f>
        <v>40449.129363425927</v>
      </c>
      <c r="C375">
        <v>2400</v>
      </c>
      <c r="D375">
        <v>0</v>
      </c>
      <c r="E375">
        <v>0</v>
      </c>
      <c r="F375">
        <v>2400</v>
      </c>
      <c r="G375">
        <v>1383.3184814000001</v>
      </c>
      <c r="H375">
        <v>1369.4577637</v>
      </c>
      <c r="I375">
        <v>1253.7719727000001</v>
      </c>
      <c r="J375">
        <v>1213.9410399999999</v>
      </c>
      <c r="K375">
        <v>80</v>
      </c>
      <c r="L375">
        <v>79.919227599999999</v>
      </c>
      <c r="M375">
        <v>50</v>
      </c>
      <c r="N375">
        <v>15.057282448</v>
      </c>
    </row>
    <row r="376" spans="1:14" x14ac:dyDescent="0.25">
      <c r="A376">
        <v>151.31104199999999</v>
      </c>
      <c r="B376" s="1">
        <f>DATE(2010,9,29) + TIME(7,27,54)</f>
        <v>40450.311041666668</v>
      </c>
      <c r="C376">
        <v>2400</v>
      </c>
      <c r="D376">
        <v>0</v>
      </c>
      <c r="E376">
        <v>0</v>
      </c>
      <c r="F376">
        <v>2400</v>
      </c>
      <c r="G376">
        <v>1383.2602539</v>
      </c>
      <c r="H376">
        <v>1369.3985596</v>
      </c>
      <c r="I376">
        <v>1253.8287353999999</v>
      </c>
      <c r="J376">
        <v>1213.9979248</v>
      </c>
      <c r="K376">
        <v>80</v>
      </c>
      <c r="L376">
        <v>79.919380188000005</v>
      </c>
      <c r="M376">
        <v>50</v>
      </c>
      <c r="N376">
        <v>15.064787865</v>
      </c>
    </row>
    <row r="377" spans="1:14" x14ac:dyDescent="0.25">
      <c r="A377">
        <v>152.50875500000001</v>
      </c>
      <c r="B377" s="1">
        <f>DATE(2010,9,30) + TIME(12,12,36)</f>
        <v>40451.508750000001</v>
      </c>
      <c r="C377">
        <v>2400</v>
      </c>
      <c r="D377">
        <v>0</v>
      </c>
      <c r="E377">
        <v>0</v>
      </c>
      <c r="F377">
        <v>2400</v>
      </c>
      <c r="G377">
        <v>1383.2015381000001</v>
      </c>
      <c r="H377">
        <v>1369.3387451000001</v>
      </c>
      <c r="I377">
        <v>1253.8876952999999</v>
      </c>
      <c r="J377">
        <v>1214.0574951000001</v>
      </c>
      <c r="K377">
        <v>80</v>
      </c>
      <c r="L377">
        <v>79.919532775999997</v>
      </c>
      <c r="M377">
        <v>50</v>
      </c>
      <c r="N377">
        <v>15.073490143000001</v>
      </c>
    </row>
    <row r="378" spans="1:14" x14ac:dyDescent="0.25">
      <c r="A378">
        <v>153</v>
      </c>
      <c r="B378" s="1">
        <f>DATE(2010,10,1) + TIME(0,0,0)</f>
        <v>40452</v>
      </c>
      <c r="C378">
        <v>2400</v>
      </c>
      <c r="D378">
        <v>0</v>
      </c>
      <c r="E378">
        <v>0</v>
      </c>
      <c r="F378">
        <v>2400</v>
      </c>
      <c r="G378">
        <v>1383.1424560999999</v>
      </c>
      <c r="H378">
        <v>1369.2786865</v>
      </c>
      <c r="I378">
        <v>1253.9495850000001</v>
      </c>
      <c r="J378">
        <v>1214.1175536999999</v>
      </c>
      <c r="K378">
        <v>80</v>
      </c>
      <c r="L378">
        <v>79.919586182000003</v>
      </c>
      <c r="M378">
        <v>50</v>
      </c>
      <c r="N378">
        <v>15.079664230000001</v>
      </c>
    </row>
    <row r="379" spans="1:14" x14ac:dyDescent="0.25">
      <c r="A379">
        <v>153.59903</v>
      </c>
      <c r="B379" s="1">
        <f>DATE(2010,10,1) + TIME(14,22,36)</f>
        <v>40452.599027777775</v>
      </c>
      <c r="C379">
        <v>2400</v>
      </c>
      <c r="D379">
        <v>0</v>
      </c>
      <c r="E379">
        <v>0</v>
      </c>
      <c r="F379">
        <v>2400</v>
      </c>
      <c r="G379">
        <v>1383.1173096</v>
      </c>
      <c r="H379">
        <v>1369.2530518000001</v>
      </c>
      <c r="I379">
        <v>1253.9753418</v>
      </c>
      <c r="J379">
        <v>1214.1456298999999</v>
      </c>
      <c r="K379">
        <v>80</v>
      </c>
      <c r="L379">
        <v>79.919670104999994</v>
      </c>
      <c r="M379">
        <v>50</v>
      </c>
      <c r="N379">
        <v>15.086149216000001</v>
      </c>
    </row>
    <row r="380" spans="1:14" x14ac:dyDescent="0.25">
      <c r="A380">
        <v>154.77461299999999</v>
      </c>
      <c r="B380" s="1">
        <f>DATE(2010,10,2) + TIME(18,35,26)</f>
        <v>40453.774606481478</v>
      </c>
      <c r="C380">
        <v>2400</v>
      </c>
      <c r="D380">
        <v>0</v>
      </c>
      <c r="E380">
        <v>0</v>
      </c>
      <c r="F380">
        <v>2400</v>
      </c>
      <c r="G380">
        <v>1383.0882568</v>
      </c>
      <c r="H380">
        <v>1369.2233887</v>
      </c>
      <c r="I380">
        <v>1254.0065918</v>
      </c>
      <c r="J380">
        <v>1214.1804199000001</v>
      </c>
      <c r="K380">
        <v>80</v>
      </c>
      <c r="L380">
        <v>79.919815063000001</v>
      </c>
      <c r="M380">
        <v>50</v>
      </c>
      <c r="N380">
        <v>15.095220566</v>
      </c>
    </row>
    <row r="381" spans="1:14" x14ac:dyDescent="0.25">
      <c r="A381">
        <v>155.96168499999999</v>
      </c>
      <c r="B381" s="1">
        <f>DATE(2010,10,3) + TIME(23,4,49)</f>
        <v>40454.961678240739</v>
      </c>
      <c r="C381">
        <v>2400</v>
      </c>
      <c r="D381">
        <v>0</v>
      </c>
      <c r="E381">
        <v>0</v>
      </c>
      <c r="F381">
        <v>2400</v>
      </c>
      <c r="G381">
        <v>1383.0308838000001</v>
      </c>
      <c r="H381">
        <v>1369.1647949000001</v>
      </c>
      <c r="I381">
        <v>1254.0704346</v>
      </c>
      <c r="J381">
        <v>1214.2459716999999</v>
      </c>
      <c r="K381">
        <v>80</v>
      </c>
      <c r="L381">
        <v>79.919967650999993</v>
      </c>
      <c r="M381">
        <v>50</v>
      </c>
      <c r="N381">
        <v>15.106718063000001</v>
      </c>
    </row>
    <row r="382" spans="1:14" x14ac:dyDescent="0.25">
      <c r="A382">
        <v>157.150485</v>
      </c>
      <c r="B382" s="1">
        <f>DATE(2010,10,5) + TIME(3,36,41)</f>
        <v>40456.15047453704</v>
      </c>
      <c r="C382">
        <v>2400</v>
      </c>
      <c r="D382">
        <v>0</v>
      </c>
      <c r="E382">
        <v>0</v>
      </c>
      <c r="F382">
        <v>2400</v>
      </c>
      <c r="G382">
        <v>1382.9729004000001</v>
      </c>
      <c r="H382">
        <v>1369.1057129000001</v>
      </c>
      <c r="I382">
        <v>1254.1367187999999</v>
      </c>
      <c r="J382">
        <v>1214.3149414</v>
      </c>
      <c r="K382">
        <v>80</v>
      </c>
      <c r="L382">
        <v>79.920112610000004</v>
      </c>
      <c r="M382">
        <v>50</v>
      </c>
      <c r="N382">
        <v>15.120183945000001</v>
      </c>
    </row>
    <row r="383" spans="1:14" x14ac:dyDescent="0.25">
      <c r="A383">
        <v>158.344033</v>
      </c>
      <c r="B383" s="1">
        <f>DATE(2010,10,6) + TIME(8,15,24)</f>
        <v>40457.344027777777</v>
      </c>
      <c r="C383">
        <v>2400</v>
      </c>
      <c r="D383">
        <v>0</v>
      </c>
      <c r="E383">
        <v>0</v>
      </c>
      <c r="F383">
        <v>2400</v>
      </c>
      <c r="G383">
        <v>1382.9149170000001</v>
      </c>
      <c r="H383">
        <v>1369.0466309000001</v>
      </c>
      <c r="I383">
        <v>1254.2050781</v>
      </c>
      <c r="J383">
        <v>1214.3870850000001</v>
      </c>
      <c r="K383">
        <v>80</v>
      </c>
      <c r="L383">
        <v>79.920265197999996</v>
      </c>
      <c r="M383">
        <v>50</v>
      </c>
      <c r="N383">
        <v>15.135517119999999</v>
      </c>
    </row>
    <row r="384" spans="1:14" x14ac:dyDescent="0.25">
      <c r="A384">
        <v>158.94465400000001</v>
      </c>
      <c r="B384" s="1">
        <f>DATE(2010,10,6) + TIME(22,40,18)</f>
        <v>40457.944652777776</v>
      </c>
      <c r="C384">
        <v>2400</v>
      </c>
      <c r="D384">
        <v>0</v>
      </c>
      <c r="E384">
        <v>0</v>
      </c>
      <c r="F384">
        <v>2400</v>
      </c>
      <c r="G384">
        <v>1382.8570557</v>
      </c>
      <c r="H384">
        <v>1368.9874268000001</v>
      </c>
      <c r="I384">
        <v>1254.2770995999999</v>
      </c>
      <c r="J384">
        <v>1214.4597168</v>
      </c>
      <c r="K384">
        <v>80</v>
      </c>
      <c r="L384">
        <v>79.920333862000007</v>
      </c>
      <c r="M384">
        <v>50</v>
      </c>
      <c r="N384">
        <v>15.147695540999999</v>
      </c>
    </row>
    <row r="385" spans="1:14" x14ac:dyDescent="0.25">
      <c r="A385">
        <v>159.54527400000001</v>
      </c>
      <c r="B385" s="1">
        <f>DATE(2010,10,7) + TIME(13,5,11)</f>
        <v>40458.545266203706</v>
      </c>
      <c r="C385">
        <v>2400</v>
      </c>
      <c r="D385">
        <v>0</v>
      </c>
      <c r="E385">
        <v>0</v>
      </c>
      <c r="F385">
        <v>2400</v>
      </c>
      <c r="G385">
        <v>1382.8273925999999</v>
      </c>
      <c r="H385">
        <v>1368.9571533000001</v>
      </c>
      <c r="I385">
        <v>1254.3134766000001</v>
      </c>
      <c r="J385">
        <v>1214.5004882999999</v>
      </c>
      <c r="K385">
        <v>80</v>
      </c>
      <c r="L385">
        <v>79.920410156000003</v>
      </c>
      <c r="M385">
        <v>50</v>
      </c>
      <c r="N385">
        <v>15.159171104</v>
      </c>
    </row>
    <row r="386" spans="1:14" x14ac:dyDescent="0.25">
      <c r="A386">
        <v>160.145895</v>
      </c>
      <c r="B386" s="1">
        <f>DATE(2010,10,8) + TIME(3,30,5)</f>
        <v>40459.145891203705</v>
      </c>
      <c r="C386">
        <v>2400</v>
      </c>
      <c r="D386">
        <v>0</v>
      </c>
      <c r="E386">
        <v>0</v>
      </c>
      <c r="F386">
        <v>2400</v>
      </c>
      <c r="G386">
        <v>1382.7982178</v>
      </c>
      <c r="H386">
        <v>1368.9273682</v>
      </c>
      <c r="I386">
        <v>1254.3504639</v>
      </c>
      <c r="J386">
        <v>1214.5415039</v>
      </c>
      <c r="K386">
        <v>80</v>
      </c>
      <c r="L386">
        <v>79.920486449999999</v>
      </c>
      <c r="M386">
        <v>50</v>
      </c>
      <c r="N386">
        <v>15.170475006</v>
      </c>
    </row>
    <row r="387" spans="1:14" x14ac:dyDescent="0.25">
      <c r="A387">
        <v>160.74651499999999</v>
      </c>
      <c r="B387" s="1">
        <f>DATE(2010,10,8) + TIME(17,54,58)</f>
        <v>40459.746504629627</v>
      </c>
      <c r="C387">
        <v>2400</v>
      </c>
      <c r="D387">
        <v>0</v>
      </c>
      <c r="E387">
        <v>0</v>
      </c>
      <c r="F387">
        <v>2400</v>
      </c>
      <c r="G387">
        <v>1382.7691649999999</v>
      </c>
      <c r="H387">
        <v>1368.8977050999999</v>
      </c>
      <c r="I387">
        <v>1254.3881836</v>
      </c>
      <c r="J387">
        <v>1214.5832519999999</v>
      </c>
      <c r="K387">
        <v>80</v>
      </c>
      <c r="L387">
        <v>79.920562743999994</v>
      </c>
      <c r="M387">
        <v>50</v>
      </c>
      <c r="N387">
        <v>15.181931496000001</v>
      </c>
    </row>
    <row r="388" spans="1:14" x14ac:dyDescent="0.25">
      <c r="A388">
        <v>161.34713500000001</v>
      </c>
      <c r="B388" s="1">
        <f>DATE(2010,10,9) + TIME(8,19,52)</f>
        <v>40460.347129629627</v>
      </c>
      <c r="C388">
        <v>2400</v>
      </c>
      <c r="D388">
        <v>0</v>
      </c>
      <c r="E388">
        <v>0</v>
      </c>
      <c r="F388">
        <v>2400</v>
      </c>
      <c r="G388">
        <v>1382.7402344</v>
      </c>
      <c r="H388">
        <v>1368.8680420000001</v>
      </c>
      <c r="I388">
        <v>1254.4266356999999</v>
      </c>
      <c r="J388">
        <v>1214.6257324000001</v>
      </c>
      <c r="K388">
        <v>80</v>
      </c>
      <c r="L388">
        <v>79.920639038000004</v>
      </c>
      <c r="M388">
        <v>50</v>
      </c>
      <c r="N388">
        <v>15.193743705999999</v>
      </c>
    </row>
    <row r="389" spans="1:14" x14ac:dyDescent="0.25">
      <c r="A389">
        <v>161.947756</v>
      </c>
      <c r="B389" s="1">
        <f>DATE(2010,10,9) + TIME(22,44,46)</f>
        <v>40460.947754629633</v>
      </c>
      <c r="C389">
        <v>2400</v>
      </c>
      <c r="D389">
        <v>0</v>
      </c>
      <c r="E389">
        <v>0</v>
      </c>
      <c r="F389">
        <v>2400</v>
      </c>
      <c r="G389">
        <v>1382.7113036999999</v>
      </c>
      <c r="H389">
        <v>1368.8383789</v>
      </c>
      <c r="I389">
        <v>1254.4658202999999</v>
      </c>
      <c r="J389">
        <v>1214.6691894999999</v>
      </c>
      <c r="K389">
        <v>80</v>
      </c>
      <c r="L389">
        <v>79.920715332</v>
      </c>
      <c r="M389">
        <v>50</v>
      </c>
      <c r="N389">
        <v>15.206045151</v>
      </c>
    </row>
    <row r="390" spans="1:14" x14ac:dyDescent="0.25">
      <c r="A390">
        <v>162.54837599999999</v>
      </c>
      <c r="B390" s="1">
        <f>DATE(2010,10,10) + TIME(13,9,39)</f>
        <v>40461.548368055555</v>
      </c>
      <c r="C390">
        <v>2400</v>
      </c>
      <c r="D390">
        <v>0</v>
      </c>
      <c r="E390">
        <v>0</v>
      </c>
      <c r="F390">
        <v>2400</v>
      </c>
      <c r="G390">
        <v>1382.6823730000001</v>
      </c>
      <c r="H390">
        <v>1368.8088379000001</v>
      </c>
      <c r="I390">
        <v>1254.5056152</v>
      </c>
      <c r="J390">
        <v>1214.7136230000001</v>
      </c>
      <c r="K390">
        <v>80</v>
      </c>
      <c r="L390">
        <v>79.920791625999996</v>
      </c>
      <c r="M390">
        <v>50</v>
      </c>
      <c r="N390">
        <v>15.218928336999999</v>
      </c>
    </row>
    <row r="391" spans="1:14" x14ac:dyDescent="0.25">
      <c r="A391">
        <v>163.14899600000001</v>
      </c>
      <c r="B391" s="1">
        <f>DATE(2010,10,11) + TIME(3,34,33)</f>
        <v>40462.148993055554</v>
      </c>
      <c r="C391">
        <v>2400</v>
      </c>
      <c r="D391">
        <v>0</v>
      </c>
      <c r="E391">
        <v>0</v>
      </c>
      <c r="F391">
        <v>2400</v>
      </c>
      <c r="G391">
        <v>1382.6535644999999</v>
      </c>
      <c r="H391">
        <v>1368.7791748</v>
      </c>
      <c r="I391">
        <v>1254.5461425999999</v>
      </c>
      <c r="J391">
        <v>1214.7590332</v>
      </c>
      <c r="K391">
        <v>80</v>
      </c>
      <c r="L391">
        <v>79.920860290999997</v>
      </c>
      <c r="M391">
        <v>50</v>
      </c>
      <c r="N391">
        <v>15.232461928999999</v>
      </c>
    </row>
    <row r="392" spans="1:14" x14ac:dyDescent="0.25">
      <c r="A392">
        <v>163.749617</v>
      </c>
      <c r="B392" s="1">
        <f>DATE(2010,10,11) + TIME(17,59,26)</f>
        <v>40462.749606481484</v>
      </c>
      <c r="C392">
        <v>2400</v>
      </c>
      <c r="D392">
        <v>0</v>
      </c>
      <c r="E392">
        <v>0</v>
      </c>
      <c r="F392">
        <v>2400</v>
      </c>
      <c r="G392">
        <v>1382.6247559000001</v>
      </c>
      <c r="H392">
        <v>1368.7496338000001</v>
      </c>
      <c r="I392">
        <v>1254.5872803</v>
      </c>
      <c r="J392">
        <v>1214.8055420000001</v>
      </c>
      <c r="K392">
        <v>80</v>
      </c>
      <c r="L392">
        <v>79.920936584000003</v>
      </c>
      <c r="M392">
        <v>50</v>
      </c>
      <c r="N392">
        <v>15.24669838</v>
      </c>
    </row>
    <row r="393" spans="1:14" x14ac:dyDescent="0.25">
      <c r="A393">
        <v>164.35023699999999</v>
      </c>
      <c r="B393" s="1">
        <f>DATE(2010,10,12) + TIME(8,24,20)</f>
        <v>40463.350231481483</v>
      </c>
      <c r="C393">
        <v>2400</v>
      </c>
      <c r="D393">
        <v>0</v>
      </c>
      <c r="E393">
        <v>0</v>
      </c>
      <c r="F393">
        <v>2400</v>
      </c>
      <c r="G393">
        <v>1382.5959473</v>
      </c>
      <c r="H393">
        <v>1368.7202147999999</v>
      </c>
      <c r="I393">
        <v>1254.6291504000001</v>
      </c>
      <c r="J393">
        <v>1214.8531493999999</v>
      </c>
      <c r="K393">
        <v>80</v>
      </c>
      <c r="L393">
        <v>79.921012877999999</v>
      </c>
      <c r="M393">
        <v>50</v>
      </c>
      <c r="N393">
        <v>15.261685371</v>
      </c>
    </row>
    <row r="394" spans="1:14" x14ac:dyDescent="0.25">
      <c r="A394">
        <v>164.95085700000001</v>
      </c>
      <c r="B394" s="1">
        <f>DATE(2010,10,12) + TIME(22,49,14)</f>
        <v>40463.950856481482</v>
      </c>
      <c r="C394">
        <v>2400</v>
      </c>
      <c r="D394">
        <v>0</v>
      </c>
      <c r="E394">
        <v>0</v>
      </c>
      <c r="F394">
        <v>2400</v>
      </c>
      <c r="G394">
        <v>1382.5672606999999</v>
      </c>
      <c r="H394">
        <v>1368.6906738</v>
      </c>
      <c r="I394">
        <v>1254.6716309000001</v>
      </c>
      <c r="J394">
        <v>1214.9018555</v>
      </c>
      <c r="K394">
        <v>80</v>
      </c>
      <c r="L394">
        <v>79.921089171999995</v>
      </c>
      <c r="M394">
        <v>50</v>
      </c>
      <c r="N394">
        <v>15.27746582</v>
      </c>
    </row>
    <row r="395" spans="1:14" x14ac:dyDescent="0.25">
      <c r="A395">
        <v>165.551478</v>
      </c>
      <c r="B395" s="1">
        <f>DATE(2010,10,13) + TIME(13,14,7)</f>
        <v>40464.551469907405</v>
      </c>
      <c r="C395">
        <v>2400</v>
      </c>
      <c r="D395">
        <v>0</v>
      </c>
      <c r="E395">
        <v>0</v>
      </c>
      <c r="F395">
        <v>2400</v>
      </c>
      <c r="G395">
        <v>1382.5385742000001</v>
      </c>
      <c r="H395">
        <v>1368.6612548999999</v>
      </c>
      <c r="I395">
        <v>1254.7149658000001</v>
      </c>
      <c r="J395">
        <v>1214.9517822</v>
      </c>
      <c r="K395">
        <v>80</v>
      </c>
      <c r="L395">
        <v>79.921157836999996</v>
      </c>
      <c r="M395">
        <v>50</v>
      </c>
      <c r="N395">
        <v>15.294080734</v>
      </c>
    </row>
    <row r="396" spans="1:14" x14ac:dyDescent="0.25">
      <c r="A396">
        <v>166.152098</v>
      </c>
      <c r="B396" s="1">
        <f>DATE(2010,10,14) + TIME(3,39,1)</f>
        <v>40465.152094907404</v>
      </c>
      <c r="C396">
        <v>2400</v>
      </c>
      <c r="D396">
        <v>0</v>
      </c>
      <c r="E396">
        <v>0</v>
      </c>
      <c r="F396">
        <v>2400</v>
      </c>
      <c r="G396">
        <v>1382.5098877</v>
      </c>
      <c r="H396">
        <v>1368.6318358999999</v>
      </c>
      <c r="I396">
        <v>1254.7589111</v>
      </c>
      <c r="J396">
        <v>1215.0029297000001</v>
      </c>
      <c r="K396">
        <v>80</v>
      </c>
      <c r="L396">
        <v>79.921234131000006</v>
      </c>
      <c r="M396">
        <v>50</v>
      </c>
      <c r="N396">
        <v>15.31156826</v>
      </c>
    </row>
    <row r="397" spans="1:14" x14ac:dyDescent="0.25">
      <c r="A397">
        <v>166.75271799999999</v>
      </c>
      <c r="B397" s="1">
        <f>DATE(2010,10,14) + TIME(18,3,54)</f>
        <v>40465.752708333333</v>
      </c>
      <c r="C397">
        <v>2400</v>
      </c>
      <c r="D397">
        <v>0</v>
      </c>
      <c r="E397">
        <v>0</v>
      </c>
      <c r="F397">
        <v>2400</v>
      </c>
      <c r="G397">
        <v>1382.4813231999999</v>
      </c>
      <c r="H397">
        <v>1368.6024170000001</v>
      </c>
      <c r="I397">
        <v>1254.8037108999999</v>
      </c>
      <c r="J397">
        <v>1215.0554199000001</v>
      </c>
      <c r="K397">
        <v>80</v>
      </c>
      <c r="L397">
        <v>79.921310425000001</v>
      </c>
      <c r="M397">
        <v>50</v>
      </c>
      <c r="N397">
        <v>15.329971313</v>
      </c>
    </row>
    <row r="398" spans="1:14" x14ac:dyDescent="0.25">
      <c r="A398">
        <v>167.35333900000001</v>
      </c>
      <c r="B398" s="1">
        <f>DATE(2010,10,15) + TIME(8,28,48)</f>
        <v>40466.353333333333</v>
      </c>
      <c r="C398">
        <v>2400</v>
      </c>
      <c r="D398">
        <v>0</v>
      </c>
      <c r="E398">
        <v>0</v>
      </c>
      <c r="F398">
        <v>2400</v>
      </c>
      <c r="G398">
        <v>1382.4526367000001</v>
      </c>
      <c r="H398">
        <v>1368.5729980000001</v>
      </c>
      <c r="I398">
        <v>1254.8491211</v>
      </c>
      <c r="J398">
        <v>1215.1091309000001</v>
      </c>
      <c r="K398">
        <v>80</v>
      </c>
      <c r="L398">
        <v>79.921386718999997</v>
      </c>
      <c r="M398">
        <v>50</v>
      </c>
      <c r="N398">
        <v>15.349327087000001</v>
      </c>
    </row>
    <row r="399" spans="1:14" x14ac:dyDescent="0.25">
      <c r="A399">
        <v>167.953959</v>
      </c>
      <c r="B399" s="1">
        <f>DATE(2010,10,15) + TIME(22,53,42)</f>
        <v>40466.953958333332</v>
      </c>
      <c r="C399">
        <v>2400</v>
      </c>
      <c r="D399">
        <v>0</v>
      </c>
      <c r="E399">
        <v>0</v>
      </c>
      <c r="F399">
        <v>2400</v>
      </c>
      <c r="G399">
        <v>1382.4240723</v>
      </c>
      <c r="H399">
        <v>1368.5435791</v>
      </c>
      <c r="I399">
        <v>1254.8953856999999</v>
      </c>
      <c r="J399">
        <v>1215.1643065999999</v>
      </c>
      <c r="K399">
        <v>80</v>
      </c>
      <c r="L399">
        <v>79.921455382999994</v>
      </c>
      <c r="M399">
        <v>50</v>
      </c>
      <c r="N399">
        <v>15.369679451</v>
      </c>
    </row>
    <row r="400" spans="1:14" x14ac:dyDescent="0.25">
      <c r="A400">
        <v>168.55444199999999</v>
      </c>
      <c r="B400" s="1">
        <f>DATE(2010,10,16) + TIME(13,18,23)</f>
        <v>40467.554432870369</v>
      </c>
      <c r="C400">
        <v>2400</v>
      </c>
      <c r="D400">
        <v>0</v>
      </c>
      <c r="E400">
        <v>0</v>
      </c>
      <c r="F400">
        <v>2400</v>
      </c>
      <c r="G400">
        <v>1382.3956298999999</v>
      </c>
      <c r="H400">
        <v>1368.5142822</v>
      </c>
      <c r="I400">
        <v>1254.9423827999999</v>
      </c>
      <c r="J400">
        <v>1215.2208252</v>
      </c>
      <c r="K400">
        <v>80</v>
      </c>
      <c r="L400">
        <v>79.921531677000004</v>
      </c>
      <c r="M400">
        <v>50</v>
      </c>
      <c r="N400">
        <v>15.391064644</v>
      </c>
    </row>
    <row r="401" spans="1:14" x14ac:dyDescent="0.25">
      <c r="A401">
        <v>169.15477200000001</v>
      </c>
      <c r="B401" s="1">
        <f>DATE(2010,10,17) + TIME(3,42,52)</f>
        <v>40468.154768518521</v>
      </c>
      <c r="C401">
        <v>2400</v>
      </c>
      <c r="D401">
        <v>0</v>
      </c>
      <c r="E401">
        <v>0</v>
      </c>
      <c r="F401">
        <v>2400</v>
      </c>
      <c r="G401">
        <v>1382.3670654</v>
      </c>
      <c r="H401">
        <v>1368.4848632999999</v>
      </c>
      <c r="I401">
        <v>1254.9902344</v>
      </c>
      <c r="J401">
        <v>1215.2786865</v>
      </c>
      <c r="K401">
        <v>80</v>
      </c>
      <c r="L401">
        <v>79.921607971</v>
      </c>
      <c r="M401">
        <v>50</v>
      </c>
      <c r="N401">
        <v>15.413525581</v>
      </c>
    </row>
    <row r="402" spans="1:14" x14ac:dyDescent="0.25">
      <c r="A402">
        <v>169.755101</v>
      </c>
      <c r="B402" s="1">
        <f>DATE(2010,10,17) + TIME(18,7,20)</f>
        <v>40468.75509259259</v>
      </c>
      <c r="C402">
        <v>2400</v>
      </c>
      <c r="D402">
        <v>0</v>
      </c>
      <c r="E402">
        <v>0</v>
      </c>
      <c r="F402">
        <v>2400</v>
      </c>
      <c r="G402">
        <v>1382.3386230000001</v>
      </c>
      <c r="H402">
        <v>1368.4555664</v>
      </c>
      <c r="I402">
        <v>1255.0388184000001</v>
      </c>
      <c r="J402">
        <v>1215.3381348</v>
      </c>
      <c r="K402">
        <v>80</v>
      </c>
      <c r="L402">
        <v>79.921676636000001</v>
      </c>
      <c r="M402">
        <v>50</v>
      </c>
      <c r="N402">
        <v>15.437107085999999</v>
      </c>
    </row>
    <row r="403" spans="1:14" x14ac:dyDescent="0.25">
      <c r="A403">
        <v>170.35543000000001</v>
      </c>
      <c r="B403" s="1">
        <f>DATE(2010,10,18) + TIME(8,31,49)</f>
        <v>40469.355428240742</v>
      </c>
      <c r="C403">
        <v>2400</v>
      </c>
      <c r="D403">
        <v>0</v>
      </c>
      <c r="E403">
        <v>0</v>
      </c>
      <c r="F403">
        <v>2400</v>
      </c>
      <c r="G403">
        <v>1382.3101807</v>
      </c>
      <c r="H403">
        <v>1368.4262695</v>
      </c>
      <c r="I403">
        <v>1255.0882568</v>
      </c>
      <c r="J403">
        <v>1215.3990478999999</v>
      </c>
      <c r="K403">
        <v>80</v>
      </c>
      <c r="L403">
        <v>79.921752929999997</v>
      </c>
      <c r="M403">
        <v>50</v>
      </c>
      <c r="N403">
        <v>15.461853981000001</v>
      </c>
    </row>
    <row r="404" spans="1:14" x14ac:dyDescent="0.25">
      <c r="A404">
        <v>170.95576</v>
      </c>
      <c r="B404" s="1">
        <f>DATE(2010,10,18) + TIME(22,56,17)</f>
        <v>40469.955752314818</v>
      </c>
      <c r="C404">
        <v>2400</v>
      </c>
      <c r="D404">
        <v>0</v>
      </c>
      <c r="E404">
        <v>0</v>
      </c>
      <c r="F404">
        <v>2400</v>
      </c>
      <c r="G404">
        <v>1382.2817382999999</v>
      </c>
      <c r="H404">
        <v>1368.3969727000001</v>
      </c>
      <c r="I404">
        <v>1255.1384277</v>
      </c>
      <c r="J404">
        <v>1215.4616699000001</v>
      </c>
      <c r="K404">
        <v>80</v>
      </c>
      <c r="L404">
        <v>79.921821593999994</v>
      </c>
      <c r="M404">
        <v>50</v>
      </c>
      <c r="N404">
        <v>15.487811088999999</v>
      </c>
    </row>
    <row r="405" spans="1:14" x14ac:dyDescent="0.25">
      <c r="A405">
        <v>172.156419</v>
      </c>
      <c r="B405" s="1">
        <f>DATE(2010,10,20) + TIME(3,45,14)</f>
        <v>40471.156412037039</v>
      </c>
      <c r="C405">
        <v>2400</v>
      </c>
      <c r="D405">
        <v>0</v>
      </c>
      <c r="E405">
        <v>0</v>
      </c>
      <c r="F405">
        <v>2400</v>
      </c>
      <c r="G405">
        <v>1382.2536620999999</v>
      </c>
      <c r="H405">
        <v>1368.3677978999999</v>
      </c>
      <c r="I405">
        <v>1255.1861572</v>
      </c>
      <c r="J405">
        <v>1215.5314940999999</v>
      </c>
      <c r="K405">
        <v>80</v>
      </c>
      <c r="L405">
        <v>79.921974182</v>
      </c>
      <c r="M405">
        <v>50</v>
      </c>
      <c r="N405">
        <v>15.526432036999999</v>
      </c>
    </row>
    <row r="406" spans="1:14" x14ac:dyDescent="0.25">
      <c r="A406">
        <v>173.359816</v>
      </c>
      <c r="B406" s="1">
        <f>DATE(2010,10,21) + TIME(8,38,8)</f>
        <v>40472.359814814816</v>
      </c>
      <c r="C406">
        <v>2400</v>
      </c>
      <c r="D406">
        <v>0</v>
      </c>
      <c r="E406">
        <v>0</v>
      </c>
      <c r="F406">
        <v>2400</v>
      </c>
      <c r="G406">
        <v>1382.1972656</v>
      </c>
      <c r="H406">
        <v>1368.3096923999999</v>
      </c>
      <c r="I406">
        <v>1255.2913818</v>
      </c>
      <c r="J406">
        <v>1215.6601562000001</v>
      </c>
      <c r="K406">
        <v>80</v>
      </c>
      <c r="L406">
        <v>79.922119140999996</v>
      </c>
      <c r="M406">
        <v>50</v>
      </c>
      <c r="N406">
        <v>15.577994347000001</v>
      </c>
    </row>
    <row r="407" spans="1:14" x14ac:dyDescent="0.25">
      <c r="A407">
        <v>174.59285399999999</v>
      </c>
      <c r="B407" s="1">
        <f>DATE(2010,10,22) + TIME(14,13,42)</f>
        <v>40473.592847222222</v>
      </c>
      <c r="C407">
        <v>2400</v>
      </c>
      <c r="D407">
        <v>0</v>
      </c>
      <c r="E407">
        <v>0</v>
      </c>
      <c r="F407">
        <v>2400</v>
      </c>
      <c r="G407">
        <v>1382.1407471</v>
      </c>
      <c r="H407">
        <v>1368.2512207</v>
      </c>
      <c r="I407">
        <v>1255.3992920000001</v>
      </c>
      <c r="J407">
        <v>1215.7980957</v>
      </c>
      <c r="K407">
        <v>80</v>
      </c>
      <c r="L407">
        <v>79.922264099000003</v>
      </c>
      <c r="M407">
        <v>50</v>
      </c>
      <c r="N407">
        <v>15.638962746000001</v>
      </c>
    </row>
    <row r="408" spans="1:14" x14ac:dyDescent="0.25">
      <c r="A408">
        <v>175.21325899999999</v>
      </c>
      <c r="B408" s="1">
        <f>DATE(2010,10,23) + TIME(5,7,5)</f>
        <v>40474.213252314818</v>
      </c>
      <c r="C408">
        <v>2400</v>
      </c>
      <c r="D408">
        <v>0</v>
      </c>
      <c r="E408">
        <v>0</v>
      </c>
      <c r="F408">
        <v>2400</v>
      </c>
      <c r="G408">
        <v>1382.0827637</v>
      </c>
      <c r="H408">
        <v>1368.1914062000001</v>
      </c>
      <c r="I408">
        <v>1255.5195312000001</v>
      </c>
      <c r="J408">
        <v>1215.9373779</v>
      </c>
      <c r="K408">
        <v>80</v>
      </c>
      <c r="L408">
        <v>79.922340392999999</v>
      </c>
      <c r="M408">
        <v>50</v>
      </c>
      <c r="N408">
        <v>15.688009262</v>
      </c>
    </row>
    <row r="409" spans="1:14" x14ac:dyDescent="0.25">
      <c r="A409">
        <v>175.833663</v>
      </c>
      <c r="B409" s="1">
        <f>DATE(2010,10,23) + TIME(20,0,28)</f>
        <v>40474.833657407406</v>
      </c>
      <c r="C409">
        <v>2400</v>
      </c>
      <c r="D409">
        <v>0</v>
      </c>
      <c r="E409">
        <v>0</v>
      </c>
      <c r="F409">
        <v>2400</v>
      </c>
      <c r="G409">
        <v>1382.0529785000001</v>
      </c>
      <c r="H409">
        <v>1368.1605225000001</v>
      </c>
      <c r="I409">
        <v>1255.5767822</v>
      </c>
      <c r="J409">
        <v>1216.0207519999999</v>
      </c>
      <c r="K409">
        <v>80</v>
      </c>
      <c r="L409">
        <v>79.922416686999995</v>
      </c>
      <c r="M409">
        <v>50</v>
      </c>
      <c r="N409">
        <v>15.733670235</v>
      </c>
    </row>
    <row r="410" spans="1:14" x14ac:dyDescent="0.25">
      <c r="A410">
        <v>176.45406800000001</v>
      </c>
      <c r="B410" s="1">
        <f>DATE(2010,10,24) + TIME(10,53,51)</f>
        <v>40475.454062500001</v>
      </c>
      <c r="C410">
        <v>2400</v>
      </c>
      <c r="D410">
        <v>0</v>
      </c>
      <c r="E410">
        <v>0</v>
      </c>
      <c r="F410">
        <v>2400</v>
      </c>
      <c r="G410">
        <v>1382.0238036999999</v>
      </c>
      <c r="H410">
        <v>1368.130249</v>
      </c>
      <c r="I410">
        <v>1255.6357422000001</v>
      </c>
      <c r="J410">
        <v>1216.1046143000001</v>
      </c>
      <c r="K410">
        <v>80</v>
      </c>
      <c r="L410">
        <v>79.922492981000005</v>
      </c>
      <c r="M410">
        <v>50</v>
      </c>
      <c r="N410">
        <v>15.778129578</v>
      </c>
    </row>
    <row r="411" spans="1:14" x14ac:dyDescent="0.25">
      <c r="A411">
        <v>177.07447199999999</v>
      </c>
      <c r="B411" s="1">
        <f>DATE(2010,10,25) + TIME(1,47,14)</f>
        <v>40476.074467592596</v>
      </c>
      <c r="C411">
        <v>2400</v>
      </c>
      <c r="D411">
        <v>0</v>
      </c>
      <c r="E411">
        <v>0</v>
      </c>
      <c r="F411">
        <v>2400</v>
      </c>
      <c r="G411">
        <v>1381.994751</v>
      </c>
      <c r="H411">
        <v>1368.0999756000001</v>
      </c>
      <c r="I411">
        <v>1255.6962891000001</v>
      </c>
      <c r="J411">
        <v>1216.1898193</v>
      </c>
      <c r="K411">
        <v>80</v>
      </c>
      <c r="L411">
        <v>79.922569275000001</v>
      </c>
      <c r="M411">
        <v>50</v>
      </c>
      <c r="N411">
        <v>15.822673798</v>
      </c>
    </row>
    <row r="412" spans="1:14" x14ac:dyDescent="0.25">
      <c r="A412">
        <v>177.69487699999999</v>
      </c>
      <c r="B412" s="1">
        <f>DATE(2010,10,25) + TIME(16,40,37)</f>
        <v>40476.694872685184</v>
      </c>
      <c r="C412">
        <v>2400</v>
      </c>
      <c r="D412">
        <v>0</v>
      </c>
      <c r="E412">
        <v>0</v>
      </c>
      <c r="F412">
        <v>2400</v>
      </c>
      <c r="G412">
        <v>1381.9655762</v>
      </c>
      <c r="H412">
        <v>1368.0698242000001</v>
      </c>
      <c r="I412">
        <v>1255.7580565999999</v>
      </c>
      <c r="J412">
        <v>1216.2767334</v>
      </c>
      <c r="K412">
        <v>80</v>
      </c>
      <c r="L412">
        <v>79.922645568999997</v>
      </c>
      <c r="M412">
        <v>50</v>
      </c>
      <c r="N412">
        <v>15.868074417000001</v>
      </c>
    </row>
    <row r="413" spans="1:14" x14ac:dyDescent="0.25">
      <c r="A413">
        <v>178.315281</v>
      </c>
      <c r="B413" s="1">
        <f>DATE(2010,10,26) + TIME(7,34,0)</f>
        <v>40477.31527777778</v>
      </c>
      <c r="C413">
        <v>2400</v>
      </c>
      <c r="D413">
        <v>0</v>
      </c>
      <c r="E413">
        <v>0</v>
      </c>
      <c r="F413">
        <v>2400</v>
      </c>
      <c r="G413">
        <v>1381.9365233999999</v>
      </c>
      <c r="H413">
        <v>1368.0395507999999</v>
      </c>
      <c r="I413">
        <v>1255.8210449000001</v>
      </c>
      <c r="J413">
        <v>1216.3658447</v>
      </c>
      <c r="K413">
        <v>80</v>
      </c>
      <c r="L413">
        <v>79.922721863000007</v>
      </c>
      <c r="M413">
        <v>50</v>
      </c>
      <c r="N413">
        <v>15.914795875999999</v>
      </c>
    </row>
    <row r="414" spans="1:14" x14ac:dyDescent="0.25">
      <c r="A414">
        <v>178.935686</v>
      </c>
      <c r="B414" s="1">
        <f>DATE(2010,10,26) + TIME(22,27,23)</f>
        <v>40477.935682870368</v>
      </c>
      <c r="C414">
        <v>2400</v>
      </c>
      <c r="D414">
        <v>0</v>
      </c>
      <c r="E414">
        <v>0</v>
      </c>
      <c r="F414">
        <v>2400</v>
      </c>
      <c r="G414">
        <v>1381.9073486</v>
      </c>
      <c r="H414">
        <v>1368.0093993999999</v>
      </c>
      <c r="I414">
        <v>1255.8851318</v>
      </c>
      <c r="J414">
        <v>1216.4570312000001</v>
      </c>
      <c r="K414">
        <v>80</v>
      </c>
      <c r="L414">
        <v>79.922798157000003</v>
      </c>
      <c r="M414">
        <v>50</v>
      </c>
      <c r="N414">
        <v>15.963130951</v>
      </c>
    </row>
    <row r="415" spans="1:14" x14ac:dyDescent="0.25">
      <c r="A415">
        <v>179.55609000000001</v>
      </c>
      <c r="B415" s="1">
        <f>DATE(2010,10,27) + TIME(13,20,46)</f>
        <v>40478.556087962963</v>
      </c>
      <c r="C415">
        <v>2400</v>
      </c>
      <c r="D415">
        <v>0</v>
      </c>
      <c r="E415">
        <v>0</v>
      </c>
      <c r="F415">
        <v>2400</v>
      </c>
      <c r="G415">
        <v>1381.8782959</v>
      </c>
      <c r="H415">
        <v>1367.979126</v>
      </c>
      <c r="I415">
        <v>1255.9503173999999</v>
      </c>
      <c r="J415">
        <v>1216.5505370999999</v>
      </c>
      <c r="K415">
        <v>80</v>
      </c>
      <c r="L415">
        <v>79.922874450999998</v>
      </c>
      <c r="M415">
        <v>50</v>
      </c>
      <c r="N415">
        <v>16.013265610000001</v>
      </c>
    </row>
    <row r="416" spans="1:14" x14ac:dyDescent="0.25">
      <c r="A416">
        <v>180.17649499999999</v>
      </c>
      <c r="B416" s="1">
        <f>DATE(2010,10,28) + TIME(4,14,9)</f>
        <v>40479.176493055558</v>
      </c>
      <c r="C416">
        <v>2400</v>
      </c>
      <c r="D416">
        <v>0</v>
      </c>
      <c r="E416">
        <v>0</v>
      </c>
      <c r="F416">
        <v>2400</v>
      </c>
      <c r="G416">
        <v>1381.8493652</v>
      </c>
      <c r="H416">
        <v>1367.9489745999999</v>
      </c>
      <c r="I416">
        <v>1256.0166016000001</v>
      </c>
      <c r="J416">
        <v>1216.6466064000001</v>
      </c>
      <c r="K416">
        <v>80</v>
      </c>
      <c r="L416">
        <v>79.922943114999995</v>
      </c>
      <c r="M416">
        <v>50</v>
      </c>
      <c r="N416">
        <v>16.065324783000001</v>
      </c>
    </row>
    <row r="417" spans="1:14" x14ac:dyDescent="0.25">
      <c r="A417">
        <v>180.796899</v>
      </c>
      <c r="B417" s="1">
        <f>DATE(2010,10,28) + TIME(19,7,32)</f>
        <v>40479.796898148146</v>
      </c>
      <c r="C417">
        <v>2400</v>
      </c>
      <c r="D417">
        <v>0</v>
      </c>
      <c r="E417">
        <v>0</v>
      </c>
      <c r="F417">
        <v>2400</v>
      </c>
      <c r="G417">
        <v>1381.8203125</v>
      </c>
      <c r="H417">
        <v>1367.9187012</v>
      </c>
      <c r="I417">
        <v>1256.0838623</v>
      </c>
      <c r="J417">
        <v>1216.7449951000001</v>
      </c>
      <c r="K417">
        <v>80</v>
      </c>
      <c r="L417">
        <v>79.923019409000005</v>
      </c>
      <c r="M417">
        <v>50</v>
      </c>
      <c r="N417">
        <v>16.119394302</v>
      </c>
    </row>
    <row r="418" spans="1:14" x14ac:dyDescent="0.25">
      <c r="A418">
        <v>181.417304</v>
      </c>
      <c r="B418" s="1">
        <f>DATE(2010,10,29) + TIME(10,0,55)</f>
        <v>40480.417303240742</v>
      </c>
      <c r="C418">
        <v>2400</v>
      </c>
      <c r="D418">
        <v>0</v>
      </c>
      <c r="E418">
        <v>0</v>
      </c>
      <c r="F418">
        <v>2400</v>
      </c>
      <c r="G418">
        <v>1381.7912598</v>
      </c>
      <c r="H418">
        <v>1367.8885498</v>
      </c>
      <c r="I418">
        <v>1256.1522216999999</v>
      </c>
      <c r="J418">
        <v>1216.8460693</v>
      </c>
      <c r="K418">
        <v>80</v>
      </c>
      <c r="L418">
        <v>79.923095703000001</v>
      </c>
      <c r="M418">
        <v>50</v>
      </c>
      <c r="N418">
        <v>16.175540924</v>
      </c>
    </row>
    <row r="419" spans="1:14" x14ac:dyDescent="0.25">
      <c r="A419">
        <v>182.03770800000001</v>
      </c>
      <c r="B419" s="1">
        <f>DATE(2010,10,30) + TIME(0,54,17)</f>
        <v>40481.03769675926</v>
      </c>
      <c r="C419">
        <v>2400</v>
      </c>
      <c r="D419">
        <v>0</v>
      </c>
      <c r="E419">
        <v>0</v>
      </c>
      <c r="F419">
        <v>2400</v>
      </c>
      <c r="G419">
        <v>1381.7623291</v>
      </c>
      <c r="H419">
        <v>1367.8583983999999</v>
      </c>
      <c r="I419">
        <v>1256.2216797000001</v>
      </c>
      <c r="J419">
        <v>1216.949707</v>
      </c>
      <c r="K419">
        <v>80</v>
      </c>
      <c r="L419">
        <v>79.923171996999997</v>
      </c>
      <c r="M419">
        <v>50</v>
      </c>
      <c r="N419">
        <v>16.233821869</v>
      </c>
    </row>
    <row r="420" spans="1:14" x14ac:dyDescent="0.25">
      <c r="A420">
        <v>182.65811299999999</v>
      </c>
      <c r="B420" s="1">
        <f>DATE(2010,10,30) + TIME(15,47,40)</f>
        <v>40481.658101851855</v>
      </c>
      <c r="C420">
        <v>2400</v>
      </c>
      <c r="D420">
        <v>0</v>
      </c>
      <c r="E420">
        <v>0</v>
      </c>
      <c r="F420">
        <v>2400</v>
      </c>
      <c r="G420">
        <v>1381.7333983999999</v>
      </c>
      <c r="H420">
        <v>1367.8282471</v>
      </c>
      <c r="I420">
        <v>1256.2921143000001</v>
      </c>
      <c r="J420">
        <v>1217.0559082</v>
      </c>
      <c r="K420">
        <v>80</v>
      </c>
      <c r="L420">
        <v>79.923248290999993</v>
      </c>
      <c r="M420">
        <v>50</v>
      </c>
      <c r="N420">
        <v>16.294281005999999</v>
      </c>
    </row>
    <row r="421" spans="1:14" x14ac:dyDescent="0.25">
      <c r="A421">
        <v>183.27851699999999</v>
      </c>
      <c r="B421" s="1">
        <f>DATE(2010,10,31) + TIME(6,41,3)</f>
        <v>40482.278506944444</v>
      </c>
      <c r="C421">
        <v>2400</v>
      </c>
      <c r="D421">
        <v>0</v>
      </c>
      <c r="E421">
        <v>0</v>
      </c>
      <c r="F421">
        <v>2400</v>
      </c>
      <c r="G421">
        <v>1381.7044678</v>
      </c>
      <c r="H421">
        <v>1367.7979736</v>
      </c>
      <c r="I421">
        <v>1256.3636475000001</v>
      </c>
      <c r="J421">
        <v>1217.1649170000001</v>
      </c>
      <c r="K421">
        <v>80</v>
      </c>
      <c r="L421">
        <v>79.923324585000003</v>
      </c>
      <c r="M421">
        <v>50</v>
      </c>
      <c r="N421">
        <v>16.356954575</v>
      </c>
    </row>
    <row r="422" spans="1:14" x14ac:dyDescent="0.25">
      <c r="A422">
        <v>184</v>
      </c>
      <c r="B422" s="1">
        <f>DATE(2010,11,1) + TIME(0,0,0)</f>
        <v>40483</v>
      </c>
      <c r="C422">
        <v>2400</v>
      </c>
      <c r="D422">
        <v>0</v>
      </c>
      <c r="E422">
        <v>0</v>
      </c>
      <c r="F422">
        <v>2400</v>
      </c>
      <c r="G422">
        <v>1381.6755370999999</v>
      </c>
      <c r="H422">
        <v>1367.7678223</v>
      </c>
      <c r="I422">
        <v>1256.4343262</v>
      </c>
      <c r="J422">
        <v>1217.2792969</v>
      </c>
      <c r="K422">
        <v>80</v>
      </c>
      <c r="L422">
        <v>79.923408507999994</v>
      </c>
      <c r="M422">
        <v>50</v>
      </c>
      <c r="N422">
        <v>16.427610396999999</v>
      </c>
    </row>
    <row r="423" spans="1:14" x14ac:dyDescent="0.25">
      <c r="A423">
        <v>184.000001</v>
      </c>
      <c r="B423" s="1">
        <f>DATE(2010,11,1) + TIME(0,0,0)</f>
        <v>40483</v>
      </c>
      <c r="C423">
        <v>0</v>
      </c>
      <c r="D423">
        <v>2400</v>
      </c>
      <c r="E423">
        <v>2400</v>
      </c>
      <c r="F423">
        <v>0</v>
      </c>
      <c r="G423">
        <v>1366.8962402</v>
      </c>
      <c r="H423">
        <v>1355.4876709</v>
      </c>
      <c r="I423">
        <v>1295.6364745999999</v>
      </c>
      <c r="J423">
        <v>1257.3282471</v>
      </c>
      <c r="K423">
        <v>80</v>
      </c>
      <c r="L423">
        <v>79.923286438000005</v>
      </c>
      <c r="M423">
        <v>50</v>
      </c>
      <c r="N423">
        <v>16.427742003999999</v>
      </c>
    </row>
    <row r="424" spans="1:14" x14ac:dyDescent="0.25">
      <c r="A424">
        <v>184.00000399999999</v>
      </c>
      <c r="B424" s="1">
        <f>DATE(2010,11,1) + TIME(0,0,0)</f>
        <v>40483</v>
      </c>
      <c r="C424">
        <v>0</v>
      </c>
      <c r="D424">
        <v>2400</v>
      </c>
      <c r="E424">
        <v>2400</v>
      </c>
      <c r="F424">
        <v>0</v>
      </c>
      <c r="G424">
        <v>1364.6942139</v>
      </c>
      <c r="H424">
        <v>1353.2845459</v>
      </c>
      <c r="I424">
        <v>1298.1112060999999</v>
      </c>
      <c r="J424">
        <v>1259.8485106999999</v>
      </c>
      <c r="K424">
        <v>80</v>
      </c>
      <c r="L424">
        <v>79.922973632999998</v>
      </c>
      <c r="M424">
        <v>50</v>
      </c>
      <c r="N424">
        <v>16.428119659</v>
      </c>
    </row>
    <row r="425" spans="1:14" x14ac:dyDescent="0.25">
      <c r="A425">
        <v>184.000013</v>
      </c>
      <c r="B425" s="1">
        <f>DATE(2010,11,1) + TIME(0,0,1)</f>
        <v>40483.000011574077</v>
      </c>
      <c r="C425">
        <v>0</v>
      </c>
      <c r="D425">
        <v>2400</v>
      </c>
      <c r="E425">
        <v>2400</v>
      </c>
      <c r="F425">
        <v>0</v>
      </c>
      <c r="G425">
        <v>1360.2481689000001</v>
      </c>
      <c r="H425">
        <v>1348.8376464999999</v>
      </c>
      <c r="I425">
        <v>1304.4226074000001</v>
      </c>
      <c r="J425">
        <v>1266.2498779</v>
      </c>
      <c r="K425">
        <v>80</v>
      </c>
      <c r="L425">
        <v>79.922340392999999</v>
      </c>
      <c r="M425">
        <v>50</v>
      </c>
      <c r="N425">
        <v>16.429128646999999</v>
      </c>
    </row>
    <row r="426" spans="1:14" x14ac:dyDescent="0.25">
      <c r="A426">
        <v>184.00004000000001</v>
      </c>
      <c r="B426" s="1">
        <f>DATE(2010,11,1) + TIME(0,0,3)</f>
        <v>40483.000034722223</v>
      </c>
      <c r="C426">
        <v>0</v>
      </c>
      <c r="D426">
        <v>2400</v>
      </c>
      <c r="E426">
        <v>2400</v>
      </c>
      <c r="F426">
        <v>0</v>
      </c>
      <c r="G426">
        <v>1353.7530518000001</v>
      </c>
      <c r="H426">
        <v>1342.3433838000001</v>
      </c>
      <c r="I426">
        <v>1317.3941649999999</v>
      </c>
      <c r="J426">
        <v>1279.3189697</v>
      </c>
      <c r="K426">
        <v>80</v>
      </c>
      <c r="L426">
        <v>79.921409607000001</v>
      </c>
      <c r="M426">
        <v>50</v>
      </c>
      <c r="N426">
        <v>16.431514740000001</v>
      </c>
    </row>
    <row r="427" spans="1:14" x14ac:dyDescent="0.25">
      <c r="A427">
        <v>184.00012100000001</v>
      </c>
      <c r="B427" s="1">
        <f>DATE(2010,11,1) + TIME(0,0,10)</f>
        <v>40483.000115740739</v>
      </c>
      <c r="C427">
        <v>0</v>
      </c>
      <c r="D427">
        <v>2400</v>
      </c>
      <c r="E427">
        <v>2400</v>
      </c>
      <c r="F427">
        <v>0</v>
      </c>
      <c r="G427">
        <v>1346.5141602000001</v>
      </c>
      <c r="H427">
        <v>1335.1159668</v>
      </c>
      <c r="I427">
        <v>1336.7664795000001</v>
      </c>
      <c r="J427">
        <v>1298.7069091999999</v>
      </c>
      <c r="K427">
        <v>80</v>
      </c>
      <c r="L427">
        <v>79.920356749999996</v>
      </c>
      <c r="M427">
        <v>50</v>
      </c>
      <c r="N427">
        <v>16.436611176</v>
      </c>
    </row>
    <row r="428" spans="1:14" x14ac:dyDescent="0.25">
      <c r="A428">
        <v>184.00036399999999</v>
      </c>
      <c r="B428" s="1">
        <f>DATE(2010,11,1) + TIME(0,0,31)</f>
        <v>40483.000358796293</v>
      </c>
      <c r="C428">
        <v>0</v>
      </c>
      <c r="D428">
        <v>2400</v>
      </c>
      <c r="E428">
        <v>2400</v>
      </c>
      <c r="F428">
        <v>0</v>
      </c>
      <c r="G428">
        <v>1339.2299805</v>
      </c>
      <c r="H428">
        <v>1327.8466797000001</v>
      </c>
      <c r="I428">
        <v>1358.6359863</v>
      </c>
      <c r="J428">
        <v>1320.5345459</v>
      </c>
      <c r="K428">
        <v>80</v>
      </c>
      <c r="L428">
        <v>79.919242858999993</v>
      </c>
      <c r="M428">
        <v>50</v>
      </c>
      <c r="N428">
        <v>16.448135376</v>
      </c>
    </row>
    <row r="429" spans="1:14" x14ac:dyDescent="0.25">
      <c r="A429">
        <v>184.001093</v>
      </c>
      <c r="B429" s="1">
        <f>DATE(2010,11,1) + TIME(0,1,34)</f>
        <v>40483.001087962963</v>
      </c>
      <c r="C429">
        <v>0</v>
      </c>
      <c r="D429">
        <v>2400</v>
      </c>
      <c r="E429">
        <v>2400</v>
      </c>
      <c r="F429">
        <v>0</v>
      </c>
      <c r="G429">
        <v>1331.8414307</v>
      </c>
      <c r="H429">
        <v>1320.4630127</v>
      </c>
      <c r="I429">
        <v>1380.6062012</v>
      </c>
      <c r="J429">
        <v>1342.4677733999999</v>
      </c>
      <c r="K429">
        <v>80</v>
      </c>
      <c r="L429">
        <v>79.917938231999997</v>
      </c>
      <c r="M429">
        <v>50</v>
      </c>
      <c r="N429">
        <v>16.478210448999999</v>
      </c>
    </row>
    <row r="430" spans="1:14" x14ac:dyDescent="0.25">
      <c r="A430">
        <v>184.00327999999999</v>
      </c>
      <c r="B430" s="1">
        <f>DATE(2010,11,1) + TIME(0,4,43)</f>
        <v>40483.003275462965</v>
      </c>
      <c r="C430">
        <v>0</v>
      </c>
      <c r="D430">
        <v>2400</v>
      </c>
      <c r="E430">
        <v>2400</v>
      </c>
      <c r="F430">
        <v>0</v>
      </c>
      <c r="G430">
        <v>1323.7761230000001</v>
      </c>
      <c r="H430">
        <v>1312.3513184000001</v>
      </c>
      <c r="I430">
        <v>1402.0019531</v>
      </c>
      <c r="J430">
        <v>1363.8743896000001</v>
      </c>
      <c r="K430">
        <v>80</v>
      </c>
      <c r="L430">
        <v>79.916023253999995</v>
      </c>
      <c r="M430">
        <v>50</v>
      </c>
      <c r="N430">
        <v>16.563770294000001</v>
      </c>
    </row>
    <row r="431" spans="1:14" x14ac:dyDescent="0.25">
      <c r="A431">
        <v>184.00984099999999</v>
      </c>
      <c r="B431" s="1">
        <f>DATE(2010,11,1) + TIME(0,14,10)</f>
        <v>40483.009837962964</v>
      </c>
      <c r="C431">
        <v>0</v>
      </c>
      <c r="D431">
        <v>2400</v>
      </c>
      <c r="E431">
        <v>2400</v>
      </c>
      <c r="F431">
        <v>0</v>
      </c>
      <c r="G431">
        <v>1314.6750488</v>
      </c>
      <c r="H431">
        <v>1303.1479492000001</v>
      </c>
      <c r="I431">
        <v>1421.0144043</v>
      </c>
      <c r="J431">
        <v>1383.0526123</v>
      </c>
      <c r="K431">
        <v>80</v>
      </c>
      <c r="L431">
        <v>79.912422179999993</v>
      </c>
      <c r="M431">
        <v>50</v>
      </c>
      <c r="N431">
        <v>16.814487456999998</v>
      </c>
    </row>
    <row r="432" spans="1:14" x14ac:dyDescent="0.25">
      <c r="A432">
        <v>184.02952400000001</v>
      </c>
      <c r="B432" s="1">
        <f>DATE(2010,11,1) + TIME(0,42,30)</f>
        <v>40483.029513888891</v>
      </c>
      <c r="C432">
        <v>0</v>
      </c>
      <c r="D432">
        <v>2400</v>
      </c>
      <c r="E432">
        <v>2400</v>
      </c>
      <c r="F432">
        <v>0</v>
      </c>
      <c r="G432">
        <v>1306.3245850000001</v>
      </c>
      <c r="H432">
        <v>1294.7039795000001</v>
      </c>
      <c r="I432">
        <v>1433.6833495999999</v>
      </c>
      <c r="J432">
        <v>1396.3597411999999</v>
      </c>
      <c r="K432">
        <v>80</v>
      </c>
      <c r="L432">
        <v>79.904373168999996</v>
      </c>
      <c r="M432">
        <v>50</v>
      </c>
      <c r="N432">
        <v>17.547462462999999</v>
      </c>
    </row>
    <row r="433" spans="1:14" x14ac:dyDescent="0.25">
      <c r="A433">
        <v>184.05590699999999</v>
      </c>
      <c r="B433" s="1">
        <f>DATE(2010,11,1) + TIME(1,20,30)</f>
        <v>40483.055902777778</v>
      </c>
      <c r="C433">
        <v>0</v>
      </c>
      <c r="D433">
        <v>2400</v>
      </c>
      <c r="E433">
        <v>2400</v>
      </c>
      <c r="F433">
        <v>0</v>
      </c>
      <c r="G433">
        <v>1302.6063231999999</v>
      </c>
      <c r="H433">
        <v>1290.9488524999999</v>
      </c>
      <c r="I433">
        <v>1437.2346190999999</v>
      </c>
      <c r="J433">
        <v>1400.7679443</v>
      </c>
      <c r="K433">
        <v>80</v>
      </c>
      <c r="L433">
        <v>79.894737243999998</v>
      </c>
      <c r="M433">
        <v>50</v>
      </c>
      <c r="N433">
        <v>18.501962662</v>
      </c>
    </row>
    <row r="434" spans="1:14" x14ac:dyDescent="0.25">
      <c r="A434">
        <v>184.08310299999999</v>
      </c>
      <c r="B434" s="1">
        <f>DATE(2010,11,1) + TIME(1,59,40)</f>
        <v>40483.083101851851</v>
      </c>
      <c r="C434">
        <v>0</v>
      </c>
      <c r="D434">
        <v>2400</v>
      </c>
      <c r="E434">
        <v>2400</v>
      </c>
      <c r="F434">
        <v>0</v>
      </c>
      <c r="G434">
        <v>1301.159668</v>
      </c>
      <c r="H434">
        <v>1289.4887695</v>
      </c>
      <c r="I434">
        <v>1437.4510498</v>
      </c>
      <c r="J434">
        <v>1401.8240966999999</v>
      </c>
      <c r="K434">
        <v>80</v>
      </c>
      <c r="L434">
        <v>79.885208129999995</v>
      </c>
      <c r="M434">
        <v>50</v>
      </c>
      <c r="N434">
        <v>19.457784653000001</v>
      </c>
    </row>
    <row r="435" spans="1:14" x14ac:dyDescent="0.25">
      <c r="A435">
        <v>184.111108</v>
      </c>
      <c r="B435" s="1">
        <f>DATE(2010,11,1) + TIME(2,39,59)</f>
        <v>40483.11109953704</v>
      </c>
      <c r="C435">
        <v>0</v>
      </c>
      <c r="D435">
        <v>2400</v>
      </c>
      <c r="E435">
        <v>2400</v>
      </c>
      <c r="F435">
        <v>0</v>
      </c>
      <c r="G435">
        <v>1300.5568848</v>
      </c>
      <c r="H435">
        <v>1288.8801269999999</v>
      </c>
      <c r="I435">
        <v>1436.6643065999999</v>
      </c>
      <c r="J435">
        <v>1401.8507079999999</v>
      </c>
      <c r="K435">
        <v>80</v>
      </c>
      <c r="L435">
        <v>79.875617981000005</v>
      </c>
      <c r="M435">
        <v>50</v>
      </c>
      <c r="N435">
        <v>20.413421630999999</v>
      </c>
    </row>
    <row r="436" spans="1:14" x14ac:dyDescent="0.25">
      <c r="A436">
        <v>184.13995800000001</v>
      </c>
      <c r="B436" s="1">
        <f>DATE(2010,11,1) + TIME(3,21,32)</f>
        <v>40483.139953703707</v>
      </c>
      <c r="C436">
        <v>0</v>
      </c>
      <c r="D436">
        <v>2400</v>
      </c>
      <c r="E436">
        <v>2400</v>
      </c>
      <c r="F436">
        <v>0</v>
      </c>
      <c r="G436">
        <v>1300.2928466999999</v>
      </c>
      <c r="H436">
        <v>1288.6134033000001</v>
      </c>
      <c r="I436">
        <v>1435.5842285000001</v>
      </c>
      <c r="J436">
        <v>1401.5545654</v>
      </c>
      <c r="K436">
        <v>80</v>
      </c>
      <c r="L436">
        <v>79.865875243999994</v>
      </c>
      <c r="M436">
        <v>50</v>
      </c>
      <c r="N436">
        <v>21.368434906000001</v>
      </c>
    </row>
    <row r="437" spans="1:14" x14ac:dyDescent="0.25">
      <c r="A437">
        <v>184.16969399999999</v>
      </c>
      <c r="B437" s="1">
        <f>DATE(2010,11,1) + TIME(4,4,21)</f>
        <v>40483.169687499998</v>
      </c>
      <c r="C437">
        <v>0</v>
      </c>
      <c r="D437">
        <v>2400</v>
      </c>
      <c r="E437">
        <v>2400</v>
      </c>
      <c r="F437">
        <v>0</v>
      </c>
      <c r="G437">
        <v>1300.1719971</v>
      </c>
      <c r="H437">
        <v>1288.4908447</v>
      </c>
      <c r="I437">
        <v>1434.4447021000001</v>
      </c>
      <c r="J437">
        <v>1401.1687012</v>
      </c>
      <c r="K437">
        <v>80</v>
      </c>
      <c r="L437">
        <v>79.855957031000003</v>
      </c>
      <c r="M437">
        <v>50</v>
      </c>
      <c r="N437">
        <v>22.321807861</v>
      </c>
    </row>
    <row r="438" spans="1:14" x14ac:dyDescent="0.25">
      <c r="A438">
        <v>184.20036400000001</v>
      </c>
      <c r="B438" s="1">
        <f>DATE(2010,11,1) + TIME(4,48,31)</f>
        <v>40483.200358796297</v>
      </c>
      <c r="C438">
        <v>0</v>
      </c>
      <c r="D438">
        <v>2400</v>
      </c>
      <c r="E438">
        <v>2400</v>
      </c>
      <c r="F438">
        <v>0</v>
      </c>
      <c r="G438">
        <v>1300.1145019999999</v>
      </c>
      <c r="H438">
        <v>1288.4320068</v>
      </c>
      <c r="I438">
        <v>1433.3221435999999</v>
      </c>
      <c r="J438">
        <v>1400.7700195</v>
      </c>
      <c r="K438">
        <v>80</v>
      </c>
      <c r="L438">
        <v>79.845832825000002</v>
      </c>
      <c r="M438">
        <v>50</v>
      </c>
      <c r="N438">
        <v>23.273099899000002</v>
      </c>
    </row>
    <row r="439" spans="1:14" x14ac:dyDescent="0.25">
      <c r="A439">
        <v>184.23204999999999</v>
      </c>
      <c r="B439" s="1">
        <f>DATE(2010,11,1) + TIME(5,34,9)</f>
        <v>40483.232048611113</v>
      </c>
      <c r="C439">
        <v>0</v>
      </c>
      <c r="D439">
        <v>2400</v>
      </c>
      <c r="E439">
        <v>2400</v>
      </c>
      <c r="F439">
        <v>0</v>
      </c>
      <c r="G439">
        <v>1300.0861815999999</v>
      </c>
      <c r="H439">
        <v>1288.4024658000001</v>
      </c>
      <c r="I439">
        <v>1432.2374268000001</v>
      </c>
      <c r="J439">
        <v>1400.3811035000001</v>
      </c>
      <c r="K439">
        <v>80</v>
      </c>
      <c r="L439">
        <v>79.835487365999995</v>
      </c>
      <c r="M439">
        <v>50</v>
      </c>
      <c r="N439">
        <v>24.222763061999999</v>
      </c>
    </row>
    <row r="440" spans="1:14" x14ac:dyDescent="0.25">
      <c r="A440">
        <v>184.26482799999999</v>
      </c>
      <c r="B440" s="1">
        <f>DATE(2010,11,1) + TIME(6,21,21)</f>
        <v>40483.264826388891</v>
      </c>
      <c r="C440">
        <v>0</v>
      </c>
      <c r="D440">
        <v>2400</v>
      </c>
      <c r="E440">
        <v>2400</v>
      </c>
      <c r="F440">
        <v>0</v>
      </c>
      <c r="G440">
        <v>1300.0720214999999</v>
      </c>
      <c r="H440">
        <v>1288.3870850000001</v>
      </c>
      <c r="I440">
        <v>1431.1945800999999</v>
      </c>
      <c r="J440">
        <v>1400.0072021000001</v>
      </c>
      <c r="K440">
        <v>80</v>
      </c>
      <c r="L440">
        <v>79.824897766000007</v>
      </c>
      <c r="M440">
        <v>50</v>
      </c>
      <c r="N440">
        <v>25.170848845999998</v>
      </c>
    </row>
    <row r="441" spans="1:14" x14ac:dyDescent="0.25">
      <c r="A441">
        <v>184.298779</v>
      </c>
      <c r="B441" s="1">
        <f>DATE(2010,11,1) + TIME(7,10,14)</f>
        <v>40483.298773148148</v>
      </c>
      <c r="C441">
        <v>0</v>
      </c>
      <c r="D441">
        <v>2400</v>
      </c>
      <c r="E441">
        <v>2400</v>
      </c>
      <c r="F441">
        <v>0</v>
      </c>
      <c r="G441">
        <v>1300.0648193</v>
      </c>
      <c r="H441">
        <v>1288.3786620999999</v>
      </c>
      <c r="I441">
        <v>1430.1915283000001</v>
      </c>
      <c r="J441">
        <v>1399.6479492000001</v>
      </c>
      <c r="K441">
        <v>80</v>
      </c>
      <c r="L441">
        <v>79.814041137999993</v>
      </c>
      <c r="M441">
        <v>50</v>
      </c>
      <c r="N441">
        <v>26.117719650000002</v>
      </c>
    </row>
    <row r="442" spans="1:14" x14ac:dyDescent="0.25">
      <c r="A442">
        <v>184.33399700000001</v>
      </c>
      <c r="B442" s="1">
        <f>DATE(2010,11,1) + TIME(8,0,57)</f>
        <v>40483.333993055552</v>
      </c>
      <c r="C442">
        <v>0</v>
      </c>
      <c r="D442">
        <v>2400</v>
      </c>
      <c r="E442">
        <v>2400</v>
      </c>
      <c r="F442">
        <v>0</v>
      </c>
      <c r="G442">
        <v>1300.0612793</v>
      </c>
      <c r="H442">
        <v>1288.3737793</v>
      </c>
      <c r="I442">
        <v>1429.2258300999999</v>
      </c>
      <c r="J442">
        <v>1399.3016356999999</v>
      </c>
      <c r="K442">
        <v>80</v>
      </c>
      <c r="L442">
        <v>79.802894592000001</v>
      </c>
      <c r="M442">
        <v>50</v>
      </c>
      <c r="N442">
        <v>27.062774657999999</v>
      </c>
    </row>
    <row r="443" spans="1:14" x14ac:dyDescent="0.25">
      <c r="A443">
        <v>184.37055899999999</v>
      </c>
      <c r="B443" s="1">
        <f>DATE(2010,11,1) + TIME(8,53,36)</f>
        <v>40483.370555555557</v>
      </c>
      <c r="C443">
        <v>0</v>
      </c>
      <c r="D443">
        <v>2400</v>
      </c>
      <c r="E443">
        <v>2400</v>
      </c>
      <c r="F443">
        <v>0</v>
      </c>
      <c r="G443">
        <v>1300.0595702999999</v>
      </c>
      <c r="H443">
        <v>1288.3706055</v>
      </c>
      <c r="I443">
        <v>1428.2952881000001</v>
      </c>
      <c r="J443">
        <v>1398.9670410000001</v>
      </c>
      <c r="K443">
        <v>80</v>
      </c>
      <c r="L443">
        <v>79.791450499999996</v>
      </c>
      <c r="M443">
        <v>50</v>
      </c>
      <c r="N443">
        <v>28.005308151000001</v>
      </c>
    </row>
    <row r="444" spans="1:14" x14ac:dyDescent="0.25">
      <c r="A444">
        <v>184.408601</v>
      </c>
      <c r="B444" s="1">
        <f>DATE(2010,11,1) + TIME(9,48,23)</f>
        <v>40483.408599537041</v>
      </c>
      <c r="C444">
        <v>0</v>
      </c>
      <c r="D444">
        <v>2400</v>
      </c>
      <c r="E444">
        <v>2400</v>
      </c>
      <c r="F444">
        <v>0</v>
      </c>
      <c r="G444">
        <v>1300.0587158000001</v>
      </c>
      <c r="H444">
        <v>1288.3681641000001</v>
      </c>
      <c r="I444">
        <v>1427.3970947</v>
      </c>
      <c r="J444">
        <v>1398.6425781</v>
      </c>
      <c r="K444">
        <v>80</v>
      </c>
      <c r="L444">
        <v>79.779670714999995</v>
      </c>
      <c r="M444">
        <v>50</v>
      </c>
      <c r="N444">
        <v>28.945758820000002</v>
      </c>
    </row>
    <row r="445" spans="1:14" x14ac:dyDescent="0.25">
      <c r="A445">
        <v>184.44825399999999</v>
      </c>
      <c r="B445" s="1">
        <f>DATE(2010,11,1) + TIME(10,45,29)</f>
        <v>40483.448252314818</v>
      </c>
      <c r="C445">
        <v>0</v>
      </c>
      <c r="D445">
        <v>2400</v>
      </c>
      <c r="E445">
        <v>2400</v>
      </c>
      <c r="F445">
        <v>0</v>
      </c>
      <c r="G445">
        <v>1300.0582274999999</v>
      </c>
      <c r="H445">
        <v>1288.3662108999999</v>
      </c>
      <c r="I445">
        <v>1426.5291748</v>
      </c>
      <c r="J445">
        <v>1398.3272704999999</v>
      </c>
      <c r="K445">
        <v>80</v>
      </c>
      <c r="L445">
        <v>79.767532349000007</v>
      </c>
      <c r="M445">
        <v>50</v>
      </c>
      <c r="N445">
        <v>29.884000778000001</v>
      </c>
    </row>
    <row r="446" spans="1:14" x14ac:dyDescent="0.25">
      <c r="A446">
        <v>184.489664</v>
      </c>
      <c r="B446" s="1">
        <f>DATE(2010,11,1) + TIME(11,45,6)</f>
        <v>40483.489652777775</v>
      </c>
      <c r="C446">
        <v>0</v>
      </c>
      <c r="D446">
        <v>2400</v>
      </c>
      <c r="E446">
        <v>2400</v>
      </c>
      <c r="F446">
        <v>0</v>
      </c>
      <c r="G446">
        <v>1300.0579834</v>
      </c>
      <c r="H446">
        <v>1288.3642577999999</v>
      </c>
      <c r="I446">
        <v>1425.6894531</v>
      </c>
      <c r="J446">
        <v>1398.0200195</v>
      </c>
      <c r="K446">
        <v>80</v>
      </c>
      <c r="L446">
        <v>79.754989624000004</v>
      </c>
      <c r="M446">
        <v>50</v>
      </c>
      <c r="N446">
        <v>30.820053100999999</v>
      </c>
    </row>
    <row r="447" spans="1:14" x14ac:dyDescent="0.25">
      <c r="A447">
        <v>184.53299699999999</v>
      </c>
      <c r="B447" s="1">
        <f>DATE(2010,11,1) + TIME(12,47,30)</f>
        <v>40483.532986111109</v>
      </c>
      <c r="C447">
        <v>0</v>
      </c>
      <c r="D447">
        <v>2400</v>
      </c>
      <c r="E447">
        <v>2400</v>
      </c>
      <c r="F447">
        <v>0</v>
      </c>
      <c r="G447">
        <v>1300.0578613</v>
      </c>
      <c r="H447">
        <v>1288.3623047000001</v>
      </c>
      <c r="I447">
        <v>1424.8762207</v>
      </c>
      <c r="J447">
        <v>1397.7200928</v>
      </c>
      <c r="K447">
        <v>80</v>
      </c>
      <c r="L447">
        <v>79.742019653</v>
      </c>
      <c r="M447">
        <v>50</v>
      </c>
      <c r="N447">
        <v>31.753559113000001</v>
      </c>
    </row>
    <row r="448" spans="1:14" x14ac:dyDescent="0.25">
      <c r="A448">
        <v>184.57843600000001</v>
      </c>
      <c r="B448" s="1">
        <f>DATE(2010,11,1) + TIME(13,52,56)</f>
        <v>40483.578425925924</v>
      </c>
      <c r="C448">
        <v>0</v>
      </c>
      <c r="D448">
        <v>2400</v>
      </c>
      <c r="E448">
        <v>2400</v>
      </c>
      <c r="F448">
        <v>0</v>
      </c>
      <c r="G448">
        <v>1300.0576172000001</v>
      </c>
      <c r="H448">
        <v>1288.3602295000001</v>
      </c>
      <c r="I448">
        <v>1424.0880127</v>
      </c>
      <c r="J448">
        <v>1397.4265137</v>
      </c>
      <c r="K448">
        <v>80</v>
      </c>
      <c r="L448">
        <v>79.728584290000001</v>
      </c>
      <c r="M448">
        <v>50</v>
      </c>
      <c r="N448">
        <v>32.684085846000002</v>
      </c>
    </row>
    <row r="449" spans="1:14" x14ac:dyDescent="0.25">
      <c r="A449">
        <v>184.62619000000001</v>
      </c>
      <c r="B449" s="1">
        <f>DATE(2010,11,1) + TIME(15,1,42)</f>
        <v>40483.626180555555</v>
      </c>
      <c r="C449">
        <v>0</v>
      </c>
      <c r="D449">
        <v>2400</v>
      </c>
      <c r="E449">
        <v>2400</v>
      </c>
      <c r="F449">
        <v>0</v>
      </c>
      <c r="G449">
        <v>1300.057251</v>
      </c>
      <c r="H449">
        <v>1288.3579102000001</v>
      </c>
      <c r="I449">
        <v>1423.3234863</v>
      </c>
      <c r="J449">
        <v>1397.1385498</v>
      </c>
      <c r="K449">
        <v>80</v>
      </c>
      <c r="L449">
        <v>79.714630127000007</v>
      </c>
      <c r="M449">
        <v>50</v>
      </c>
      <c r="N449">
        <v>33.611213683999999</v>
      </c>
    </row>
    <row r="450" spans="1:14" x14ac:dyDescent="0.25">
      <c r="A450">
        <v>184.676514</v>
      </c>
      <c r="B450" s="1">
        <f>DATE(2010,11,1) + TIME(16,14,10)</f>
        <v>40483.676504629628</v>
      </c>
      <c r="C450">
        <v>0</v>
      </c>
      <c r="D450">
        <v>2400</v>
      </c>
      <c r="E450">
        <v>2400</v>
      </c>
      <c r="F450">
        <v>0</v>
      </c>
      <c r="G450">
        <v>1300.0568848</v>
      </c>
      <c r="H450">
        <v>1288.3554687999999</v>
      </c>
      <c r="I450">
        <v>1422.5810547000001</v>
      </c>
      <c r="J450">
        <v>1396.8557129000001</v>
      </c>
      <c r="K450">
        <v>80</v>
      </c>
      <c r="L450">
        <v>79.700103760000005</v>
      </c>
      <c r="M450">
        <v>50</v>
      </c>
      <c r="N450">
        <v>34.534671783</v>
      </c>
    </row>
    <row r="451" spans="1:14" x14ac:dyDescent="0.25">
      <c r="A451">
        <v>184.72970000000001</v>
      </c>
      <c r="B451" s="1">
        <f>DATE(2010,11,1) + TIME(17,30,46)</f>
        <v>40483.729699074072</v>
      </c>
      <c r="C451">
        <v>0</v>
      </c>
      <c r="D451">
        <v>2400</v>
      </c>
      <c r="E451">
        <v>2400</v>
      </c>
      <c r="F451">
        <v>0</v>
      </c>
      <c r="G451">
        <v>1300.0563964999999</v>
      </c>
      <c r="H451">
        <v>1288.3527832</v>
      </c>
      <c r="I451">
        <v>1421.8592529</v>
      </c>
      <c r="J451">
        <v>1396.5767822</v>
      </c>
      <c r="K451">
        <v>80</v>
      </c>
      <c r="L451">
        <v>79.684944153000004</v>
      </c>
      <c r="M451">
        <v>50</v>
      </c>
      <c r="N451">
        <v>35.454086304</v>
      </c>
    </row>
    <row r="452" spans="1:14" x14ac:dyDescent="0.25">
      <c r="A452">
        <v>184.78609599999999</v>
      </c>
      <c r="B452" s="1">
        <f>DATE(2010,11,1) + TIME(18,51,58)</f>
        <v>40483.786087962966</v>
      </c>
      <c r="C452">
        <v>0</v>
      </c>
      <c r="D452">
        <v>2400</v>
      </c>
      <c r="E452">
        <v>2400</v>
      </c>
      <c r="F452">
        <v>0</v>
      </c>
      <c r="G452">
        <v>1300.0559082</v>
      </c>
      <c r="H452">
        <v>1288.3499756000001</v>
      </c>
      <c r="I452">
        <v>1421.1567382999999</v>
      </c>
      <c r="J452">
        <v>1396.3012695</v>
      </c>
      <c r="K452">
        <v>80</v>
      </c>
      <c r="L452">
        <v>79.669082642000006</v>
      </c>
      <c r="M452">
        <v>50</v>
      </c>
      <c r="N452">
        <v>36.369022369</v>
      </c>
    </row>
    <row r="453" spans="1:14" x14ac:dyDescent="0.25">
      <c r="A453">
        <v>184.84610900000001</v>
      </c>
      <c r="B453" s="1">
        <f>DATE(2010,11,1) + TIME(20,18,23)</f>
        <v>40483.846099537041</v>
      </c>
      <c r="C453">
        <v>0</v>
      </c>
      <c r="D453">
        <v>2400</v>
      </c>
      <c r="E453">
        <v>2400</v>
      </c>
      <c r="F453">
        <v>0</v>
      </c>
      <c r="G453">
        <v>1300.0551757999999</v>
      </c>
      <c r="H453">
        <v>1288.3469238</v>
      </c>
      <c r="I453">
        <v>1420.4720459</v>
      </c>
      <c r="J453">
        <v>1396.0281981999999</v>
      </c>
      <c r="K453">
        <v>80</v>
      </c>
      <c r="L453">
        <v>79.652420043999996</v>
      </c>
      <c r="M453">
        <v>50</v>
      </c>
      <c r="N453">
        <v>37.278968810999999</v>
      </c>
    </row>
    <row r="454" spans="1:14" x14ac:dyDescent="0.25">
      <c r="A454">
        <v>184.91023300000001</v>
      </c>
      <c r="B454" s="1">
        <f>DATE(2010,11,1) + TIME(21,50,44)</f>
        <v>40483.910231481481</v>
      </c>
      <c r="C454">
        <v>0</v>
      </c>
      <c r="D454">
        <v>2400</v>
      </c>
      <c r="E454">
        <v>2400</v>
      </c>
      <c r="F454">
        <v>0</v>
      </c>
      <c r="G454">
        <v>1300.0543213000001</v>
      </c>
      <c r="H454">
        <v>1288.3435059000001</v>
      </c>
      <c r="I454">
        <v>1419.8037108999999</v>
      </c>
      <c r="J454">
        <v>1395.7565918</v>
      </c>
      <c r="K454">
        <v>80</v>
      </c>
      <c r="L454">
        <v>79.634872436999999</v>
      </c>
      <c r="M454">
        <v>50</v>
      </c>
      <c r="N454">
        <v>38.183322906000001</v>
      </c>
    </row>
    <row r="455" spans="1:14" x14ac:dyDescent="0.25">
      <c r="A455">
        <v>184.979061</v>
      </c>
      <c r="B455" s="1">
        <f>DATE(2010,11,1) + TIME(23,29,50)</f>
        <v>40483.979050925926</v>
      </c>
      <c r="C455">
        <v>0</v>
      </c>
      <c r="D455">
        <v>2400</v>
      </c>
      <c r="E455">
        <v>2400</v>
      </c>
      <c r="F455">
        <v>0</v>
      </c>
      <c r="G455">
        <v>1300.0532227000001</v>
      </c>
      <c r="H455">
        <v>1288.3399658000001</v>
      </c>
      <c r="I455">
        <v>1419.1503906</v>
      </c>
      <c r="J455">
        <v>1395.4854736</v>
      </c>
      <c r="K455">
        <v>80</v>
      </c>
      <c r="L455">
        <v>79.616302489999995</v>
      </c>
      <c r="M455">
        <v>50</v>
      </c>
      <c r="N455">
        <v>39.081363678000002</v>
      </c>
    </row>
    <row r="456" spans="1:14" x14ac:dyDescent="0.25">
      <c r="A456">
        <v>185.05332300000001</v>
      </c>
      <c r="B456" s="1">
        <f>DATE(2010,11,2) + TIME(1,16,47)</f>
        <v>40484.05332175926</v>
      </c>
      <c r="C456">
        <v>0</v>
      </c>
      <c r="D456">
        <v>2400</v>
      </c>
      <c r="E456">
        <v>2400</v>
      </c>
      <c r="F456">
        <v>0</v>
      </c>
      <c r="G456">
        <v>1300.052124</v>
      </c>
      <c r="H456">
        <v>1288.3360596</v>
      </c>
      <c r="I456">
        <v>1418.5104980000001</v>
      </c>
      <c r="J456">
        <v>1395.2137451000001</v>
      </c>
      <c r="K456">
        <v>80</v>
      </c>
      <c r="L456">
        <v>79.596572875999996</v>
      </c>
      <c r="M456">
        <v>50</v>
      </c>
      <c r="N456">
        <v>39.972221374999997</v>
      </c>
    </row>
    <row r="457" spans="1:14" x14ac:dyDescent="0.25">
      <c r="A457">
        <v>185.133925</v>
      </c>
      <c r="B457" s="1">
        <f>DATE(2010,11,2) + TIME(3,12,51)</f>
        <v>40484.133923611109</v>
      </c>
      <c r="C457">
        <v>0</v>
      </c>
      <c r="D457">
        <v>2400</v>
      </c>
      <c r="E457">
        <v>2400</v>
      </c>
      <c r="F457">
        <v>0</v>
      </c>
      <c r="G457">
        <v>1300.0506591999999</v>
      </c>
      <c r="H457">
        <v>1288.3319091999999</v>
      </c>
      <c r="I457">
        <v>1417.8825684000001</v>
      </c>
      <c r="J457">
        <v>1394.9400635</v>
      </c>
      <c r="K457">
        <v>80</v>
      </c>
      <c r="L457">
        <v>79.575492858999993</v>
      </c>
      <c r="M457">
        <v>50</v>
      </c>
      <c r="N457">
        <v>40.855079650999997</v>
      </c>
    </row>
    <row r="458" spans="1:14" x14ac:dyDescent="0.25">
      <c r="A458">
        <v>185.22201100000001</v>
      </c>
      <c r="B458" s="1">
        <f>DATE(2010,11,2) + TIME(5,19,41)</f>
        <v>40484.222002314818</v>
      </c>
      <c r="C458">
        <v>0</v>
      </c>
      <c r="D458">
        <v>2400</v>
      </c>
      <c r="E458">
        <v>2400</v>
      </c>
      <c r="F458">
        <v>0</v>
      </c>
      <c r="G458">
        <v>1300.0490723</v>
      </c>
      <c r="H458">
        <v>1288.3272704999999</v>
      </c>
      <c r="I458">
        <v>1417.2648925999999</v>
      </c>
      <c r="J458">
        <v>1394.6632079999999</v>
      </c>
      <c r="K458">
        <v>80</v>
      </c>
      <c r="L458">
        <v>79.552841186999999</v>
      </c>
      <c r="M458">
        <v>50</v>
      </c>
      <c r="N458">
        <v>41.728446959999999</v>
      </c>
    </row>
    <row r="459" spans="1:14" x14ac:dyDescent="0.25">
      <c r="A459">
        <v>185.31903399999999</v>
      </c>
      <c r="B459" s="1">
        <f>DATE(2010,11,2) + TIME(7,39,24)</f>
        <v>40484.319027777776</v>
      </c>
      <c r="C459">
        <v>0</v>
      </c>
      <c r="D459">
        <v>2400</v>
      </c>
      <c r="E459">
        <v>2400</v>
      </c>
      <c r="F459">
        <v>0</v>
      </c>
      <c r="G459">
        <v>1300.0471190999999</v>
      </c>
      <c r="H459">
        <v>1288.3222656</v>
      </c>
      <c r="I459">
        <v>1416.6558838000001</v>
      </c>
      <c r="J459">
        <v>1394.3813477000001</v>
      </c>
      <c r="K459">
        <v>80</v>
      </c>
      <c r="L459">
        <v>79.528327942000004</v>
      </c>
      <c r="M459">
        <v>50</v>
      </c>
      <c r="N459">
        <v>42.590599060000002</v>
      </c>
    </row>
    <row r="460" spans="1:14" x14ac:dyDescent="0.25">
      <c r="A460">
        <v>185.42694299999999</v>
      </c>
      <c r="B460" s="1">
        <f>DATE(2010,11,2) + TIME(10,14,47)</f>
        <v>40484.426932870374</v>
      </c>
      <c r="C460">
        <v>0</v>
      </c>
      <c r="D460">
        <v>2400</v>
      </c>
      <c r="E460">
        <v>2400</v>
      </c>
      <c r="F460">
        <v>0</v>
      </c>
      <c r="G460">
        <v>1300.0449219</v>
      </c>
      <c r="H460">
        <v>1288.3168945</v>
      </c>
      <c r="I460">
        <v>1416.0535889</v>
      </c>
      <c r="J460">
        <v>1394.0927733999999</v>
      </c>
      <c r="K460">
        <v>80</v>
      </c>
      <c r="L460">
        <v>79.501579285000005</v>
      </c>
      <c r="M460">
        <v>50</v>
      </c>
      <c r="N460">
        <v>43.439746857000003</v>
      </c>
    </row>
    <row r="461" spans="1:14" x14ac:dyDescent="0.25">
      <c r="A461">
        <v>185.54277300000001</v>
      </c>
      <c r="B461" s="1">
        <f>DATE(2010,11,2) + TIME(13,1,35)</f>
        <v>40484.542766203704</v>
      </c>
      <c r="C461">
        <v>0</v>
      </c>
      <c r="D461">
        <v>2400</v>
      </c>
      <c r="E461">
        <v>2400</v>
      </c>
      <c r="F461">
        <v>0</v>
      </c>
      <c r="G461">
        <v>1300.0421143000001</v>
      </c>
      <c r="H461">
        <v>1288.3107910000001</v>
      </c>
      <c r="I461">
        <v>1415.4755858999999</v>
      </c>
      <c r="J461">
        <v>1393.8020019999999</v>
      </c>
      <c r="K461">
        <v>80</v>
      </c>
      <c r="L461">
        <v>79.473312378000003</v>
      </c>
      <c r="M461">
        <v>50</v>
      </c>
      <c r="N461">
        <v>44.239879608000003</v>
      </c>
    </row>
    <row r="462" spans="1:14" x14ac:dyDescent="0.25">
      <c r="A462">
        <v>185.65904</v>
      </c>
      <c r="B462" s="1">
        <f>DATE(2010,11,2) + TIME(15,49,1)</f>
        <v>40484.659039351849</v>
      </c>
      <c r="C462">
        <v>0</v>
      </c>
      <c r="D462">
        <v>2400</v>
      </c>
      <c r="E462">
        <v>2400</v>
      </c>
      <c r="F462">
        <v>0</v>
      </c>
      <c r="G462">
        <v>1300.0388184000001</v>
      </c>
      <c r="H462">
        <v>1288.3043213000001</v>
      </c>
      <c r="I462">
        <v>1414.9492187999999</v>
      </c>
      <c r="J462">
        <v>1393.5216064000001</v>
      </c>
      <c r="K462">
        <v>80</v>
      </c>
      <c r="L462">
        <v>79.445129394999995</v>
      </c>
      <c r="M462">
        <v>50</v>
      </c>
      <c r="N462">
        <v>44.944393157999997</v>
      </c>
    </row>
    <row r="463" spans="1:14" x14ac:dyDescent="0.25">
      <c r="A463">
        <v>185.77672799999999</v>
      </c>
      <c r="B463" s="1">
        <f>DATE(2010,11,2) + TIME(18,38,29)</f>
        <v>40484.776724537034</v>
      </c>
      <c r="C463">
        <v>0</v>
      </c>
      <c r="D463">
        <v>2400</v>
      </c>
      <c r="E463">
        <v>2400</v>
      </c>
      <c r="F463">
        <v>0</v>
      </c>
      <c r="G463">
        <v>1300.0354004000001</v>
      </c>
      <c r="H463">
        <v>1288.2978516000001</v>
      </c>
      <c r="I463">
        <v>1414.4705810999999</v>
      </c>
      <c r="J463">
        <v>1393.2567139</v>
      </c>
      <c r="K463">
        <v>80</v>
      </c>
      <c r="L463">
        <v>79.416816710999996</v>
      </c>
      <c r="M463">
        <v>50</v>
      </c>
      <c r="N463">
        <v>45.568744658999996</v>
      </c>
    </row>
    <row r="464" spans="1:14" x14ac:dyDescent="0.25">
      <c r="A464">
        <v>185.896398</v>
      </c>
      <c r="B464" s="1">
        <f>DATE(2010,11,2) + TIME(21,30,48)</f>
        <v>40484.89638888889</v>
      </c>
      <c r="C464">
        <v>0</v>
      </c>
      <c r="D464">
        <v>2400</v>
      </c>
      <c r="E464">
        <v>2400</v>
      </c>
      <c r="F464">
        <v>0</v>
      </c>
      <c r="G464">
        <v>1300.0317382999999</v>
      </c>
      <c r="H464">
        <v>1288.2912598</v>
      </c>
      <c r="I464">
        <v>1414.03125</v>
      </c>
      <c r="J464">
        <v>1393.0041504000001</v>
      </c>
      <c r="K464">
        <v>80</v>
      </c>
      <c r="L464">
        <v>79.388259887999993</v>
      </c>
      <c r="M464">
        <v>50</v>
      </c>
      <c r="N464">
        <v>46.123245238999999</v>
      </c>
    </row>
    <row r="465" spans="1:14" x14ac:dyDescent="0.25">
      <c r="A465">
        <v>186.01858799999999</v>
      </c>
      <c r="B465" s="1">
        <f>DATE(2010,11,3) + TIME(0,26,45)</f>
        <v>40485.018576388888</v>
      </c>
      <c r="C465">
        <v>0</v>
      </c>
      <c r="D465">
        <v>2400</v>
      </c>
      <c r="E465">
        <v>2400</v>
      </c>
      <c r="F465">
        <v>0</v>
      </c>
      <c r="G465">
        <v>1300.027832</v>
      </c>
      <c r="H465">
        <v>1288.2845459</v>
      </c>
      <c r="I465">
        <v>1413.6251221</v>
      </c>
      <c r="J465">
        <v>1392.7617187999999</v>
      </c>
      <c r="K465">
        <v>80</v>
      </c>
      <c r="L465">
        <v>79.359329224000007</v>
      </c>
      <c r="M465">
        <v>50</v>
      </c>
      <c r="N465">
        <v>46.616287231000001</v>
      </c>
    </row>
    <row r="466" spans="1:14" x14ac:dyDescent="0.25">
      <c r="A466">
        <v>186.14384000000001</v>
      </c>
      <c r="B466" s="1">
        <f>DATE(2010,11,3) + TIME(3,27,7)</f>
        <v>40485.143831018519</v>
      </c>
      <c r="C466">
        <v>0</v>
      </c>
      <c r="D466">
        <v>2400</v>
      </c>
      <c r="E466">
        <v>2400</v>
      </c>
      <c r="F466">
        <v>0</v>
      </c>
      <c r="G466">
        <v>1300.0236815999999</v>
      </c>
      <c r="H466">
        <v>1288.2777100000001</v>
      </c>
      <c r="I466">
        <v>1413.2470702999999</v>
      </c>
      <c r="J466">
        <v>1392.5275879000001</v>
      </c>
      <c r="K466">
        <v>80</v>
      </c>
      <c r="L466">
        <v>79.329925536999994</v>
      </c>
      <c r="M466">
        <v>50</v>
      </c>
      <c r="N466">
        <v>47.054882050000003</v>
      </c>
    </row>
    <row r="467" spans="1:14" x14ac:dyDescent="0.25">
      <c r="A467">
        <v>186.27271300000001</v>
      </c>
      <c r="B467" s="1">
        <f>DATE(2010,11,3) + TIME(6,32,42)</f>
        <v>40485.27270833333</v>
      </c>
      <c r="C467">
        <v>0</v>
      </c>
      <c r="D467">
        <v>2400</v>
      </c>
      <c r="E467">
        <v>2400</v>
      </c>
      <c r="F467">
        <v>0</v>
      </c>
      <c r="G467">
        <v>1300.0191649999999</v>
      </c>
      <c r="H467">
        <v>1288.2706298999999</v>
      </c>
      <c r="I467">
        <v>1412.8929443</v>
      </c>
      <c r="J467">
        <v>1392.3001709</v>
      </c>
      <c r="K467">
        <v>80</v>
      </c>
      <c r="L467">
        <v>79.299919127999999</v>
      </c>
      <c r="M467">
        <v>50</v>
      </c>
      <c r="N467">
        <v>47.444931029999999</v>
      </c>
    </row>
    <row r="468" spans="1:14" x14ac:dyDescent="0.25">
      <c r="A468">
        <v>186.40580499999999</v>
      </c>
      <c r="B468" s="1">
        <f>DATE(2010,11,3) + TIME(9,44,21)</f>
        <v>40485.405798611115</v>
      </c>
      <c r="C468">
        <v>0</v>
      </c>
      <c r="D468">
        <v>2400</v>
      </c>
      <c r="E468">
        <v>2400</v>
      </c>
      <c r="F468">
        <v>0</v>
      </c>
      <c r="G468">
        <v>1300.0145264</v>
      </c>
      <c r="H468">
        <v>1288.2633057</v>
      </c>
      <c r="I468">
        <v>1412.5593262</v>
      </c>
      <c r="J468">
        <v>1392.078125</v>
      </c>
      <c r="K468">
        <v>80</v>
      </c>
      <c r="L468">
        <v>79.269195557000003</v>
      </c>
      <c r="M468">
        <v>50</v>
      </c>
      <c r="N468">
        <v>47.791503906000003</v>
      </c>
    </row>
    <row r="469" spans="1:14" x14ac:dyDescent="0.25">
      <c r="A469">
        <v>186.54370299999999</v>
      </c>
      <c r="B469" s="1">
        <f>DATE(2010,11,3) + TIME(13,2,55)</f>
        <v>40485.543692129628</v>
      </c>
      <c r="C469">
        <v>0</v>
      </c>
      <c r="D469">
        <v>2400</v>
      </c>
      <c r="E469">
        <v>2400</v>
      </c>
      <c r="F469">
        <v>0</v>
      </c>
      <c r="G469">
        <v>1300.0095214999999</v>
      </c>
      <c r="H469">
        <v>1288.2558594</v>
      </c>
      <c r="I469">
        <v>1412.2430420000001</v>
      </c>
      <c r="J469">
        <v>1391.8603516000001</v>
      </c>
      <c r="K469">
        <v>80</v>
      </c>
      <c r="L469">
        <v>79.237632751000007</v>
      </c>
      <c r="M469">
        <v>50</v>
      </c>
      <c r="N469">
        <v>48.098857879999997</v>
      </c>
    </row>
    <row r="470" spans="1:14" x14ac:dyDescent="0.25">
      <c r="A470">
        <v>186.68709100000001</v>
      </c>
      <c r="B470" s="1">
        <f>DATE(2010,11,3) + TIME(16,29,24)</f>
        <v>40485.687083333331</v>
      </c>
      <c r="C470">
        <v>0</v>
      </c>
      <c r="D470">
        <v>2400</v>
      </c>
      <c r="E470">
        <v>2400</v>
      </c>
      <c r="F470">
        <v>0</v>
      </c>
      <c r="G470">
        <v>1300.0041504000001</v>
      </c>
      <c r="H470">
        <v>1288.2480469</v>
      </c>
      <c r="I470">
        <v>1411.9417725000001</v>
      </c>
      <c r="J470">
        <v>1391.6457519999999</v>
      </c>
      <c r="K470">
        <v>80</v>
      </c>
      <c r="L470">
        <v>79.205108643000003</v>
      </c>
      <c r="M470">
        <v>50</v>
      </c>
      <c r="N470">
        <v>48.370826721</v>
      </c>
    </row>
    <row r="471" spans="1:14" x14ac:dyDescent="0.25">
      <c r="A471">
        <v>186.83676500000001</v>
      </c>
      <c r="B471" s="1">
        <f>DATE(2010,11,3) + TIME(20,4,56)</f>
        <v>40485.836759259262</v>
      </c>
      <c r="C471">
        <v>0</v>
      </c>
      <c r="D471">
        <v>2400</v>
      </c>
      <c r="E471">
        <v>2400</v>
      </c>
      <c r="F471">
        <v>0</v>
      </c>
      <c r="G471">
        <v>1299.9985352000001</v>
      </c>
      <c r="H471">
        <v>1288.2398682</v>
      </c>
      <c r="I471">
        <v>1411.6530762</v>
      </c>
      <c r="J471">
        <v>1391.4334716999999</v>
      </c>
      <c r="K471">
        <v>80</v>
      </c>
      <c r="L471">
        <v>79.171455382999994</v>
      </c>
      <c r="M471">
        <v>50</v>
      </c>
      <c r="N471">
        <v>48.610832213999998</v>
      </c>
    </row>
    <row r="472" spans="1:14" x14ac:dyDescent="0.25">
      <c r="A472">
        <v>186.99340599999999</v>
      </c>
      <c r="B472" s="1">
        <f>DATE(2010,11,3) + TIME(23,50,30)</f>
        <v>40485.993402777778</v>
      </c>
      <c r="C472">
        <v>0</v>
      </c>
      <c r="D472">
        <v>2400</v>
      </c>
      <c r="E472">
        <v>2400</v>
      </c>
      <c r="F472">
        <v>0</v>
      </c>
      <c r="G472">
        <v>1299.9924315999999</v>
      </c>
      <c r="H472">
        <v>1288.2314452999999</v>
      </c>
      <c r="I472">
        <v>1411.3751221</v>
      </c>
      <c r="J472">
        <v>1391.2226562000001</v>
      </c>
      <c r="K472">
        <v>80</v>
      </c>
      <c r="L472">
        <v>79.136566161999994</v>
      </c>
      <c r="M472">
        <v>50</v>
      </c>
      <c r="N472">
        <v>48.821670531999999</v>
      </c>
    </row>
    <row r="473" spans="1:14" x14ac:dyDescent="0.25">
      <c r="A473">
        <v>187.15804499999999</v>
      </c>
      <c r="B473" s="1">
        <f>DATE(2010,11,4) + TIME(3,47,35)</f>
        <v>40486.158043981479</v>
      </c>
      <c r="C473">
        <v>0</v>
      </c>
      <c r="D473">
        <v>2400</v>
      </c>
      <c r="E473">
        <v>2400</v>
      </c>
      <c r="F473">
        <v>0</v>
      </c>
      <c r="G473">
        <v>1299.9859618999999</v>
      </c>
      <c r="H473">
        <v>1288.2224120999999</v>
      </c>
      <c r="I473">
        <v>1411.1062012</v>
      </c>
      <c r="J473">
        <v>1391.0124512</v>
      </c>
      <c r="K473">
        <v>80</v>
      </c>
      <c r="L473">
        <v>79.100234985</v>
      </c>
      <c r="M473">
        <v>50</v>
      </c>
      <c r="N473">
        <v>49.006175995</v>
      </c>
    </row>
    <row r="474" spans="1:14" x14ac:dyDescent="0.25">
      <c r="A474">
        <v>187.33187599999999</v>
      </c>
      <c r="B474" s="1">
        <f>DATE(2010,11,4) + TIME(7,57,54)</f>
        <v>40486.331875000003</v>
      </c>
      <c r="C474">
        <v>0</v>
      </c>
      <c r="D474">
        <v>2400</v>
      </c>
      <c r="E474">
        <v>2400</v>
      </c>
      <c r="F474">
        <v>0</v>
      </c>
      <c r="G474">
        <v>1299.979126</v>
      </c>
      <c r="H474">
        <v>1288.2131348</v>
      </c>
      <c r="I474">
        <v>1410.8443603999999</v>
      </c>
      <c r="J474">
        <v>1390.802124</v>
      </c>
      <c r="K474">
        <v>80</v>
      </c>
      <c r="L474">
        <v>79.062248229999994</v>
      </c>
      <c r="M474">
        <v>50</v>
      </c>
      <c r="N474">
        <v>49.166893004999999</v>
      </c>
    </row>
    <row r="475" spans="1:14" x14ac:dyDescent="0.25">
      <c r="A475">
        <v>187.51631800000001</v>
      </c>
      <c r="B475" s="1">
        <f>DATE(2010,11,4) + TIME(12,23,29)</f>
        <v>40486.51630787037</v>
      </c>
      <c r="C475">
        <v>0</v>
      </c>
      <c r="D475">
        <v>2400</v>
      </c>
      <c r="E475">
        <v>2400</v>
      </c>
      <c r="F475">
        <v>0</v>
      </c>
      <c r="G475">
        <v>1299.9716797000001</v>
      </c>
      <c r="H475">
        <v>1288.203125</v>
      </c>
      <c r="I475">
        <v>1410.5880127</v>
      </c>
      <c r="J475">
        <v>1390.5905762</v>
      </c>
      <c r="K475">
        <v>80</v>
      </c>
      <c r="L475">
        <v>79.022354125999996</v>
      </c>
      <c r="M475">
        <v>50</v>
      </c>
      <c r="N475">
        <v>49.306118011000002</v>
      </c>
    </row>
    <row r="476" spans="1:14" x14ac:dyDescent="0.25">
      <c r="A476">
        <v>187.71307300000001</v>
      </c>
      <c r="B476" s="1">
        <f>DATE(2010,11,4) + TIME(17,6,49)</f>
        <v>40486.713067129633</v>
      </c>
      <c r="C476">
        <v>0</v>
      </c>
      <c r="D476">
        <v>2400</v>
      </c>
      <c r="E476">
        <v>2400</v>
      </c>
      <c r="F476">
        <v>0</v>
      </c>
      <c r="G476">
        <v>1299.9637451000001</v>
      </c>
      <c r="H476">
        <v>1288.1926269999999</v>
      </c>
      <c r="I476">
        <v>1410.3353271000001</v>
      </c>
      <c r="J476">
        <v>1390.3769531</v>
      </c>
      <c r="K476">
        <v>80</v>
      </c>
      <c r="L476">
        <v>78.980255127000007</v>
      </c>
      <c r="M476">
        <v>50</v>
      </c>
      <c r="N476">
        <v>49.425949097</v>
      </c>
    </row>
    <row r="477" spans="1:14" x14ac:dyDescent="0.25">
      <c r="A477">
        <v>187.92358100000001</v>
      </c>
      <c r="B477" s="1">
        <f>DATE(2010,11,4) + TIME(22,9,57)</f>
        <v>40486.923576388886</v>
      </c>
      <c r="C477">
        <v>0</v>
      </c>
      <c r="D477">
        <v>2400</v>
      </c>
      <c r="E477">
        <v>2400</v>
      </c>
      <c r="F477">
        <v>0</v>
      </c>
      <c r="G477">
        <v>1299.9552002</v>
      </c>
      <c r="H477">
        <v>1288.1812743999999</v>
      </c>
      <c r="I477">
        <v>1410.0847168</v>
      </c>
      <c r="J477">
        <v>1390.1601562000001</v>
      </c>
      <c r="K477">
        <v>80</v>
      </c>
      <c r="L477">
        <v>78.935699463000006</v>
      </c>
      <c r="M477">
        <v>50</v>
      </c>
      <c r="N477">
        <v>49.528057097999998</v>
      </c>
    </row>
    <row r="478" spans="1:14" x14ac:dyDescent="0.25">
      <c r="A478">
        <v>188.14691999999999</v>
      </c>
      <c r="B478" s="1">
        <f>DATE(2010,11,5) + TIME(3,31,33)</f>
        <v>40487.146909722222</v>
      </c>
      <c r="C478">
        <v>0</v>
      </c>
      <c r="D478">
        <v>2400</v>
      </c>
      <c r="E478">
        <v>2400</v>
      </c>
      <c r="F478">
        <v>0</v>
      </c>
      <c r="G478">
        <v>1299.9459228999999</v>
      </c>
      <c r="H478">
        <v>1288.1691894999999</v>
      </c>
      <c r="I478">
        <v>1409.8355713000001</v>
      </c>
      <c r="J478">
        <v>1389.9396973</v>
      </c>
      <c r="K478">
        <v>80</v>
      </c>
      <c r="L478">
        <v>78.888832092000001</v>
      </c>
      <c r="M478">
        <v>50</v>
      </c>
      <c r="N478">
        <v>49.613327026</v>
      </c>
    </row>
    <row r="479" spans="1:14" x14ac:dyDescent="0.25">
      <c r="A479">
        <v>188.38531399999999</v>
      </c>
      <c r="B479" s="1">
        <f>DATE(2010,11,5) + TIME(9,14,51)</f>
        <v>40487.385312500002</v>
      </c>
      <c r="C479">
        <v>0</v>
      </c>
      <c r="D479">
        <v>2400</v>
      </c>
      <c r="E479">
        <v>2400</v>
      </c>
      <c r="F479">
        <v>0</v>
      </c>
      <c r="G479">
        <v>1299.9359131000001</v>
      </c>
      <c r="H479">
        <v>1288.1563721</v>
      </c>
      <c r="I479">
        <v>1409.5888672000001</v>
      </c>
      <c r="J479">
        <v>1389.7175293</v>
      </c>
      <c r="K479">
        <v>80</v>
      </c>
      <c r="L479">
        <v>78.839294433999996</v>
      </c>
      <c r="M479">
        <v>50</v>
      </c>
      <c r="N479">
        <v>49.684013366999999</v>
      </c>
    </row>
    <row r="480" spans="1:14" x14ac:dyDescent="0.25">
      <c r="A480">
        <v>188.63154299999999</v>
      </c>
      <c r="B480" s="1">
        <f>DATE(2010,11,5) + TIME(15,9,25)</f>
        <v>40487.631539351853</v>
      </c>
      <c r="C480">
        <v>0</v>
      </c>
      <c r="D480">
        <v>2400</v>
      </c>
      <c r="E480">
        <v>2400</v>
      </c>
      <c r="F480">
        <v>0</v>
      </c>
      <c r="G480">
        <v>1299.9250488</v>
      </c>
      <c r="H480">
        <v>1288.1427002</v>
      </c>
      <c r="I480">
        <v>1409.3436279</v>
      </c>
      <c r="J480">
        <v>1389.4926757999999</v>
      </c>
      <c r="K480">
        <v>80</v>
      </c>
      <c r="L480">
        <v>78.788230896000002</v>
      </c>
      <c r="M480">
        <v>50</v>
      </c>
      <c r="N480">
        <v>49.740360260000003</v>
      </c>
    </row>
    <row r="481" spans="1:14" x14ac:dyDescent="0.25">
      <c r="A481">
        <v>188.87939700000001</v>
      </c>
      <c r="B481" s="1">
        <f>DATE(2010,11,5) + TIME(21,6,19)</f>
        <v>40487.879386574074</v>
      </c>
      <c r="C481">
        <v>0</v>
      </c>
      <c r="D481">
        <v>2400</v>
      </c>
      <c r="E481">
        <v>2400</v>
      </c>
      <c r="F481">
        <v>0</v>
      </c>
      <c r="G481">
        <v>1299.9136963000001</v>
      </c>
      <c r="H481">
        <v>1288.128418</v>
      </c>
      <c r="I481">
        <v>1409.1064452999999</v>
      </c>
      <c r="J481">
        <v>1389.2719727000001</v>
      </c>
      <c r="K481">
        <v>80</v>
      </c>
      <c r="L481">
        <v>78.736679077000005</v>
      </c>
      <c r="M481">
        <v>50</v>
      </c>
      <c r="N481">
        <v>49.784118651999997</v>
      </c>
    </row>
    <row r="482" spans="1:14" x14ac:dyDescent="0.25">
      <c r="A482">
        <v>189.12993700000001</v>
      </c>
      <c r="B482" s="1">
        <f>DATE(2010,11,6) + TIME(3,7,6)</f>
        <v>40488.129930555559</v>
      </c>
      <c r="C482">
        <v>0</v>
      </c>
      <c r="D482">
        <v>2400</v>
      </c>
      <c r="E482">
        <v>2400</v>
      </c>
      <c r="F482">
        <v>0</v>
      </c>
      <c r="G482">
        <v>1299.9023437999999</v>
      </c>
      <c r="H482">
        <v>1288.1141356999999</v>
      </c>
      <c r="I482">
        <v>1408.8814697</v>
      </c>
      <c r="J482">
        <v>1389.0607910000001</v>
      </c>
      <c r="K482">
        <v>80</v>
      </c>
      <c r="L482">
        <v>78.684577942000004</v>
      </c>
      <c r="M482">
        <v>50</v>
      </c>
      <c r="N482">
        <v>49.818206787000001</v>
      </c>
    </row>
    <row r="483" spans="1:14" x14ac:dyDescent="0.25">
      <c r="A483">
        <v>189.38394700000001</v>
      </c>
      <c r="B483" s="1">
        <f>DATE(2010,11,6) + TIME(9,12,52)</f>
        <v>40488.383935185186</v>
      </c>
      <c r="C483">
        <v>0</v>
      </c>
      <c r="D483">
        <v>2400</v>
      </c>
      <c r="E483">
        <v>2400</v>
      </c>
      <c r="F483">
        <v>0</v>
      </c>
      <c r="G483">
        <v>1299.890625</v>
      </c>
      <c r="H483">
        <v>1288.0996094</v>
      </c>
      <c r="I483">
        <v>1408.6665039</v>
      </c>
      <c r="J483">
        <v>1388.8571777</v>
      </c>
      <c r="K483">
        <v>80</v>
      </c>
      <c r="L483">
        <v>78.631851196</v>
      </c>
      <c r="M483">
        <v>50</v>
      </c>
      <c r="N483">
        <v>49.844799041999998</v>
      </c>
    </row>
    <row r="484" spans="1:14" x14ac:dyDescent="0.25">
      <c r="A484">
        <v>189.642617</v>
      </c>
      <c r="B484" s="1">
        <f>DATE(2010,11,6) + TIME(15,25,22)</f>
        <v>40488.64261574074</v>
      </c>
      <c r="C484">
        <v>0</v>
      </c>
      <c r="D484">
        <v>2400</v>
      </c>
      <c r="E484">
        <v>2400</v>
      </c>
      <c r="F484">
        <v>0</v>
      </c>
      <c r="G484">
        <v>1299.8789062000001</v>
      </c>
      <c r="H484">
        <v>1288.0848389</v>
      </c>
      <c r="I484">
        <v>1408.4600829999999</v>
      </c>
      <c r="J484">
        <v>1388.6602783000001</v>
      </c>
      <c r="K484">
        <v>80</v>
      </c>
      <c r="L484">
        <v>78.578361510999997</v>
      </c>
      <c r="M484">
        <v>50</v>
      </c>
      <c r="N484">
        <v>49.865596771</v>
      </c>
    </row>
    <row r="485" spans="1:14" x14ac:dyDescent="0.25">
      <c r="A485">
        <v>189.90719799999999</v>
      </c>
      <c r="B485" s="1">
        <f>DATE(2010,11,6) + TIME(21,46,21)</f>
        <v>40488.907187500001</v>
      </c>
      <c r="C485">
        <v>0</v>
      </c>
      <c r="D485">
        <v>2400</v>
      </c>
      <c r="E485">
        <v>2400</v>
      </c>
      <c r="F485">
        <v>0</v>
      </c>
      <c r="G485">
        <v>1299.8668213000001</v>
      </c>
      <c r="H485">
        <v>1288.0697021000001</v>
      </c>
      <c r="I485">
        <v>1408.2601318</v>
      </c>
      <c r="J485">
        <v>1388.46875</v>
      </c>
      <c r="K485">
        <v>80</v>
      </c>
      <c r="L485">
        <v>78.523933411000002</v>
      </c>
      <c r="M485">
        <v>50</v>
      </c>
      <c r="N485">
        <v>49.881885529000002</v>
      </c>
    </row>
    <row r="486" spans="1:14" x14ac:dyDescent="0.25">
      <c r="A486">
        <v>190.17898700000001</v>
      </c>
      <c r="B486" s="1">
        <f>DATE(2010,11,7) + TIME(4,17,44)</f>
        <v>40489.178981481484</v>
      </c>
      <c r="C486">
        <v>0</v>
      </c>
      <c r="D486">
        <v>2400</v>
      </c>
      <c r="E486">
        <v>2400</v>
      </c>
      <c r="F486">
        <v>0</v>
      </c>
      <c r="G486">
        <v>1299.8543701000001</v>
      </c>
      <c r="H486">
        <v>1288.0543213000001</v>
      </c>
      <c r="I486">
        <v>1408.0656738</v>
      </c>
      <c r="J486">
        <v>1388.2814940999999</v>
      </c>
      <c r="K486">
        <v>80</v>
      </c>
      <c r="L486">
        <v>78.468368530000006</v>
      </c>
      <c r="M486">
        <v>50</v>
      </c>
      <c r="N486">
        <v>49.894653320000003</v>
      </c>
    </row>
    <row r="487" spans="1:14" x14ac:dyDescent="0.25">
      <c r="A487">
        <v>190.459361</v>
      </c>
      <c r="B487" s="1">
        <f>DATE(2010,11,7) + TIME(11,1,28)</f>
        <v>40489.459351851852</v>
      </c>
      <c r="C487">
        <v>0</v>
      </c>
      <c r="D487">
        <v>2400</v>
      </c>
      <c r="E487">
        <v>2400</v>
      </c>
      <c r="F487">
        <v>0</v>
      </c>
      <c r="G487">
        <v>1299.8416748</v>
      </c>
      <c r="H487">
        <v>1288.0384521000001</v>
      </c>
      <c r="I487">
        <v>1407.8751221</v>
      </c>
      <c r="J487">
        <v>1388.0972899999999</v>
      </c>
      <c r="K487">
        <v>80</v>
      </c>
      <c r="L487">
        <v>78.411468506000006</v>
      </c>
      <c r="M487">
        <v>50</v>
      </c>
      <c r="N487">
        <v>49.904663085999999</v>
      </c>
    </row>
    <row r="488" spans="1:14" x14ac:dyDescent="0.25">
      <c r="A488">
        <v>190.74971300000001</v>
      </c>
      <c r="B488" s="1">
        <f>DATE(2010,11,7) + TIME(17,59,35)</f>
        <v>40489.749710648146</v>
      </c>
      <c r="C488">
        <v>0</v>
      </c>
      <c r="D488">
        <v>2400</v>
      </c>
      <c r="E488">
        <v>2400</v>
      </c>
      <c r="F488">
        <v>0</v>
      </c>
      <c r="G488">
        <v>1299.8284911999999</v>
      </c>
      <c r="H488">
        <v>1288.0219727000001</v>
      </c>
      <c r="I488">
        <v>1407.6875</v>
      </c>
      <c r="J488">
        <v>1387.9155272999999</v>
      </c>
      <c r="K488">
        <v>80</v>
      </c>
      <c r="L488">
        <v>78.353004455999994</v>
      </c>
      <c r="M488">
        <v>50</v>
      </c>
      <c r="N488">
        <v>49.912509917999998</v>
      </c>
    </row>
    <row r="489" spans="1:14" x14ac:dyDescent="0.25">
      <c r="A489">
        <v>191.05124499999999</v>
      </c>
      <c r="B489" s="1">
        <f>DATE(2010,11,8) + TIME(1,13,47)</f>
        <v>40490.051238425927</v>
      </c>
      <c r="C489">
        <v>0</v>
      </c>
      <c r="D489">
        <v>2400</v>
      </c>
      <c r="E489">
        <v>2400</v>
      </c>
      <c r="F489">
        <v>0</v>
      </c>
      <c r="G489">
        <v>1299.8148193</v>
      </c>
      <c r="H489">
        <v>1288.0050048999999</v>
      </c>
      <c r="I489">
        <v>1407.5019531</v>
      </c>
      <c r="J489">
        <v>1387.7353516000001</v>
      </c>
      <c r="K489">
        <v>80</v>
      </c>
      <c r="L489">
        <v>78.292793274000005</v>
      </c>
      <c r="M489">
        <v>50</v>
      </c>
      <c r="N489">
        <v>49.918655395999998</v>
      </c>
    </row>
    <row r="490" spans="1:14" x14ac:dyDescent="0.25">
      <c r="A490">
        <v>191.36582899999999</v>
      </c>
      <c r="B490" s="1">
        <f>DATE(2010,11,8) + TIME(8,46,47)</f>
        <v>40490.36582175926</v>
      </c>
      <c r="C490">
        <v>0</v>
      </c>
      <c r="D490">
        <v>2400</v>
      </c>
      <c r="E490">
        <v>2400</v>
      </c>
      <c r="F490">
        <v>0</v>
      </c>
      <c r="G490">
        <v>1299.8006591999999</v>
      </c>
      <c r="H490">
        <v>1287.9873047000001</v>
      </c>
      <c r="I490">
        <v>1407.317749</v>
      </c>
      <c r="J490">
        <v>1387.5561522999999</v>
      </c>
      <c r="K490">
        <v>80</v>
      </c>
      <c r="L490">
        <v>78.230537415000001</v>
      </c>
      <c r="M490">
        <v>50</v>
      </c>
      <c r="N490">
        <v>49.923469543000003</v>
      </c>
    </row>
    <row r="491" spans="1:14" x14ac:dyDescent="0.25">
      <c r="A491">
        <v>191.69562099999999</v>
      </c>
      <c r="B491" s="1">
        <f>DATE(2010,11,8) + TIME(16,41,41)</f>
        <v>40490.695613425924</v>
      </c>
      <c r="C491">
        <v>0</v>
      </c>
      <c r="D491">
        <v>2400</v>
      </c>
      <c r="E491">
        <v>2400</v>
      </c>
      <c r="F491">
        <v>0</v>
      </c>
      <c r="G491">
        <v>1299.7857666</v>
      </c>
      <c r="H491">
        <v>1287.96875</v>
      </c>
      <c r="I491">
        <v>1407.1339111</v>
      </c>
      <c r="J491">
        <v>1387.3770752</v>
      </c>
      <c r="K491">
        <v>80</v>
      </c>
      <c r="L491">
        <v>78.165901184000006</v>
      </c>
      <c r="M491">
        <v>50</v>
      </c>
      <c r="N491">
        <v>49.927246093999997</v>
      </c>
    </row>
    <row r="492" spans="1:14" x14ac:dyDescent="0.25">
      <c r="A492">
        <v>192.04316800000001</v>
      </c>
      <c r="B492" s="1">
        <f>DATE(2010,11,9) + TIME(1,2,9)</f>
        <v>40491.04315972222</v>
      </c>
      <c r="C492">
        <v>0</v>
      </c>
      <c r="D492">
        <v>2400</v>
      </c>
      <c r="E492">
        <v>2400</v>
      </c>
      <c r="F492">
        <v>0</v>
      </c>
      <c r="G492">
        <v>1299.7700195</v>
      </c>
      <c r="H492">
        <v>1287.9493408000001</v>
      </c>
      <c r="I492">
        <v>1406.9498291</v>
      </c>
      <c r="J492">
        <v>1387.1975098</v>
      </c>
      <c r="K492">
        <v>80</v>
      </c>
      <c r="L492">
        <v>78.098487853999998</v>
      </c>
      <c r="M492">
        <v>50</v>
      </c>
      <c r="N492">
        <v>49.930206298999998</v>
      </c>
    </row>
    <row r="493" spans="1:14" x14ac:dyDescent="0.25">
      <c r="A493">
        <v>192.408671</v>
      </c>
      <c r="B493" s="1">
        <f>DATE(2010,11,9) + TIME(9,48,29)</f>
        <v>40491.408668981479</v>
      </c>
      <c r="C493">
        <v>0</v>
      </c>
      <c r="D493">
        <v>2400</v>
      </c>
      <c r="E493">
        <v>2400</v>
      </c>
      <c r="F493">
        <v>0</v>
      </c>
      <c r="G493">
        <v>1299.7535399999999</v>
      </c>
      <c r="H493">
        <v>1287.9288329999999</v>
      </c>
      <c r="I493">
        <v>1406.7642822</v>
      </c>
      <c r="J493">
        <v>1387.0163574000001</v>
      </c>
      <c r="K493">
        <v>80</v>
      </c>
      <c r="L493">
        <v>78.028228760000005</v>
      </c>
      <c r="M493">
        <v>50</v>
      </c>
      <c r="N493">
        <v>49.932525634999998</v>
      </c>
    </row>
    <row r="494" spans="1:14" x14ac:dyDescent="0.25">
      <c r="A494">
        <v>192.79307499999999</v>
      </c>
      <c r="B494" s="1">
        <f>DATE(2010,11,9) + TIME(19,2,1)</f>
        <v>40491.793067129627</v>
      </c>
      <c r="C494">
        <v>0</v>
      </c>
      <c r="D494">
        <v>2400</v>
      </c>
      <c r="E494">
        <v>2400</v>
      </c>
      <c r="F494">
        <v>0</v>
      </c>
      <c r="G494">
        <v>1299.7360839999999</v>
      </c>
      <c r="H494">
        <v>1287.9072266000001</v>
      </c>
      <c r="I494">
        <v>1406.5778809000001</v>
      </c>
      <c r="J494">
        <v>1386.8342285000001</v>
      </c>
      <c r="K494">
        <v>80</v>
      </c>
      <c r="L494">
        <v>77.954948424999998</v>
      </c>
      <c r="M494">
        <v>50</v>
      </c>
      <c r="N494">
        <v>49.934337616000001</v>
      </c>
    </row>
    <row r="495" spans="1:14" x14ac:dyDescent="0.25">
      <c r="A495">
        <v>193.18735699999999</v>
      </c>
      <c r="B495" s="1">
        <f>DATE(2010,11,10) + TIME(4,29,47)</f>
        <v>40492.187349537038</v>
      </c>
      <c r="C495">
        <v>0</v>
      </c>
      <c r="D495">
        <v>2400</v>
      </c>
      <c r="E495">
        <v>2400</v>
      </c>
      <c r="F495">
        <v>0</v>
      </c>
      <c r="G495">
        <v>1299.7175293</v>
      </c>
      <c r="H495">
        <v>1287.8845214999999</v>
      </c>
      <c r="I495">
        <v>1406.3905029</v>
      </c>
      <c r="J495">
        <v>1386.6512451000001</v>
      </c>
      <c r="K495">
        <v>80</v>
      </c>
      <c r="L495">
        <v>77.879814147999994</v>
      </c>
      <c r="M495">
        <v>50</v>
      </c>
      <c r="N495">
        <v>49.935733794999997</v>
      </c>
    </row>
    <row r="496" spans="1:14" x14ac:dyDescent="0.25">
      <c r="A496">
        <v>193.58353299999999</v>
      </c>
      <c r="B496" s="1">
        <f>DATE(2010,11,10) + TIME(14,0,17)</f>
        <v>40492.58353009259</v>
      </c>
      <c r="C496">
        <v>0</v>
      </c>
      <c r="D496">
        <v>2400</v>
      </c>
      <c r="E496">
        <v>2400</v>
      </c>
      <c r="F496">
        <v>0</v>
      </c>
      <c r="G496">
        <v>1299.6983643000001</v>
      </c>
      <c r="H496">
        <v>1287.8610839999999</v>
      </c>
      <c r="I496">
        <v>1406.2069091999999</v>
      </c>
      <c r="J496">
        <v>1386.4718018000001</v>
      </c>
      <c r="K496">
        <v>80</v>
      </c>
      <c r="L496">
        <v>77.804000853999995</v>
      </c>
      <c r="M496">
        <v>50</v>
      </c>
      <c r="N496">
        <v>49.936798095999997</v>
      </c>
    </row>
    <row r="497" spans="1:14" x14ac:dyDescent="0.25">
      <c r="A497">
        <v>193.98373000000001</v>
      </c>
      <c r="B497" s="1">
        <f>DATE(2010,11,10) + TIME(23,36,34)</f>
        <v>40492.983726851853</v>
      </c>
      <c r="C497">
        <v>0</v>
      </c>
      <c r="D497">
        <v>2400</v>
      </c>
      <c r="E497">
        <v>2400</v>
      </c>
      <c r="F497">
        <v>0</v>
      </c>
      <c r="G497">
        <v>1299.6790771000001</v>
      </c>
      <c r="H497">
        <v>1287.8374022999999</v>
      </c>
      <c r="I497">
        <v>1406.0305175999999</v>
      </c>
      <c r="J497">
        <v>1386.2994385</v>
      </c>
      <c r="K497">
        <v>80</v>
      </c>
      <c r="L497">
        <v>77.727478027000004</v>
      </c>
      <c r="M497">
        <v>50</v>
      </c>
      <c r="N497">
        <v>49.937625885000003</v>
      </c>
    </row>
    <row r="498" spans="1:14" x14ac:dyDescent="0.25">
      <c r="A498">
        <v>194.39003</v>
      </c>
      <c r="B498" s="1">
        <f>DATE(2010,11,11) + TIME(9,21,38)</f>
        <v>40493.390023148146</v>
      </c>
      <c r="C498">
        <v>0</v>
      </c>
      <c r="D498">
        <v>2400</v>
      </c>
      <c r="E498">
        <v>2400</v>
      </c>
      <c r="F498">
        <v>0</v>
      </c>
      <c r="G498">
        <v>1299.6595459</v>
      </c>
      <c r="H498">
        <v>1287.8134766000001</v>
      </c>
      <c r="I498">
        <v>1405.8599853999999</v>
      </c>
      <c r="J498">
        <v>1386.1325684000001</v>
      </c>
      <c r="K498">
        <v>80</v>
      </c>
      <c r="L498">
        <v>77.650100707999997</v>
      </c>
      <c r="M498">
        <v>50</v>
      </c>
      <c r="N498">
        <v>49.938282012999998</v>
      </c>
    </row>
    <row r="499" spans="1:14" x14ac:dyDescent="0.25">
      <c r="A499">
        <v>194.80423200000001</v>
      </c>
      <c r="B499" s="1">
        <f>DATE(2010,11,11) + TIME(19,18,5)</f>
        <v>40493.804224537038</v>
      </c>
      <c r="C499">
        <v>0</v>
      </c>
      <c r="D499">
        <v>2400</v>
      </c>
      <c r="E499">
        <v>2400</v>
      </c>
      <c r="F499">
        <v>0</v>
      </c>
      <c r="G499">
        <v>1299.6396483999999</v>
      </c>
      <c r="H499">
        <v>1287.7890625</v>
      </c>
      <c r="I499">
        <v>1405.6938477000001</v>
      </c>
      <c r="J499">
        <v>1385.9703368999999</v>
      </c>
      <c r="K499">
        <v>80</v>
      </c>
      <c r="L499">
        <v>77.571701050000001</v>
      </c>
      <c r="M499">
        <v>50</v>
      </c>
      <c r="N499">
        <v>49.938808440999999</v>
      </c>
    </row>
    <row r="500" spans="1:14" x14ac:dyDescent="0.25">
      <c r="A500">
        <v>195.22770800000001</v>
      </c>
      <c r="B500" s="1">
        <f>DATE(2010,11,12) + TIME(5,27,53)</f>
        <v>40494.227696759262</v>
      </c>
      <c r="C500">
        <v>0</v>
      </c>
      <c r="D500">
        <v>2400</v>
      </c>
      <c r="E500">
        <v>2400</v>
      </c>
      <c r="F500">
        <v>0</v>
      </c>
      <c r="G500">
        <v>1299.6193848</v>
      </c>
      <c r="H500">
        <v>1287.7641602000001</v>
      </c>
      <c r="I500">
        <v>1405.5314940999999</v>
      </c>
      <c r="J500">
        <v>1385.8115233999999</v>
      </c>
      <c r="K500">
        <v>80</v>
      </c>
      <c r="L500">
        <v>77.492118834999999</v>
      </c>
      <c r="M500">
        <v>50</v>
      </c>
      <c r="N500">
        <v>49.939239502</v>
      </c>
    </row>
    <row r="501" spans="1:14" x14ac:dyDescent="0.25">
      <c r="A501">
        <v>195.66266400000001</v>
      </c>
      <c r="B501" s="1">
        <f>DATE(2010,11,12) + TIME(15,54,14)</f>
        <v>40494.662662037037</v>
      </c>
      <c r="C501">
        <v>0</v>
      </c>
      <c r="D501">
        <v>2400</v>
      </c>
      <c r="E501">
        <v>2400</v>
      </c>
      <c r="F501">
        <v>0</v>
      </c>
      <c r="G501">
        <v>1299.5986327999999</v>
      </c>
      <c r="H501">
        <v>1287.7385254000001</v>
      </c>
      <c r="I501">
        <v>1405.3720702999999</v>
      </c>
      <c r="J501">
        <v>1385.6557617000001</v>
      </c>
      <c r="K501">
        <v>80</v>
      </c>
      <c r="L501">
        <v>77.411071777000004</v>
      </c>
      <c r="M501">
        <v>50</v>
      </c>
      <c r="N501">
        <v>49.939594268999997</v>
      </c>
    </row>
    <row r="502" spans="1:14" x14ac:dyDescent="0.25">
      <c r="A502">
        <v>196.111481</v>
      </c>
      <c r="B502" s="1">
        <f>DATE(2010,11,13) + TIME(2,40,31)</f>
        <v>40495.11146990741</v>
      </c>
      <c r="C502">
        <v>0</v>
      </c>
      <c r="D502">
        <v>2400</v>
      </c>
      <c r="E502">
        <v>2400</v>
      </c>
      <c r="F502">
        <v>0</v>
      </c>
      <c r="G502">
        <v>1299.5771483999999</v>
      </c>
      <c r="H502">
        <v>1287.7121582</v>
      </c>
      <c r="I502">
        <v>1405.2147216999999</v>
      </c>
      <c r="J502">
        <v>1385.5019531</v>
      </c>
      <c r="K502">
        <v>80</v>
      </c>
      <c r="L502">
        <v>77.328224182</v>
      </c>
      <c r="M502">
        <v>50</v>
      </c>
      <c r="N502">
        <v>49.939895630000002</v>
      </c>
    </row>
    <row r="503" spans="1:14" x14ac:dyDescent="0.25">
      <c r="A503">
        <v>196.576807</v>
      </c>
      <c r="B503" s="1">
        <f>DATE(2010,11,13) + TIME(13,50,36)</f>
        <v>40495.576805555553</v>
      </c>
      <c r="C503">
        <v>0</v>
      </c>
      <c r="D503">
        <v>2400</v>
      </c>
      <c r="E503">
        <v>2400</v>
      </c>
      <c r="F503">
        <v>0</v>
      </c>
      <c r="G503">
        <v>1299.5549315999999</v>
      </c>
      <c r="H503">
        <v>1287.6849365</v>
      </c>
      <c r="I503">
        <v>1405.0588379000001</v>
      </c>
      <c r="J503">
        <v>1385.3494873</v>
      </c>
      <c r="K503">
        <v>80</v>
      </c>
      <c r="L503">
        <v>77.243209839000002</v>
      </c>
      <c r="M503">
        <v>50</v>
      </c>
      <c r="N503">
        <v>49.940147400000001</v>
      </c>
    </row>
    <row r="504" spans="1:14" x14ac:dyDescent="0.25">
      <c r="A504">
        <v>197.06166300000001</v>
      </c>
      <c r="B504" s="1">
        <f>DATE(2010,11,14) + TIME(1,28,47)</f>
        <v>40496.061655092592</v>
      </c>
      <c r="C504">
        <v>0</v>
      </c>
      <c r="D504">
        <v>2400</v>
      </c>
      <c r="E504">
        <v>2400</v>
      </c>
      <c r="F504">
        <v>0</v>
      </c>
      <c r="G504">
        <v>1299.5318603999999</v>
      </c>
      <c r="H504">
        <v>1287.6564940999999</v>
      </c>
      <c r="I504">
        <v>1404.9034423999999</v>
      </c>
      <c r="J504">
        <v>1385.1976318</v>
      </c>
      <c r="K504">
        <v>80</v>
      </c>
      <c r="L504">
        <v>77.155593871999997</v>
      </c>
      <c r="M504">
        <v>50</v>
      </c>
      <c r="N504">
        <v>49.940368651999997</v>
      </c>
    </row>
    <row r="505" spans="1:14" x14ac:dyDescent="0.25">
      <c r="A505">
        <v>197.56784300000001</v>
      </c>
      <c r="B505" s="1">
        <f>DATE(2010,11,14) + TIME(13,37,41)</f>
        <v>40496.567835648151</v>
      </c>
      <c r="C505">
        <v>0</v>
      </c>
      <c r="D505">
        <v>2400</v>
      </c>
      <c r="E505">
        <v>2400</v>
      </c>
      <c r="F505">
        <v>0</v>
      </c>
      <c r="G505">
        <v>1299.5076904</v>
      </c>
      <c r="H505">
        <v>1287.6268310999999</v>
      </c>
      <c r="I505">
        <v>1404.7478027</v>
      </c>
      <c r="J505">
        <v>1385.0455322</v>
      </c>
      <c r="K505">
        <v>80</v>
      </c>
      <c r="L505">
        <v>77.065071106000005</v>
      </c>
      <c r="M505">
        <v>50</v>
      </c>
      <c r="N505">
        <v>49.940559387</v>
      </c>
    </row>
    <row r="506" spans="1:14" x14ac:dyDescent="0.25">
      <c r="A506">
        <v>198.094368</v>
      </c>
      <c r="B506" s="1">
        <f>DATE(2010,11,15) + TIME(2,15,53)</f>
        <v>40497.094363425924</v>
      </c>
      <c r="C506">
        <v>0</v>
      </c>
      <c r="D506">
        <v>2400</v>
      </c>
      <c r="E506">
        <v>2400</v>
      </c>
      <c r="F506">
        <v>0</v>
      </c>
      <c r="G506">
        <v>1299.4822998</v>
      </c>
      <c r="H506">
        <v>1287.5957031</v>
      </c>
      <c r="I506">
        <v>1404.5916748</v>
      </c>
      <c r="J506">
        <v>1384.8930664</v>
      </c>
      <c r="K506">
        <v>80</v>
      </c>
      <c r="L506">
        <v>76.971664429</v>
      </c>
      <c r="M506">
        <v>50</v>
      </c>
      <c r="N506">
        <v>49.940731049</v>
      </c>
    </row>
    <row r="507" spans="1:14" x14ac:dyDescent="0.25">
      <c r="A507">
        <v>198.636225</v>
      </c>
      <c r="B507" s="1">
        <f>DATE(2010,11,15) + TIME(15,16,9)</f>
        <v>40497.63621527778</v>
      </c>
      <c r="C507">
        <v>0</v>
      </c>
      <c r="D507">
        <v>2400</v>
      </c>
      <c r="E507">
        <v>2400</v>
      </c>
      <c r="F507">
        <v>0</v>
      </c>
      <c r="G507">
        <v>1299.4556885</v>
      </c>
      <c r="H507">
        <v>1287.5632324000001</v>
      </c>
      <c r="I507">
        <v>1404.4357910000001</v>
      </c>
      <c r="J507">
        <v>1384.7406006000001</v>
      </c>
      <c r="K507">
        <v>80</v>
      </c>
      <c r="L507">
        <v>76.875907897999994</v>
      </c>
      <c r="M507">
        <v>50</v>
      </c>
      <c r="N507">
        <v>49.940876007</v>
      </c>
    </row>
    <row r="508" spans="1:14" x14ac:dyDescent="0.25">
      <c r="A508">
        <v>199.18060600000001</v>
      </c>
      <c r="B508" s="1">
        <f>DATE(2010,11,16) + TIME(4,20,4)</f>
        <v>40498.180601851855</v>
      </c>
      <c r="C508">
        <v>0</v>
      </c>
      <c r="D508">
        <v>2400</v>
      </c>
      <c r="E508">
        <v>2400</v>
      </c>
      <c r="F508">
        <v>0</v>
      </c>
      <c r="G508">
        <v>1299.4281006000001</v>
      </c>
      <c r="H508">
        <v>1287.5296631000001</v>
      </c>
      <c r="I508">
        <v>1404.2816161999999</v>
      </c>
      <c r="J508">
        <v>1384.5899658000001</v>
      </c>
      <c r="K508">
        <v>80</v>
      </c>
      <c r="L508">
        <v>76.779319763000004</v>
      </c>
      <c r="M508">
        <v>50</v>
      </c>
      <c r="N508">
        <v>49.941001892000003</v>
      </c>
    </row>
    <row r="509" spans="1:14" x14ac:dyDescent="0.25">
      <c r="A509">
        <v>199.73033100000001</v>
      </c>
      <c r="B509" s="1">
        <f>DATE(2010,11,16) + TIME(17,31,40)</f>
        <v>40498.730324074073</v>
      </c>
      <c r="C509">
        <v>0</v>
      </c>
      <c r="D509">
        <v>2400</v>
      </c>
      <c r="E509">
        <v>2400</v>
      </c>
      <c r="F509">
        <v>0</v>
      </c>
      <c r="G509">
        <v>1299.4001464999999</v>
      </c>
      <c r="H509">
        <v>1287.4957274999999</v>
      </c>
      <c r="I509">
        <v>1404.1328125</v>
      </c>
      <c r="J509">
        <v>1384.4444579999999</v>
      </c>
      <c r="K509">
        <v>80</v>
      </c>
      <c r="L509">
        <v>76.682006835999999</v>
      </c>
      <c r="M509">
        <v>50</v>
      </c>
      <c r="N509">
        <v>49.941116332999997</v>
      </c>
    </row>
    <row r="510" spans="1:14" x14ac:dyDescent="0.25">
      <c r="A510">
        <v>200.286609</v>
      </c>
      <c r="B510" s="1">
        <f>DATE(2010,11,17) + TIME(6,52,42)</f>
        <v>40499.286597222221</v>
      </c>
      <c r="C510">
        <v>0</v>
      </c>
      <c r="D510">
        <v>2400</v>
      </c>
      <c r="E510">
        <v>2400</v>
      </c>
      <c r="F510">
        <v>0</v>
      </c>
      <c r="G510">
        <v>1299.3719481999999</v>
      </c>
      <c r="H510">
        <v>1287.4611815999999</v>
      </c>
      <c r="I510">
        <v>1403.9881591999999</v>
      </c>
      <c r="J510">
        <v>1384.3032227000001</v>
      </c>
      <c r="K510">
        <v>80</v>
      </c>
      <c r="L510">
        <v>76.584014893000003</v>
      </c>
      <c r="M510">
        <v>50</v>
      </c>
      <c r="N510">
        <v>49.941215515000003</v>
      </c>
    </row>
    <row r="511" spans="1:14" x14ac:dyDescent="0.25">
      <c r="A511">
        <v>200.852259</v>
      </c>
      <c r="B511" s="1">
        <f>DATE(2010,11,17) + TIME(20,27,15)</f>
        <v>40499.852256944447</v>
      </c>
      <c r="C511">
        <v>0</v>
      </c>
      <c r="D511">
        <v>2400</v>
      </c>
      <c r="E511">
        <v>2400</v>
      </c>
      <c r="F511">
        <v>0</v>
      </c>
      <c r="G511">
        <v>1299.3432617000001</v>
      </c>
      <c r="H511">
        <v>1287.4260254000001</v>
      </c>
      <c r="I511">
        <v>1403.8472899999999</v>
      </c>
      <c r="J511">
        <v>1384.1655272999999</v>
      </c>
      <c r="K511">
        <v>80</v>
      </c>
      <c r="L511">
        <v>76.485137938999998</v>
      </c>
      <c r="M511">
        <v>50</v>
      </c>
      <c r="N511">
        <v>49.941310883</v>
      </c>
    </row>
    <row r="512" spans="1:14" x14ac:dyDescent="0.25">
      <c r="A512">
        <v>201.43015600000001</v>
      </c>
      <c r="B512" s="1">
        <f>DATE(2010,11,18) + TIME(10,19,25)</f>
        <v>40500.430150462962</v>
      </c>
      <c r="C512">
        <v>0</v>
      </c>
      <c r="D512">
        <v>2400</v>
      </c>
      <c r="E512">
        <v>2400</v>
      </c>
      <c r="F512">
        <v>0</v>
      </c>
      <c r="G512">
        <v>1299.3138428</v>
      </c>
      <c r="H512">
        <v>1287.3901367000001</v>
      </c>
      <c r="I512">
        <v>1403.7092285000001</v>
      </c>
      <c r="J512">
        <v>1384.0305175999999</v>
      </c>
      <c r="K512">
        <v>80</v>
      </c>
      <c r="L512">
        <v>76.385055542000003</v>
      </c>
      <c r="M512">
        <v>50</v>
      </c>
      <c r="N512">
        <v>49.941394805999998</v>
      </c>
    </row>
    <row r="513" spans="1:14" x14ac:dyDescent="0.25">
      <c r="A513">
        <v>202.02282199999999</v>
      </c>
      <c r="B513" s="1">
        <f>DATE(2010,11,19) + TIME(0,32,51)</f>
        <v>40501.022812499999</v>
      </c>
      <c r="C513">
        <v>0</v>
      </c>
      <c r="D513">
        <v>2400</v>
      </c>
      <c r="E513">
        <v>2400</v>
      </c>
      <c r="F513">
        <v>0</v>
      </c>
      <c r="G513">
        <v>1299.2836914</v>
      </c>
      <c r="H513">
        <v>1287.3532714999999</v>
      </c>
      <c r="I513">
        <v>1403.5732422000001</v>
      </c>
      <c r="J513">
        <v>1383.8977050999999</v>
      </c>
      <c r="K513">
        <v>80</v>
      </c>
      <c r="L513">
        <v>76.283454895000006</v>
      </c>
      <c r="M513">
        <v>50</v>
      </c>
      <c r="N513">
        <v>49.941478729000004</v>
      </c>
    </row>
    <row r="514" spans="1:14" x14ac:dyDescent="0.25">
      <c r="A514">
        <v>202.632576</v>
      </c>
      <c r="B514" s="1">
        <f>DATE(2010,11,19) + TIME(15,10,54)</f>
        <v>40501.632569444446</v>
      </c>
      <c r="C514">
        <v>0</v>
      </c>
      <c r="D514">
        <v>2400</v>
      </c>
      <c r="E514">
        <v>2400</v>
      </c>
      <c r="F514">
        <v>0</v>
      </c>
      <c r="G514">
        <v>1299.2525635</v>
      </c>
      <c r="H514">
        <v>1287.3151855000001</v>
      </c>
      <c r="I514">
        <v>1403.4388428</v>
      </c>
      <c r="J514">
        <v>1383.7662353999999</v>
      </c>
      <c r="K514">
        <v>80</v>
      </c>
      <c r="L514">
        <v>76.180007935000006</v>
      </c>
      <c r="M514">
        <v>50</v>
      </c>
      <c r="N514">
        <v>49.941558837999999</v>
      </c>
    </row>
    <row r="515" spans="1:14" x14ac:dyDescent="0.25">
      <c r="A515">
        <v>203.26296500000001</v>
      </c>
      <c r="B515" s="1">
        <f>DATE(2010,11,20) + TIME(6,18,40)</f>
        <v>40502.262962962966</v>
      </c>
      <c r="C515">
        <v>0</v>
      </c>
      <c r="D515">
        <v>2400</v>
      </c>
      <c r="E515">
        <v>2400</v>
      </c>
      <c r="F515">
        <v>0</v>
      </c>
      <c r="G515">
        <v>1299.2203368999999</v>
      </c>
      <c r="H515">
        <v>1287.2757568</v>
      </c>
      <c r="I515">
        <v>1403.3052978999999</v>
      </c>
      <c r="J515">
        <v>1383.6357422000001</v>
      </c>
      <c r="K515">
        <v>80</v>
      </c>
      <c r="L515">
        <v>76.074272156000006</v>
      </c>
      <c r="M515">
        <v>50</v>
      </c>
      <c r="N515">
        <v>49.941635132000002</v>
      </c>
    </row>
    <row r="516" spans="1:14" x14ac:dyDescent="0.25">
      <c r="A516">
        <v>203.91797800000001</v>
      </c>
      <c r="B516" s="1">
        <f>DATE(2010,11,20) + TIME(22,1,53)</f>
        <v>40502.917974537035</v>
      </c>
      <c r="C516">
        <v>0</v>
      </c>
      <c r="D516">
        <v>2400</v>
      </c>
      <c r="E516">
        <v>2400</v>
      </c>
      <c r="F516">
        <v>0</v>
      </c>
      <c r="G516">
        <v>1299.1867675999999</v>
      </c>
      <c r="H516">
        <v>1287.2346190999999</v>
      </c>
      <c r="I516">
        <v>1403.1722411999999</v>
      </c>
      <c r="J516">
        <v>1383.5056152</v>
      </c>
      <c r="K516">
        <v>80</v>
      </c>
      <c r="L516">
        <v>75.965728760000005</v>
      </c>
      <c r="M516">
        <v>50</v>
      </c>
      <c r="N516">
        <v>49.941711425999998</v>
      </c>
    </row>
    <row r="517" spans="1:14" x14ac:dyDescent="0.25">
      <c r="A517">
        <v>204.602238</v>
      </c>
      <c r="B517" s="1">
        <f>DATE(2010,11,21) + TIME(14,27,13)</f>
        <v>40503.602233796293</v>
      </c>
      <c r="C517">
        <v>0</v>
      </c>
      <c r="D517">
        <v>2400</v>
      </c>
      <c r="E517">
        <v>2400</v>
      </c>
      <c r="F517">
        <v>0</v>
      </c>
      <c r="G517">
        <v>1299.1516113</v>
      </c>
      <c r="H517">
        <v>1287.1916504000001</v>
      </c>
      <c r="I517">
        <v>1403.0388184000001</v>
      </c>
      <c r="J517">
        <v>1383.3752440999999</v>
      </c>
      <c r="K517">
        <v>80</v>
      </c>
      <c r="L517">
        <v>75.853775024000001</v>
      </c>
      <c r="M517">
        <v>50</v>
      </c>
      <c r="N517">
        <v>49.941787720000001</v>
      </c>
    </row>
    <row r="518" spans="1:14" x14ac:dyDescent="0.25">
      <c r="A518">
        <v>205.30983900000001</v>
      </c>
      <c r="B518" s="1">
        <f>DATE(2010,11,22) + TIME(7,26,10)</f>
        <v>40504.309837962966</v>
      </c>
      <c r="C518">
        <v>0</v>
      </c>
      <c r="D518">
        <v>2400</v>
      </c>
      <c r="E518">
        <v>2400</v>
      </c>
      <c r="F518">
        <v>0</v>
      </c>
      <c r="G518">
        <v>1299.114624</v>
      </c>
      <c r="H518">
        <v>1287.1464844</v>
      </c>
      <c r="I518">
        <v>1402.9044189000001</v>
      </c>
      <c r="J518">
        <v>1383.2437743999999</v>
      </c>
      <c r="K518">
        <v>80</v>
      </c>
      <c r="L518">
        <v>75.738754271999994</v>
      </c>
      <c r="M518">
        <v>50</v>
      </c>
      <c r="N518">
        <v>49.941864013999997</v>
      </c>
    </row>
    <row r="519" spans="1:14" x14ac:dyDescent="0.25">
      <c r="A519">
        <v>206.019203</v>
      </c>
      <c r="B519" s="1">
        <f>DATE(2010,11,23) + TIME(0,27,39)</f>
        <v>40505.019201388888</v>
      </c>
      <c r="C519">
        <v>0</v>
      </c>
      <c r="D519">
        <v>2400</v>
      </c>
      <c r="E519">
        <v>2400</v>
      </c>
      <c r="F519">
        <v>0</v>
      </c>
      <c r="G519">
        <v>1299.0758057</v>
      </c>
      <c r="H519">
        <v>1287.0993652</v>
      </c>
      <c r="I519">
        <v>1402.7703856999999</v>
      </c>
      <c r="J519">
        <v>1383.1126709</v>
      </c>
      <c r="K519">
        <v>80</v>
      </c>
      <c r="L519">
        <v>75.622703552000004</v>
      </c>
      <c r="M519">
        <v>50</v>
      </c>
      <c r="N519">
        <v>49.941940308</v>
      </c>
    </row>
    <row r="520" spans="1:14" x14ac:dyDescent="0.25">
      <c r="A520">
        <v>206.73331899999999</v>
      </c>
      <c r="B520" s="1">
        <f>DATE(2010,11,23) + TIME(17,35,58)</f>
        <v>40505.733310185184</v>
      </c>
      <c r="C520">
        <v>0</v>
      </c>
      <c r="D520">
        <v>2400</v>
      </c>
      <c r="E520">
        <v>2400</v>
      </c>
      <c r="F520">
        <v>0</v>
      </c>
      <c r="G520">
        <v>1299.036499</v>
      </c>
      <c r="H520">
        <v>1287.0515137</v>
      </c>
      <c r="I520">
        <v>1402.6407471</v>
      </c>
      <c r="J520">
        <v>1382.9859618999999</v>
      </c>
      <c r="K520">
        <v>80</v>
      </c>
      <c r="L520">
        <v>75.506095885999997</v>
      </c>
      <c r="M520">
        <v>50</v>
      </c>
      <c r="N520">
        <v>49.942012787000003</v>
      </c>
    </row>
    <row r="521" spans="1:14" x14ac:dyDescent="0.25">
      <c r="A521">
        <v>207.45613299999999</v>
      </c>
      <c r="B521" s="1">
        <f>DATE(2010,11,24) + TIME(10,56,49)</f>
        <v>40506.456122685187</v>
      </c>
      <c r="C521">
        <v>0</v>
      </c>
      <c r="D521">
        <v>2400</v>
      </c>
      <c r="E521">
        <v>2400</v>
      </c>
      <c r="F521">
        <v>0</v>
      </c>
      <c r="G521">
        <v>1298.9967041</v>
      </c>
      <c r="H521">
        <v>1287.0029297000001</v>
      </c>
      <c r="I521">
        <v>1402.5147704999999</v>
      </c>
      <c r="J521">
        <v>1382.8626709</v>
      </c>
      <c r="K521">
        <v>80</v>
      </c>
      <c r="L521">
        <v>75.388893127000003</v>
      </c>
      <c r="M521">
        <v>50</v>
      </c>
      <c r="N521">
        <v>49.942089080999999</v>
      </c>
    </row>
    <row r="522" spans="1:14" x14ac:dyDescent="0.25">
      <c r="A522">
        <v>208.19115199999999</v>
      </c>
      <c r="B522" s="1">
        <f>DATE(2010,11,25) + TIME(4,35,15)</f>
        <v>40507.191145833334</v>
      </c>
      <c r="C522">
        <v>0</v>
      </c>
      <c r="D522">
        <v>2400</v>
      </c>
      <c r="E522">
        <v>2400</v>
      </c>
      <c r="F522">
        <v>0</v>
      </c>
      <c r="G522">
        <v>1298.9560547000001</v>
      </c>
      <c r="H522">
        <v>1286.953125</v>
      </c>
      <c r="I522">
        <v>1402.3917236</v>
      </c>
      <c r="J522">
        <v>1382.7423096</v>
      </c>
      <c r="K522">
        <v>80</v>
      </c>
      <c r="L522">
        <v>75.270843506000006</v>
      </c>
      <c r="M522">
        <v>50</v>
      </c>
      <c r="N522">
        <v>49.942161560000002</v>
      </c>
    </row>
    <row r="523" spans="1:14" x14ac:dyDescent="0.25">
      <c r="A523">
        <v>208.94055700000001</v>
      </c>
      <c r="B523" s="1">
        <f>DATE(2010,11,25) + TIME(22,34,24)</f>
        <v>40507.940555555557</v>
      </c>
      <c r="C523">
        <v>0</v>
      </c>
      <c r="D523">
        <v>2400</v>
      </c>
      <c r="E523">
        <v>2400</v>
      </c>
      <c r="F523">
        <v>0</v>
      </c>
      <c r="G523">
        <v>1298.9143065999999</v>
      </c>
      <c r="H523">
        <v>1286.9020995999999</v>
      </c>
      <c r="I523">
        <v>1402.2707519999999</v>
      </c>
      <c r="J523">
        <v>1382.6239014</v>
      </c>
      <c r="K523">
        <v>80</v>
      </c>
      <c r="L523">
        <v>75.151710510000001</v>
      </c>
      <c r="M523">
        <v>50</v>
      </c>
      <c r="N523">
        <v>49.942237853999998</v>
      </c>
    </row>
    <row r="524" spans="1:14" x14ac:dyDescent="0.25">
      <c r="A524">
        <v>209.708381</v>
      </c>
      <c r="B524" s="1">
        <f>DATE(2010,11,26) + TIME(17,0,4)</f>
        <v>40508.708379629628</v>
      </c>
      <c r="C524">
        <v>0</v>
      </c>
      <c r="D524">
        <v>2400</v>
      </c>
      <c r="E524">
        <v>2400</v>
      </c>
      <c r="F524">
        <v>0</v>
      </c>
      <c r="G524">
        <v>1298.8713379000001</v>
      </c>
      <c r="H524">
        <v>1286.8494873</v>
      </c>
      <c r="I524">
        <v>1402.1514893000001</v>
      </c>
      <c r="J524">
        <v>1382.5070800999999</v>
      </c>
      <c r="K524">
        <v>80</v>
      </c>
      <c r="L524">
        <v>75.031074524000005</v>
      </c>
      <c r="M524">
        <v>50</v>
      </c>
      <c r="N524">
        <v>49.942317963000001</v>
      </c>
    </row>
    <row r="525" spans="1:14" x14ac:dyDescent="0.25">
      <c r="A525">
        <v>210.498966</v>
      </c>
      <c r="B525" s="1">
        <f>DATE(2010,11,27) + TIME(11,58,30)</f>
        <v>40509.49895833333</v>
      </c>
      <c r="C525">
        <v>0</v>
      </c>
      <c r="D525">
        <v>2400</v>
      </c>
      <c r="E525">
        <v>2400</v>
      </c>
      <c r="F525">
        <v>0</v>
      </c>
      <c r="G525">
        <v>1298.8267822</v>
      </c>
      <c r="H525">
        <v>1286.7950439000001</v>
      </c>
      <c r="I525">
        <v>1402.0333252</v>
      </c>
      <c r="J525">
        <v>1382.3914795000001</v>
      </c>
      <c r="K525">
        <v>80</v>
      </c>
      <c r="L525">
        <v>74.908332825000002</v>
      </c>
      <c r="M525">
        <v>50</v>
      </c>
      <c r="N525">
        <v>49.942394256999997</v>
      </c>
    </row>
    <row r="526" spans="1:14" x14ac:dyDescent="0.25">
      <c r="A526">
        <v>211.31714700000001</v>
      </c>
      <c r="B526" s="1">
        <f>DATE(2010,11,28) + TIME(7,36,41)</f>
        <v>40510.317141203705</v>
      </c>
      <c r="C526">
        <v>0</v>
      </c>
      <c r="D526">
        <v>2400</v>
      </c>
      <c r="E526">
        <v>2400</v>
      </c>
      <c r="F526">
        <v>0</v>
      </c>
      <c r="G526">
        <v>1298.7805175999999</v>
      </c>
      <c r="H526">
        <v>1286.7382812000001</v>
      </c>
      <c r="I526">
        <v>1401.9156493999999</v>
      </c>
      <c r="J526">
        <v>1382.2761230000001</v>
      </c>
      <c r="K526">
        <v>80</v>
      </c>
      <c r="L526">
        <v>74.782928467000005</v>
      </c>
      <c r="M526">
        <v>50</v>
      </c>
      <c r="N526">
        <v>49.942478180000002</v>
      </c>
    </row>
    <row r="527" spans="1:14" x14ac:dyDescent="0.25">
      <c r="A527">
        <v>212.166282</v>
      </c>
      <c r="B527" s="1">
        <f>DATE(2010,11,29) + TIME(3,59,26)</f>
        <v>40511.166273148148</v>
      </c>
      <c r="C527">
        <v>0</v>
      </c>
      <c r="D527">
        <v>2400</v>
      </c>
      <c r="E527">
        <v>2400</v>
      </c>
      <c r="F527">
        <v>0</v>
      </c>
      <c r="G527">
        <v>1298.7320557</v>
      </c>
      <c r="H527">
        <v>1286.6789550999999</v>
      </c>
      <c r="I527">
        <v>1401.7979736</v>
      </c>
      <c r="J527">
        <v>1382.1607666</v>
      </c>
      <c r="K527">
        <v>80</v>
      </c>
      <c r="L527">
        <v>74.654350281000006</v>
      </c>
      <c r="M527">
        <v>50</v>
      </c>
      <c r="N527">
        <v>49.942562103</v>
      </c>
    </row>
    <row r="528" spans="1:14" x14ac:dyDescent="0.25">
      <c r="A528">
        <v>213.047821</v>
      </c>
      <c r="B528" s="1">
        <f>DATE(2010,11,30) + TIME(1,8,51)</f>
        <v>40512.047812500001</v>
      </c>
      <c r="C528">
        <v>0</v>
      </c>
      <c r="D528">
        <v>2400</v>
      </c>
      <c r="E528">
        <v>2400</v>
      </c>
      <c r="F528">
        <v>0</v>
      </c>
      <c r="G528">
        <v>1298.6811522999999</v>
      </c>
      <c r="H528">
        <v>1286.6165771000001</v>
      </c>
      <c r="I528">
        <v>1401.6798096</v>
      </c>
      <c r="J528">
        <v>1382.0449219</v>
      </c>
      <c r="K528">
        <v>80</v>
      </c>
      <c r="L528">
        <v>74.522293090999995</v>
      </c>
      <c r="M528">
        <v>50</v>
      </c>
      <c r="N528">
        <v>49.942649840999998</v>
      </c>
    </row>
    <row r="529" spans="1:14" x14ac:dyDescent="0.25">
      <c r="A529">
        <v>213.93258700000001</v>
      </c>
      <c r="B529" s="1">
        <f>DATE(2010,11,30) + TIME(22,22,55)</f>
        <v>40512.932581018518</v>
      </c>
      <c r="C529">
        <v>0</v>
      </c>
      <c r="D529">
        <v>2400</v>
      </c>
      <c r="E529">
        <v>2400</v>
      </c>
      <c r="F529">
        <v>0</v>
      </c>
      <c r="G529">
        <v>1298.6275635</v>
      </c>
      <c r="H529">
        <v>1286.5510254000001</v>
      </c>
      <c r="I529">
        <v>1401.5611572</v>
      </c>
      <c r="J529">
        <v>1381.9285889</v>
      </c>
      <c r="K529">
        <v>80</v>
      </c>
      <c r="L529">
        <v>74.388832092000001</v>
      </c>
      <c r="M529">
        <v>50</v>
      </c>
      <c r="N529">
        <v>49.942737579000003</v>
      </c>
    </row>
    <row r="530" spans="1:14" x14ac:dyDescent="0.25">
      <c r="A530">
        <v>214</v>
      </c>
      <c r="B530" s="1">
        <f>DATE(2010,12,1) + TIME(0,0,0)</f>
        <v>40513</v>
      </c>
      <c r="C530">
        <v>0</v>
      </c>
      <c r="D530">
        <v>2400</v>
      </c>
      <c r="E530">
        <v>2400</v>
      </c>
      <c r="F530">
        <v>0</v>
      </c>
      <c r="G530">
        <v>1298.5709228999999</v>
      </c>
      <c r="H530">
        <v>1286.4938964999999</v>
      </c>
      <c r="I530">
        <v>1401.4476318</v>
      </c>
      <c r="J530">
        <v>1381.8175048999999</v>
      </c>
      <c r="K530">
        <v>80</v>
      </c>
      <c r="L530">
        <v>74.370193481000001</v>
      </c>
      <c r="M530">
        <v>50</v>
      </c>
      <c r="N530">
        <v>49.942733765</v>
      </c>
    </row>
    <row r="531" spans="1:14" x14ac:dyDescent="0.25">
      <c r="A531">
        <v>214.890186</v>
      </c>
      <c r="B531" s="1">
        <f>DATE(2010,12,1) + TIME(21,21,52)</f>
        <v>40513.890185185184</v>
      </c>
      <c r="C531">
        <v>0</v>
      </c>
      <c r="D531">
        <v>2400</v>
      </c>
      <c r="E531">
        <v>2400</v>
      </c>
      <c r="F531">
        <v>0</v>
      </c>
      <c r="G531">
        <v>1298.5683594</v>
      </c>
      <c r="H531">
        <v>1286.4780272999999</v>
      </c>
      <c r="I531">
        <v>1401.4372559000001</v>
      </c>
      <c r="J531">
        <v>1381.8070068</v>
      </c>
      <c r="K531">
        <v>80</v>
      </c>
      <c r="L531">
        <v>74.240348815999994</v>
      </c>
      <c r="M531">
        <v>50</v>
      </c>
      <c r="N531">
        <v>49.942832946999999</v>
      </c>
    </row>
    <row r="532" spans="1:14" x14ac:dyDescent="0.25">
      <c r="A532">
        <v>215.79176699999999</v>
      </c>
      <c r="B532" s="1">
        <f>DATE(2010,12,2) + TIME(19,0,8)</f>
        <v>40514.791759259257</v>
      </c>
      <c r="C532">
        <v>0</v>
      </c>
      <c r="D532">
        <v>2400</v>
      </c>
      <c r="E532">
        <v>2400</v>
      </c>
      <c r="F532">
        <v>0</v>
      </c>
      <c r="G532">
        <v>1298.5129394999999</v>
      </c>
      <c r="H532">
        <v>1286.4102783000001</v>
      </c>
      <c r="I532">
        <v>1401.3256836</v>
      </c>
      <c r="J532">
        <v>1381.6975098</v>
      </c>
      <c r="K532">
        <v>80</v>
      </c>
      <c r="L532">
        <v>74.107894896999994</v>
      </c>
      <c r="M532">
        <v>50</v>
      </c>
      <c r="N532">
        <v>49.942924499999997</v>
      </c>
    </row>
    <row r="533" spans="1:14" x14ac:dyDescent="0.25">
      <c r="A533">
        <v>216.708551</v>
      </c>
      <c r="B533" s="1">
        <f>DATE(2010,12,3) + TIME(17,0,18)</f>
        <v>40515.708541666667</v>
      </c>
      <c r="C533">
        <v>0</v>
      </c>
      <c r="D533">
        <v>2400</v>
      </c>
      <c r="E533">
        <v>2400</v>
      </c>
      <c r="F533">
        <v>0</v>
      </c>
      <c r="G533">
        <v>1298.4558105000001</v>
      </c>
      <c r="H533">
        <v>1286.3400879000001</v>
      </c>
      <c r="I533">
        <v>1401.2160644999999</v>
      </c>
      <c r="J533">
        <v>1381.5899658000001</v>
      </c>
      <c r="K533">
        <v>80</v>
      </c>
      <c r="L533">
        <v>73.973533630000006</v>
      </c>
      <c r="M533">
        <v>50</v>
      </c>
      <c r="N533">
        <v>49.943016051999997</v>
      </c>
    </row>
    <row r="534" spans="1:14" x14ac:dyDescent="0.25">
      <c r="A534">
        <v>217.64211800000001</v>
      </c>
      <c r="B534" s="1">
        <f>DATE(2010,12,4) + TIME(15,24,38)</f>
        <v>40516.642106481479</v>
      </c>
      <c r="C534">
        <v>0</v>
      </c>
      <c r="D534">
        <v>2400</v>
      </c>
      <c r="E534">
        <v>2400</v>
      </c>
      <c r="F534">
        <v>0</v>
      </c>
      <c r="G534">
        <v>1298.3968506000001</v>
      </c>
      <c r="H534">
        <v>1286.2675781</v>
      </c>
      <c r="I534">
        <v>1401.1081543</v>
      </c>
      <c r="J534">
        <v>1381.4838867000001</v>
      </c>
      <c r="K534">
        <v>80</v>
      </c>
      <c r="L534">
        <v>73.837524414000001</v>
      </c>
      <c r="M534">
        <v>50</v>
      </c>
      <c r="N534">
        <v>49.943107605000002</v>
      </c>
    </row>
    <row r="535" spans="1:14" x14ac:dyDescent="0.25">
      <c r="A535">
        <v>218.59734700000001</v>
      </c>
      <c r="B535" s="1">
        <f>DATE(2010,12,5) + TIME(14,20,10)</f>
        <v>40517.597337962965</v>
      </c>
      <c r="C535">
        <v>0</v>
      </c>
      <c r="D535">
        <v>2400</v>
      </c>
      <c r="E535">
        <v>2400</v>
      </c>
      <c r="F535">
        <v>0</v>
      </c>
      <c r="G535">
        <v>1298.3358154</v>
      </c>
      <c r="H535">
        <v>1286.1925048999999</v>
      </c>
      <c r="I535">
        <v>1401.0015868999999</v>
      </c>
      <c r="J535">
        <v>1381.3791504000001</v>
      </c>
      <c r="K535">
        <v>80</v>
      </c>
      <c r="L535">
        <v>73.699668884000005</v>
      </c>
      <c r="M535">
        <v>50</v>
      </c>
      <c r="N535">
        <v>49.943202972000002</v>
      </c>
    </row>
    <row r="536" spans="1:14" x14ac:dyDescent="0.25">
      <c r="A536">
        <v>219.57755599999999</v>
      </c>
      <c r="B536" s="1">
        <f>DATE(2010,12,6) + TIME(13,51,40)</f>
        <v>40518.577546296299</v>
      </c>
      <c r="C536">
        <v>0</v>
      </c>
      <c r="D536">
        <v>2400</v>
      </c>
      <c r="E536">
        <v>2400</v>
      </c>
      <c r="F536">
        <v>0</v>
      </c>
      <c r="G536">
        <v>1298.2725829999999</v>
      </c>
      <c r="H536">
        <v>1286.1143798999999</v>
      </c>
      <c r="I536">
        <v>1400.8959961</v>
      </c>
      <c r="J536">
        <v>1381.2752685999999</v>
      </c>
      <c r="K536">
        <v>80</v>
      </c>
      <c r="L536">
        <v>73.559646606000001</v>
      </c>
      <c r="M536">
        <v>50</v>
      </c>
      <c r="N536">
        <v>49.943302154999998</v>
      </c>
    </row>
    <row r="537" spans="1:14" x14ac:dyDescent="0.25">
      <c r="A537">
        <v>220.58862999999999</v>
      </c>
      <c r="B537" s="1">
        <f>DATE(2010,12,7) + TIME(14,7,37)</f>
        <v>40519.588622685187</v>
      </c>
      <c r="C537">
        <v>0</v>
      </c>
      <c r="D537">
        <v>2400</v>
      </c>
      <c r="E537">
        <v>2400</v>
      </c>
      <c r="F537">
        <v>0</v>
      </c>
      <c r="G537">
        <v>1298.2066649999999</v>
      </c>
      <c r="H537">
        <v>1286.0329589999999</v>
      </c>
      <c r="I537">
        <v>1400.7910156</v>
      </c>
      <c r="J537">
        <v>1381.171875</v>
      </c>
      <c r="K537">
        <v>80</v>
      </c>
      <c r="L537">
        <v>73.416900635000005</v>
      </c>
      <c r="M537">
        <v>50</v>
      </c>
      <c r="N537">
        <v>49.943401336999997</v>
      </c>
    </row>
    <row r="538" spans="1:14" x14ac:dyDescent="0.25">
      <c r="A538">
        <v>221.63705200000001</v>
      </c>
      <c r="B538" s="1">
        <f>DATE(2010,12,8) + TIME(15,17,21)</f>
        <v>40520.637048611112</v>
      </c>
      <c r="C538">
        <v>0</v>
      </c>
      <c r="D538">
        <v>2400</v>
      </c>
      <c r="E538">
        <v>2400</v>
      </c>
      <c r="F538">
        <v>0</v>
      </c>
      <c r="G538">
        <v>1298.1374512</v>
      </c>
      <c r="H538">
        <v>1285.9475098</v>
      </c>
      <c r="I538">
        <v>1400.6860352000001</v>
      </c>
      <c r="J538">
        <v>1381.0683594</v>
      </c>
      <c r="K538">
        <v>80</v>
      </c>
      <c r="L538">
        <v>73.270736693999993</v>
      </c>
      <c r="M538">
        <v>50</v>
      </c>
      <c r="N538">
        <v>49.943504333</v>
      </c>
    </row>
    <row r="539" spans="1:14" x14ac:dyDescent="0.25">
      <c r="A539">
        <v>222.69616400000001</v>
      </c>
      <c r="B539" s="1">
        <f>DATE(2010,12,9) + TIME(16,42,28)</f>
        <v>40521.696157407408</v>
      </c>
      <c r="C539">
        <v>0</v>
      </c>
      <c r="D539">
        <v>2400</v>
      </c>
      <c r="E539">
        <v>2400</v>
      </c>
      <c r="F539">
        <v>0</v>
      </c>
      <c r="G539">
        <v>1298.0645752</v>
      </c>
      <c r="H539">
        <v>1285.8572998</v>
      </c>
      <c r="I539">
        <v>1400.5804443</v>
      </c>
      <c r="J539">
        <v>1380.9643555</v>
      </c>
      <c r="K539">
        <v>80</v>
      </c>
      <c r="L539">
        <v>73.122512817</v>
      </c>
      <c r="M539">
        <v>50</v>
      </c>
      <c r="N539">
        <v>49.943611144999998</v>
      </c>
    </row>
    <row r="540" spans="1:14" x14ac:dyDescent="0.25">
      <c r="A540">
        <v>223.76239000000001</v>
      </c>
      <c r="B540" s="1">
        <f>DATE(2010,12,10) + TIME(18,17,50)</f>
        <v>40522.762384259258</v>
      </c>
      <c r="C540">
        <v>0</v>
      </c>
      <c r="D540">
        <v>2400</v>
      </c>
      <c r="E540">
        <v>2400</v>
      </c>
      <c r="F540">
        <v>0</v>
      </c>
      <c r="G540">
        <v>1297.9895019999999</v>
      </c>
      <c r="H540">
        <v>1285.7644043</v>
      </c>
      <c r="I540">
        <v>1400.4771728999999</v>
      </c>
      <c r="J540">
        <v>1380.8624268000001</v>
      </c>
      <c r="K540">
        <v>80</v>
      </c>
      <c r="L540">
        <v>72.973342896000005</v>
      </c>
      <c r="M540">
        <v>50</v>
      </c>
      <c r="N540">
        <v>49.943717956999997</v>
      </c>
    </row>
    <row r="541" spans="1:14" x14ac:dyDescent="0.25">
      <c r="A541">
        <v>224.84160600000001</v>
      </c>
      <c r="B541" s="1">
        <f>DATE(2010,12,11) + TIME(20,11,54)</f>
        <v>40523.841597222221</v>
      </c>
      <c r="C541">
        <v>0</v>
      </c>
      <c r="D541">
        <v>2400</v>
      </c>
      <c r="E541">
        <v>2400</v>
      </c>
      <c r="F541">
        <v>0</v>
      </c>
      <c r="G541">
        <v>1297.9125977000001</v>
      </c>
      <c r="H541">
        <v>1285.6689452999999</v>
      </c>
      <c r="I541">
        <v>1400.3763428</v>
      </c>
      <c r="J541">
        <v>1380.7628173999999</v>
      </c>
      <c r="K541">
        <v>80</v>
      </c>
      <c r="L541">
        <v>72.823394774999997</v>
      </c>
      <c r="M541">
        <v>50</v>
      </c>
      <c r="N541">
        <v>49.943824767999999</v>
      </c>
    </row>
    <row r="542" spans="1:14" x14ac:dyDescent="0.25">
      <c r="A542">
        <v>225.935777</v>
      </c>
      <c r="B542" s="1">
        <f>DATE(2010,12,12) + TIME(22,27,31)</f>
        <v>40524.93577546296</v>
      </c>
      <c r="C542">
        <v>0</v>
      </c>
      <c r="D542">
        <v>2400</v>
      </c>
      <c r="E542">
        <v>2400</v>
      </c>
      <c r="F542">
        <v>0</v>
      </c>
      <c r="G542">
        <v>1297.8332519999999</v>
      </c>
      <c r="H542">
        <v>1285.5703125</v>
      </c>
      <c r="I542">
        <v>1400.2773437999999</v>
      </c>
      <c r="J542">
        <v>1380.6649170000001</v>
      </c>
      <c r="K542">
        <v>80</v>
      </c>
      <c r="L542">
        <v>72.672561646000005</v>
      </c>
      <c r="M542">
        <v>50</v>
      </c>
      <c r="N542">
        <v>49.943935394</v>
      </c>
    </row>
    <row r="543" spans="1:14" x14ac:dyDescent="0.25">
      <c r="A543">
        <v>227.04979399999999</v>
      </c>
      <c r="B543" s="1">
        <f>DATE(2010,12,14) + TIME(1,11,42)</f>
        <v>40526.049791666665</v>
      </c>
      <c r="C543">
        <v>0</v>
      </c>
      <c r="D543">
        <v>2400</v>
      </c>
      <c r="E543">
        <v>2400</v>
      </c>
      <c r="F543">
        <v>0</v>
      </c>
      <c r="G543">
        <v>1297.7514647999999</v>
      </c>
      <c r="H543">
        <v>1285.4682617000001</v>
      </c>
      <c r="I543">
        <v>1400.1799315999999</v>
      </c>
      <c r="J543">
        <v>1380.5684814000001</v>
      </c>
      <c r="K543">
        <v>80</v>
      </c>
      <c r="L543">
        <v>72.520431518999999</v>
      </c>
      <c r="M543">
        <v>50</v>
      </c>
      <c r="N543">
        <v>49.944046020999998</v>
      </c>
    </row>
    <row r="544" spans="1:14" x14ac:dyDescent="0.25">
      <c r="A544">
        <v>228.188264</v>
      </c>
      <c r="B544" s="1">
        <f>DATE(2010,12,15) + TIME(4,31,6)</f>
        <v>40527.188263888886</v>
      </c>
      <c r="C544">
        <v>0</v>
      </c>
      <c r="D544">
        <v>2400</v>
      </c>
      <c r="E544">
        <v>2400</v>
      </c>
      <c r="F544">
        <v>0</v>
      </c>
      <c r="G544">
        <v>1297.666626</v>
      </c>
      <c r="H544">
        <v>1285.3623047000001</v>
      </c>
      <c r="I544">
        <v>1400.0836182</v>
      </c>
      <c r="J544">
        <v>1380.4731445</v>
      </c>
      <c r="K544">
        <v>80</v>
      </c>
      <c r="L544">
        <v>72.366477966000005</v>
      </c>
      <c r="M544">
        <v>50</v>
      </c>
      <c r="N544">
        <v>49.944156647</v>
      </c>
    </row>
    <row r="545" spans="1:14" x14ac:dyDescent="0.25">
      <c r="A545">
        <v>229.35655</v>
      </c>
      <c r="B545" s="1">
        <f>DATE(2010,12,16) + TIME(8,33,25)</f>
        <v>40528.356539351851</v>
      </c>
      <c r="C545">
        <v>0</v>
      </c>
      <c r="D545">
        <v>2400</v>
      </c>
      <c r="E545">
        <v>2400</v>
      </c>
      <c r="F545">
        <v>0</v>
      </c>
      <c r="G545">
        <v>1297.5782471</v>
      </c>
      <c r="H545">
        <v>1285.2518310999999</v>
      </c>
      <c r="I545">
        <v>1399.9880370999999</v>
      </c>
      <c r="J545">
        <v>1380.378418</v>
      </c>
      <c r="K545">
        <v>80</v>
      </c>
      <c r="L545">
        <v>72.210075377999999</v>
      </c>
      <c r="M545">
        <v>50</v>
      </c>
      <c r="N545">
        <v>49.944274901999997</v>
      </c>
    </row>
    <row r="546" spans="1:14" x14ac:dyDescent="0.25">
      <c r="A546">
        <v>230.56195600000001</v>
      </c>
      <c r="B546" s="1">
        <f>DATE(2010,12,17) + TIME(13,29,13)</f>
        <v>40529.561956018515</v>
      </c>
      <c r="C546">
        <v>0</v>
      </c>
      <c r="D546">
        <v>2400</v>
      </c>
      <c r="E546">
        <v>2400</v>
      </c>
      <c r="F546">
        <v>0</v>
      </c>
      <c r="G546">
        <v>1297.4859618999999</v>
      </c>
      <c r="H546">
        <v>1285.1359863</v>
      </c>
      <c r="I546">
        <v>1399.8929443</v>
      </c>
      <c r="J546">
        <v>1380.2838135</v>
      </c>
      <c r="K546">
        <v>80</v>
      </c>
      <c r="L546">
        <v>72.050422667999996</v>
      </c>
      <c r="M546">
        <v>50</v>
      </c>
      <c r="N546">
        <v>49.944393157999997</v>
      </c>
    </row>
    <row r="547" spans="1:14" x14ac:dyDescent="0.25">
      <c r="A547">
        <v>231.81084100000001</v>
      </c>
      <c r="B547" s="1">
        <f>DATE(2010,12,18) + TIME(19,27,36)</f>
        <v>40530.810833333337</v>
      </c>
      <c r="C547">
        <v>0</v>
      </c>
      <c r="D547">
        <v>2400</v>
      </c>
      <c r="E547">
        <v>2400</v>
      </c>
      <c r="F547">
        <v>0</v>
      </c>
      <c r="G547">
        <v>1297.3887939000001</v>
      </c>
      <c r="H547">
        <v>1285.0140381000001</v>
      </c>
      <c r="I547">
        <v>1399.7976074000001</v>
      </c>
      <c r="J547">
        <v>1380.1890868999999</v>
      </c>
      <c r="K547">
        <v>80</v>
      </c>
      <c r="L547">
        <v>71.886680603000002</v>
      </c>
      <c r="M547">
        <v>50</v>
      </c>
      <c r="N547">
        <v>49.944515228</v>
      </c>
    </row>
    <row r="548" spans="1:14" x14ac:dyDescent="0.25">
      <c r="A548">
        <v>233.06847200000001</v>
      </c>
      <c r="B548" s="1">
        <f>DATE(2010,12,20) + TIME(1,38,35)</f>
        <v>40532.068460648145</v>
      </c>
      <c r="C548">
        <v>0</v>
      </c>
      <c r="D548">
        <v>2400</v>
      </c>
      <c r="E548">
        <v>2400</v>
      </c>
      <c r="F548">
        <v>0</v>
      </c>
      <c r="G548">
        <v>1297.2860106999999</v>
      </c>
      <c r="H548">
        <v>1284.8850098</v>
      </c>
      <c r="I548">
        <v>1399.7016602000001</v>
      </c>
      <c r="J548">
        <v>1380.0936279</v>
      </c>
      <c r="K548">
        <v>80</v>
      </c>
      <c r="L548">
        <v>71.720252990999995</v>
      </c>
      <c r="M548">
        <v>50</v>
      </c>
      <c r="N548">
        <v>49.944641113000003</v>
      </c>
    </row>
    <row r="549" spans="1:14" x14ac:dyDescent="0.25">
      <c r="A549">
        <v>234.33773400000001</v>
      </c>
      <c r="B549" s="1">
        <f>DATE(2010,12,21) + TIME(8,6,20)</f>
        <v>40533.337731481479</v>
      </c>
      <c r="C549">
        <v>0</v>
      </c>
      <c r="D549">
        <v>2400</v>
      </c>
      <c r="E549">
        <v>2400</v>
      </c>
      <c r="F549">
        <v>0</v>
      </c>
      <c r="G549">
        <v>1297.1802978999999</v>
      </c>
      <c r="H549">
        <v>1284.7517089999999</v>
      </c>
      <c r="I549">
        <v>1399.6079102000001</v>
      </c>
      <c r="J549">
        <v>1380.0001221</v>
      </c>
      <c r="K549">
        <v>80</v>
      </c>
      <c r="L549">
        <v>71.552261353000006</v>
      </c>
      <c r="M549">
        <v>50</v>
      </c>
      <c r="N549">
        <v>49.944766997999999</v>
      </c>
    </row>
    <row r="550" spans="1:14" x14ac:dyDescent="0.25">
      <c r="A550">
        <v>235.619629</v>
      </c>
      <c r="B550" s="1">
        <f>DATE(2010,12,22) + TIME(14,52,15)</f>
        <v>40534.619618055556</v>
      </c>
      <c r="C550">
        <v>0</v>
      </c>
      <c r="D550">
        <v>2400</v>
      </c>
      <c r="E550">
        <v>2400</v>
      </c>
      <c r="F550">
        <v>0</v>
      </c>
      <c r="G550">
        <v>1297.0712891000001</v>
      </c>
      <c r="H550">
        <v>1284.6140137</v>
      </c>
      <c r="I550">
        <v>1399.5159911999999</v>
      </c>
      <c r="J550">
        <v>1379.9084473</v>
      </c>
      <c r="K550">
        <v>80</v>
      </c>
      <c r="L550">
        <v>71.383018493999998</v>
      </c>
      <c r="M550">
        <v>50</v>
      </c>
      <c r="N550">
        <v>49.944892883000001</v>
      </c>
    </row>
    <row r="551" spans="1:14" x14ac:dyDescent="0.25">
      <c r="A551">
        <v>236.91871800000001</v>
      </c>
      <c r="B551" s="1">
        <f>DATE(2010,12,23) + TIME(22,2,57)</f>
        <v>40535.918715277781</v>
      </c>
      <c r="C551">
        <v>0</v>
      </c>
      <c r="D551">
        <v>2400</v>
      </c>
      <c r="E551">
        <v>2400</v>
      </c>
      <c r="F551">
        <v>0</v>
      </c>
      <c r="G551">
        <v>1296.9588623</v>
      </c>
      <c r="H551">
        <v>1284.4715576000001</v>
      </c>
      <c r="I551">
        <v>1399.4259033000001</v>
      </c>
      <c r="J551">
        <v>1379.8182373</v>
      </c>
      <c r="K551">
        <v>80</v>
      </c>
      <c r="L551">
        <v>71.212333678999997</v>
      </c>
      <c r="M551">
        <v>50</v>
      </c>
      <c r="N551">
        <v>49.945018767999997</v>
      </c>
    </row>
    <row r="552" spans="1:14" x14ac:dyDescent="0.25">
      <c r="A552">
        <v>238.24166700000001</v>
      </c>
      <c r="B552" s="1">
        <f>DATE(2010,12,25) + TIME(5,48,0)</f>
        <v>40537.241666666669</v>
      </c>
      <c r="C552">
        <v>0</v>
      </c>
      <c r="D552">
        <v>2400</v>
      </c>
      <c r="E552">
        <v>2400</v>
      </c>
      <c r="F552">
        <v>0</v>
      </c>
      <c r="G552">
        <v>1296.8426514</v>
      </c>
      <c r="H552">
        <v>1284.3238524999999</v>
      </c>
      <c r="I552">
        <v>1399.3370361</v>
      </c>
      <c r="J552">
        <v>1379.7292480000001</v>
      </c>
      <c r="K552">
        <v>80</v>
      </c>
      <c r="L552">
        <v>71.039596558</v>
      </c>
      <c r="M552">
        <v>50</v>
      </c>
      <c r="N552">
        <v>49.945152282999999</v>
      </c>
    </row>
    <row r="553" spans="1:14" x14ac:dyDescent="0.25">
      <c r="A553">
        <v>239.59590800000001</v>
      </c>
      <c r="B553" s="1">
        <f>DATE(2010,12,26) + TIME(14,18,6)</f>
        <v>40538.595902777779</v>
      </c>
      <c r="C553">
        <v>0</v>
      </c>
      <c r="D553">
        <v>2400</v>
      </c>
      <c r="E553">
        <v>2400</v>
      </c>
      <c r="F553">
        <v>0</v>
      </c>
      <c r="G553">
        <v>1296.7216797000001</v>
      </c>
      <c r="H553">
        <v>1284.1699219</v>
      </c>
      <c r="I553">
        <v>1399.2491454999999</v>
      </c>
      <c r="J553">
        <v>1379.6411132999999</v>
      </c>
      <c r="K553">
        <v>80</v>
      </c>
      <c r="L553">
        <v>70.863960266000007</v>
      </c>
      <c r="M553">
        <v>50</v>
      </c>
      <c r="N553">
        <v>49.945281981999997</v>
      </c>
    </row>
    <row r="554" spans="1:14" x14ac:dyDescent="0.25">
      <c r="A554">
        <v>240.98310499999999</v>
      </c>
      <c r="B554" s="1">
        <f>DATE(2010,12,27) + TIME(23,35,40)</f>
        <v>40539.983101851853</v>
      </c>
      <c r="C554">
        <v>0</v>
      </c>
      <c r="D554">
        <v>2400</v>
      </c>
      <c r="E554">
        <v>2400</v>
      </c>
      <c r="F554">
        <v>0</v>
      </c>
      <c r="G554">
        <v>1296.5954589999999</v>
      </c>
      <c r="H554">
        <v>1284.0086670000001</v>
      </c>
      <c r="I554">
        <v>1399.1616211</v>
      </c>
      <c r="J554">
        <v>1379.5531006000001</v>
      </c>
      <c r="K554">
        <v>80</v>
      </c>
      <c r="L554">
        <v>70.684738159000005</v>
      </c>
      <c r="M554">
        <v>50</v>
      </c>
      <c r="N554">
        <v>49.945419311999999</v>
      </c>
    </row>
    <row r="555" spans="1:14" x14ac:dyDescent="0.25">
      <c r="A555">
        <v>242.41112100000001</v>
      </c>
      <c r="B555" s="1">
        <f>DATE(2010,12,29) + TIME(9,52,0)</f>
        <v>40541.411111111112</v>
      </c>
      <c r="C555">
        <v>0</v>
      </c>
      <c r="D555">
        <v>2400</v>
      </c>
      <c r="E555">
        <v>2400</v>
      </c>
      <c r="F555">
        <v>0</v>
      </c>
      <c r="G555">
        <v>1296.4632568</v>
      </c>
      <c r="H555">
        <v>1283.8394774999999</v>
      </c>
      <c r="I555">
        <v>1399.0744629000001</v>
      </c>
      <c r="J555">
        <v>1379.4654541</v>
      </c>
      <c r="K555">
        <v>80</v>
      </c>
      <c r="L555">
        <v>70.501121521000002</v>
      </c>
      <c r="M555">
        <v>50</v>
      </c>
      <c r="N555">
        <v>49.945560454999999</v>
      </c>
    </row>
    <row r="556" spans="1:14" x14ac:dyDescent="0.25">
      <c r="A556">
        <v>243.86039400000001</v>
      </c>
      <c r="B556" s="1">
        <f>DATE(2010,12,30) + TIME(20,38,58)</f>
        <v>40542.860393518517</v>
      </c>
      <c r="C556">
        <v>0</v>
      </c>
      <c r="D556">
        <v>2400</v>
      </c>
      <c r="E556">
        <v>2400</v>
      </c>
      <c r="F556">
        <v>0</v>
      </c>
      <c r="G556">
        <v>1296.3243408000001</v>
      </c>
      <c r="H556">
        <v>1283.661499</v>
      </c>
      <c r="I556">
        <v>1398.9871826000001</v>
      </c>
      <c r="J556">
        <v>1379.3774414</v>
      </c>
      <c r="K556">
        <v>80</v>
      </c>
      <c r="L556">
        <v>70.313461304</v>
      </c>
      <c r="M556">
        <v>50</v>
      </c>
      <c r="N556">
        <v>49.945701599000003</v>
      </c>
    </row>
    <row r="557" spans="1:14" x14ac:dyDescent="0.25">
      <c r="A557">
        <v>245</v>
      </c>
      <c r="B557" s="1">
        <f>DATE(2011,1,1) + TIME(0,0,0)</f>
        <v>40544</v>
      </c>
      <c r="C557">
        <v>0</v>
      </c>
      <c r="D557">
        <v>2400</v>
      </c>
      <c r="E557">
        <v>2400</v>
      </c>
      <c r="F557">
        <v>0</v>
      </c>
      <c r="G557">
        <v>1296.1802978999999</v>
      </c>
      <c r="H557">
        <v>1283.4792480000001</v>
      </c>
      <c r="I557">
        <v>1398.9007568</v>
      </c>
      <c r="J557">
        <v>1379.2900391000001</v>
      </c>
      <c r="K557">
        <v>80</v>
      </c>
      <c r="L557">
        <v>70.141647339000002</v>
      </c>
      <c r="M557">
        <v>50</v>
      </c>
      <c r="N557">
        <v>49.945812224999997</v>
      </c>
    </row>
    <row r="558" spans="1:14" x14ac:dyDescent="0.25">
      <c r="A558">
        <v>246.454399</v>
      </c>
      <c r="B558" s="1">
        <f>DATE(2011,1,2) + TIME(10,54,20)</f>
        <v>40545.454398148147</v>
      </c>
      <c r="C558">
        <v>0</v>
      </c>
      <c r="D558">
        <v>2400</v>
      </c>
      <c r="E558">
        <v>2400</v>
      </c>
      <c r="F558">
        <v>0</v>
      </c>
      <c r="G558">
        <v>1296.0616454999999</v>
      </c>
      <c r="H558">
        <v>1283.3217772999999</v>
      </c>
      <c r="I558">
        <v>1398.8350829999999</v>
      </c>
      <c r="J558">
        <v>1379.2233887</v>
      </c>
      <c r="K558">
        <v>80</v>
      </c>
      <c r="L558">
        <v>69.964103699000006</v>
      </c>
      <c r="M558">
        <v>50</v>
      </c>
      <c r="N558">
        <v>49.945953369000001</v>
      </c>
    </row>
    <row r="559" spans="1:14" x14ac:dyDescent="0.25">
      <c r="A559">
        <v>247.938635</v>
      </c>
      <c r="B559" s="1">
        <f>DATE(2011,1,3) + TIME(22,31,38)</f>
        <v>40546.938634259262</v>
      </c>
      <c r="C559">
        <v>0</v>
      </c>
      <c r="D559">
        <v>2400</v>
      </c>
      <c r="E559">
        <v>2400</v>
      </c>
      <c r="F559">
        <v>0</v>
      </c>
      <c r="G559">
        <v>1295.9125977000001</v>
      </c>
      <c r="H559">
        <v>1283.1300048999999</v>
      </c>
      <c r="I559">
        <v>1398.7529297000001</v>
      </c>
      <c r="J559">
        <v>1379.1400146000001</v>
      </c>
      <c r="K559">
        <v>80</v>
      </c>
      <c r="L559">
        <v>69.775459290000001</v>
      </c>
      <c r="M559">
        <v>50</v>
      </c>
      <c r="N559">
        <v>49.946098327999998</v>
      </c>
    </row>
    <row r="560" spans="1:14" x14ac:dyDescent="0.25">
      <c r="A560">
        <v>249.45029600000001</v>
      </c>
      <c r="B560" s="1">
        <f>DATE(2011,1,5) + TIME(10,48,25)</f>
        <v>40548.450289351851</v>
      </c>
      <c r="C560">
        <v>0</v>
      </c>
      <c r="D560">
        <v>2400</v>
      </c>
      <c r="E560">
        <v>2400</v>
      </c>
      <c r="F560">
        <v>0</v>
      </c>
      <c r="G560">
        <v>1295.7563477000001</v>
      </c>
      <c r="H560">
        <v>1282.9277344</v>
      </c>
      <c r="I560">
        <v>1398.6711425999999</v>
      </c>
      <c r="J560">
        <v>1379.0570068</v>
      </c>
      <c r="K560">
        <v>80</v>
      </c>
      <c r="L560">
        <v>69.579719542999996</v>
      </c>
      <c r="M560">
        <v>50</v>
      </c>
      <c r="N560">
        <v>49.946243285999998</v>
      </c>
    </row>
    <row r="561" spans="1:14" x14ac:dyDescent="0.25">
      <c r="A561">
        <v>250.99531899999999</v>
      </c>
      <c r="B561" s="1">
        <f>DATE(2011,1,6) + TIME(23,53,15)</f>
        <v>40549.995312500003</v>
      </c>
      <c r="C561">
        <v>0</v>
      </c>
      <c r="D561">
        <v>2400</v>
      </c>
      <c r="E561">
        <v>2400</v>
      </c>
      <c r="F561">
        <v>0</v>
      </c>
      <c r="G561">
        <v>1295.5935059000001</v>
      </c>
      <c r="H561">
        <v>1282.7160644999999</v>
      </c>
      <c r="I561">
        <v>1398.5900879000001</v>
      </c>
      <c r="J561">
        <v>1378.9744873</v>
      </c>
      <c r="K561">
        <v>80</v>
      </c>
      <c r="L561">
        <v>69.378074646000002</v>
      </c>
      <c r="M561">
        <v>50</v>
      </c>
      <c r="N561">
        <v>49.946392058999997</v>
      </c>
    </row>
    <row r="562" spans="1:14" x14ac:dyDescent="0.25">
      <c r="A562">
        <v>252.57666499999999</v>
      </c>
      <c r="B562" s="1">
        <f>DATE(2011,1,8) + TIME(13,50,23)</f>
        <v>40551.576655092591</v>
      </c>
      <c r="C562">
        <v>0</v>
      </c>
      <c r="D562">
        <v>2400</v>
      </c>
      <c r="E562">
        <v>2400</v>
      </c>
      <c r="F562">
        <v>0</v>
      </c>
      <c r="G562">
        <v>1295.4233397999999</v>
      </c>
      <c r="H562">
        <v>1282.4943848</v>
      </c>
      <c r="I562">
        <v>1398.5095214999999</v>
      </c>
      <c r="J562">
        <v>1378.8920897999999</v>
      </c>
      <c r="K562">
        <v>80</v>
      </c>
      <c r="L562">
        <v>69.170486449999999</v>
      </c>
      <c r="M562">
        <v>50</v>
      </c>
      <c r="N562">
        <v>49.946544647000003</v>
      </c>
    </row>
    <row r="563" spans="1:14" x14ac:dyDescent="0.25">
      <c r="A563">
        <v>254.204083</v>
      </c>
      <c r="B563" s="1">
        <f>DATE(2011,1,10) + TIME(4,53,52)</f>
        <v>40553.204074074078</v>
      </c>
      <c r="C563">
        <v>0</v>
      </c>
      <c r="D563">
        <v>2400</v>
      </c>
      <c r="E563">
        <v>2400</v>
      </c>
      <c r="F563">
        <v>0</v>
      </c>
      <c r="G563">
        <v>1295.2456055</v>
      </c>
      <c r="H563">
        <v>1282.2618408000001</v>
      </c>
      <c r="I563">
        <v>1398.4291992000001</v>
      </c>
      <c r="J563">
        <v>1378.8099365</v>
      </c>
      <c r="K563">
        <v>80</v>
      </c>
      <c r="L563">
        <v>68.956192017000006</v>
      </c>
      <c r="M563">
        <v>50</v>
      </c>
      <c r="N563">
        <v>49.946701050000001</v>
      </c>
    </row>
    <row r="564" spans="1:14" x14ac:dyDescent="0.25">
      <c r="A564">
        <v>255.85382000000001</v>
      </c>
      <c r="B564" s="1">
        <f>DATE(2011,1,11) + TIME(20,29,30)</f>
        <v>40554.853819444441</v>
      </c>
      <c r="C564">
        <v>0</v>
      </c>
      <c r="D564">
        <v>2400</v>
      </c>
      <c r="E564">
        <v>2400</v>
      </c>
      <c r="F564">
        <v>0</v>
      </c>
      <c r="G564">
        <v>1295.0588379000001</v>
      </c>
      <c r="H564">
        <v>1282.0172118999999</v>
      </c>
      <c r="I564">
        <v>1398.3486327999999</v>
      </c>
      <c r="J564">
        <v>1378.7272949000001</v>
      </c>
      <c r="K564">
        <v>80</v>
      </c>
      <c r="L564">
        <v>68.735443114999995</v>
      </c>
      <c r="M564">
        <v>50</v>
      </c>
      <c r="N564">
        <v>49.946857452000003</v>
      </c>
    </row>
    <row r="565" spans="1:14" x14ac:dyDescent="0.25">
      <c r="A565">
        <v>257.511484</v>
      </c>
      <c r="B565" s="1">
        <f>DATE(2011,1,13) + TIME(12,16,32)</f>
        <v>40556.511481481481</v>
      </c>
      <c r="C565">
        <v>0</v>
      </c>
      <c r="D565">
        <v>2400</v>
      </c>
      <c r="E565">
        <v>2400</v>
      </c>
      <c r="F565">
        <v>0</v>
      </c>
      <c r="G565">
        <v>1294.8652344</v>
      </c>
      <c r="H565">
        <v>1281.7628173999999</v>
      </c>
      <c r="I565">
        <v>1398.269043</v>
      </c>
      <c r="J565">
        <v>1378.6455077999999</v>
      </c>
      <c r="K565">
        <v>80</v>
      </c>
      <c r="L565">
        <v>68.509750366000006</v>
      </c>
      <c r="M565">
        <v>50</v>
      </c>
      <c r="N565">
        <v>49.947013855000002</v>
      </c>
    </row>
    <row r="566" spans="1:14" x14ac:dyDescent="0.25">
      <c r="A566">
        <v>259.186419</v>
      </c>
      <c r="B566" s="1">
        <f>DATE(2011,1,15) + TIME(4,28,26)</f>
        <v>40558.186412037037</v>
      </c>
      <c r="C566">
        <v>0</v>
      </c>
      <c r="D566">
        <v>2400</v>
      </c>
      <c r="E566">
        <v>2400</v>
      </c>
      <c r="F566">
        <v>0</v>
      </c>
      <c r="G566">
        <v>1294.6663818</v>
      </c>
      <c r="H566">
        <v>1281.5003661999999</v>
      </c>
      <c r="I566">
        <v>1398.1912841999999</v>
      </c>
      <c r="J566">
        <v>1378.5653076000001</v>
      </c>
      <c r="K566">
        <v>80</v>
      </c>
      <c r="L566">
        <v>68.279586792000003</v>
      </c>
      <c r="M566">
        <v>50</v>
      </c>
      <c r="N566">
        <v>49.947174072000003</v>
      </c>
    </row>
    <row r="567" spans="1:14" x14ac:dyDescent="0.25">
      <c r="A567">
        <v>260.88800300000003</v>
      </c>
      <c r="B567" s="1">
        <f>DATE(2011,1,16) + TIME(21,18,43)</f>
        <v>40559.887997685182</v>
      </c>
      <c r="C567">
        <v>0</v>
      </c>
      <c r="D567">
        <v>2400</v>
      </c>
      <c r="E567">
        <v>2400</v>
      </c>
      <c r="F567">
        <v>0</v>
      </c>
      <c r="G567">
        <v>1294.4611815999999</v>
      </c>
      <c r="H567">
        <v>1281.2287598</v>
      </c>
      <c r="I567">
        <v>1398.114624</v>
      </c>
      <c r="J567">
        <v>1378.4860839999999</v>
      </c>
      <c r="K567">
        <v>80</v>
      </c>
      <c r="L567">
        <v>68.044113159000005</v>
      </c>
      <c r="M567">
        <v>50</v>
      </c>
      <c r="N567">
        <v>49.947334290000001</v>
      </c>
    </row>
    <row r="568" spans="1:14" x14ac:dyDescent="0.25">
      <c r="A568">
        <v>262.58958699999999</v>
      </c>
      <c r="B568" s="1">
        <f>DATE(2011,1,18) + TIME(14,9,0)</f>
        <v>40561.589583333334</v>
      </c>
      <c r="C568">
        <v>0</v>
      </c>
      <c r="D568">
        <v>2400</v>
      </c>
      <c r="E568">
        <v>2400</v>
      </c>
      <c r="F568">
        <v>0</v>
      </c>
      <c r="G568">
        <v>1294.2487793</v>
      </c>
      <c r="H568">
        <v>1280.9470214999999</v>
      </c>
      <c r="I568">
        <v>1398.0386963000001</v>
      </c>
      <c r="J568">
        <v>1378.4074707</v>
      </c>
      <c r="K568">
        <v>80</v>
      </c>
      <c r="L568">
        <v>67.803688049000002</v>
      </c>
      <c r="M568">
        <v>50</v>
      </c>
      <c r="N568">
        <v>49.947494507000002</v>
      </c>
    </row>
    <row r="569" spans="1:14" x14ac:dyDescent="0.25">
      <c r="A569">
        <v>264.359217</v>
      </c>
      <c r="B569" s="1">
        <f>DATE(2011,1,20) + TIME(8,37,16)</f>
        <v>40563.359212962961</v>
      </c>
      <c r="C569">
        <v>0</v>
      </c>
      <c r="D569">
        <v>2400</v>
      </c>
      <c r="E569">
        <v>2400</v>
      </c>
      <c r="F569">
        <v>0</v>
      </c>
      <c r="G569">
        <v>1294.0316161999999</v>
      </c>
      <c r="H569">
        <v>1280.6573486</v>
      </c>
      <c r="I569">
        <v>1397.9647216999999</v>
      </c>
      <c r="J569">
        <v>1378.3306885</v>
      </c>
      <c r="K569">
        <v>80</v>
      </c>
      <c r="L569">
        <v>67.556098938000005</v>
      </c>
      <c r="M569">
        <v>50</v>
      </c>
      <c r="N569">
        <v>49.947662354000002</v>
      </c>
    </row>
    <row r="570" spans="1:14" x14ac:dyDescent="0.25">
      <c r="A570">
        <v>266.168429</v>
      </c>
      <c r="B570" s="1">
        <f>DATE(2011,1,22) + TIME(4,2,32)</f>
        <v>40565.168425925927</v>
      </c>
      <c r="C570">
        <v>0</v>
      </c>
      <c r="D570">
        <v>2400</v>
      </c>
      <c r="E570">
        <v>2400</v>
      </c>
      <c r="F570">
        <v>0</v>
      </c>
      <c r="G570">
        <v>1293.8023682</v>
      </c>
      <c r="H570">
        <v>1280.3510742000001</v>
      </c>
      <c r="I570">
        <v>1397.8896483999999</v>
      </c>
      <c r="J570">
        <v>1378.2525635</v>
      </c>
      <c r="K570">
        <v>80</v>
      </c>
      <c r="L570">
        <v>67.298561096</v>
      </c>
      <c r="M570">
        <v>50</v>
      </c>
      <c r="N570">
        <v>49.947830199999999</v>
      </c>
    </row>
    <row r="571" spans="1:14" x14ac:dyDescent="0.25">
      <c r="A571">
        <v>268.02862599999997</v>
      </c>
      <c r="B571" s="1">
        <f>DATE(2011,1,24) + TIME(0,41,13)</f>
        <v>40567.028622685182</v>
      </c>
      <c r="C571">
        <v>0</v>
      </c>
      <c r="D571">
        <v>2400</v>
      </c>
      <c r="E571">
        <v>2400</v>
      </c>
      <c r="F571">
        <v>0</v>
      </c>
      <c r="G571">
        <v>1293.5632324000001</v>
      </c>
      <c r="H571">
        <v>1280.0305175999999</v>
      </c>
      <c r="I571">
        <v>1397.8148193</v>
      </c>
      <c r="J571">
        <v>1378.1744385</v>
      </c>
      <c r="K571">
        <v>80</v>
      </c>
      <c r="L571">
        <v>67.030502318999993</v>
      </c>
      <c r="M571">
        <v>50</v>
      </c>
      <c r="N571">
        <v>49.948001861999998</v>
      </c>
    </row>
    <row r="572" spans="1:14" x14ac:dyDescent="0.25">
      <c r="A572">
        <v>269.90200499999997</v>
      </c>
      <c r="B572" s="1">
        <f>DATE(2011,1,25) + TIME(21,38,53)</f>
        <v>40568.902002314811</v>
      </c>
      <c r="C572">
        <v>0</v>
      </c>
      <c r="D572">
        <v>2400</v>
      </c>
      <c r="E572">
        <v>2400</v>
      </c>
      <c r="F572">
        <v>0</v>
      </c>
      <c r="G572">
        <v>1293.3127440999999</v>
      </c>
      <c r="H572">
        <v>1279.6940918</v>
      </c>
      <c r="I572">
        <v>1397.7397461</v>
      </c>
      <c r="J572">
        <v>1378.0959473</v>
      </c>
      <c r="K572">
        <v>80</v>
      </c>
      <c r="L572">
        <v>66.752571106000005</v>
      </c>
      <c r="M572">
        <v>50</v>
      </c>
      <c r="N572">
        <v>49.948177338000001</v>
      </c>
    </row>
    <row r="573" spans="1:14" x14ac:dyDescent="0.25">
      <c r="A573">
        <v>271.79182800000001</v>
      </c>
      <c r="B573" s="1">
        <f>DATE(2011,1,27) + TIME(19,0,13)</f>
        <v>40570.791817129626</v>
      </c>
      <c r="C573">
        <v>0</v>
      </c>
      <c r="D573">
        <v>2400</v>
      </c>
      <c r="E573">
        <v>2400</v>
      </c>
      <c r="F573">
        <v>0</v>
      </c>
      <c r="G573">
        <v>1293.0550536999999</v>
      </c>
      <c r="H573">
        <v>1279.3465576000001</v>
      </c>
      <c r="I573">
        <v>1397.6660156</v>
      </c>
      <c r="J573">
        <v>1378.0185547000001</v>
      </c>
      <c r="K573">
        <v>80</v>
      </c>
      <c r="L573">
        <v>66.466514587000006</v>
      </c>
      <c r="M573">
        <v>50</v>
      </c>
      <c r="N573">
        <v>49.948348998999997</v>
      </c>
    </row>
    <row r="574" spans="1:14" x14ac:dyDescent="0.25">
      <c r="A574">
        <v>273.69978200000003</v>
      </c>
      <c r="B574" s="1">
        <f>DATE(2011,1,29) + TIME(16,47,41)</f>
        <v>40572.699780092589</v>
      </c>
      <c r="C574">
        <v>0</v>
      </c>
      <c r="D574">
        <v>2400</v>
      </c>
      <c r="E574">
        <v>2400</v>
      </c>
      <c r="F574">
        <v>0</v>
      </c>
      <c r="G574">
        <v>1292.7901611</v>
      </c>
      <c r="H574">
        <v>1278.9880370999999</v>
      </c>
      <c r="I574">
        <v>1397.5933838000001</v>
      </c>
      <c r="J574">
        <v>1377.9422606999999</v>
      </c>
      <c r="K574">
        <v>80</v>
      </c>
      <c r="L574">
        <v>66.172386169000006</v>
      </c>
      <c r="M574">
        <v>50</v>
      </c>
      <c r="N574">
        <v>49.948524474999999</v>
      </c>
    </row>
    <row r="575" spans="1:14" x14ac:dyDescent="0.25">
      <c r="A575">
        <v>275.60773599999999</v>
      </c>
      <c r="B575" s="1">
        <f>DATE(2011,1,31) + TIME(14,35,8)</f>
        <v>40574.607731481483</v>
      </c>
      <c r="C575">
        <v>0</v>
      </c>
      <c r="D575">
        <v>2400</v>
      </c>
      <c r="E575">
        <v>2400</v>
      </c>
      <c r="F575">
        <v>0</v>
      </c>
      <c r="G575">
        <v>1292.5179443</v>
      </c>
      <c r="H575">
        <v>1278.6185303</v>
      </c>
      <c r="I575">
        <v>1397.5218506000001</v>
      </c>
      <c r="J575">
        <v>1377.8666992000001</v>
      </c>
      <c r="K575">
        <v>80</v>
      </c>
      <c r="L575">
        <v>65.870750427000004</v>
      </c>
      <c r="M575">
        <v>50</v>
      </c>
      <c r="N575">
        <v>49.948699951000002</v>
      </c>
    </row>
    <row r="576" spans="1:14" x14ac:dyDescent="0.25">
      <c r="A576">
        <v>276</v>
      </c>
      <c r="B576" s="1">
        <f>DATE(2011,2,1) + TIME(0,0,0)</f>
        <v>40575</v>
      </c>
      <c r="C576">
        <v>0</v>
      </c>
      <c r="D576">
        <v>2400</v>
      </c>
      <c r="E576">
        <v>2400</v>
      </c>
      <c r="F576">
        <v>0</v>
      </c>
      <c r="G576">
        <v>1292.2523193</v>
      </c>
      <c r="H576">
        <v>1278.2910156</v>
      </c>
      <c r="I576">
        <v>1397.4508057</v>
      </c>
      <c r="J576">
        <v>1377.7926024999999</v>
      </c>
      <c r="K576">
        <v>80</v>
      </c>
      <c r="L576">
        <v>65.732765197999996</v>
      </c>
      <c r="M576">
        <v>50</v>
      </c>
      <c r="N576">
        <v>49.948730468999997</v>
      </c>
    </row>
    <row r="577" spans="1:14" x14ac:dyDescent="0.25">
      <c r="A577">
        <v>277.90795400000002</v>
      </c>
      <c r="B577" s="1">
        <f>DATE(2011,2,2) + TIME(21,47,27)</f>
        <v>40576.907951388886</v>
      </c>
      <c r="C577">
        <v>0</v>
      </c>
      <c r="D577">
        <v>2400</v>
      </c>
      <c r="E577">
        <v>2400</v>
      </c>
      <c r="F577">
        <v>0</v>
      </c>
      <c r="G577">
        <v>1292.1696777</v>
      </c>
      <c r="H577">
        <v>1278.1385498</v>
      </c>
      <c r="I577">
        <v>1397.4376221</v>
      </c>
      <c r="J577">
        <v>1377.7770995999999</v>
      </c>
      <c r="K577">
        <v>80</v>
      </c>
      <c r="L577">
        <v>65.474113463999998</v>
      </c>
      <c r="M577">
        <v>50</v>
      </c>
      <c r="N577">
        <v>49.948909759999999</v>
      </c>
    </row>
    <row r="578" spans="1:14" x14ac:dyDescent="0.25">
      <c r="A578">
        <v>279.93082800000002</v>
      </c>
      <c r="B578" s="1">
        <f>DATE(2011,2,4) + TIME(22,20,23)</f>
        <v>40578.930821759262</v>
      </c>
      <c r="C578">
        <v>0</v>
      </c>
      <c r="D578">
        <v>2400</v>
      </c>
      <c r="E578">
        <v>2400</v>
      </c>
      <c r="F578">
        <v>0</v>
      </c>
      <c r="G578">
        <v>1291.8956298999999</v>
      </c>
      <c r="H578">
        <v>1277.7659911999999</v>
      </c>
      <c r="I578">
        <v>1397.3698730000001</v>
      </c>
      <c r="J578">
        <v>1377.7055664</v>
      </c>
      <c r="K578">
        <v>80</v>
      </c>
      <c r="L578">
        <v>65.169013977000006</v>
      </c>
      <c r="M578">
        <v>50</v>
      </c>
      <c r="N578">
        <v>49.949089049999998</v>
      </c>
    </row>
    <row r="579" spans="1:14" x14ac:dyDescent="0.25">
      <c r="A579">
        <v>281.95370100000002</v>
      </c>
      <c r="B579" s="1">
        <f>DATE(2011,2,6) + TIME(22,53,19)</f>
        <v>40580.953692129631</v>
      </c>
      <c r="C579">
        <v>0</v>
      </c>
      <c r="D579">
        <v>2400</v>
      </c>
      <c r="E579">
        <v>2400</v>
      </c>
      <c r="F579">
        <v>0</v>
      </c>
      <c r="G579">
        <v>1291.5955810999999</v>
      </c>
      <c r="H579">
        <v>1277.3558350000001</v>
      </c>
      <c r="I579">
        <v>1397.2991943</v>
      </c>
      <c r="J579">
        <v>1377.6308594</v>
      </c>
      <c r="K579">
        <v>80</v>
      </c>
      <c r="L579">
        <v>64.836433411000002</v>
      </c>
      <c r="M579">
        <v>50</v>
      </c>
      <c r="N579">
        <v>49.949272155999999</v>
      </c>
    </row>
    <row r="580" spans="1:14" x14ac:dyDescent="0.25">
      <c r="A580">
        <v>284.052954</v>
      </c>
      <c r="B580" s="1">
        <f>DATE(2011,2,9) + TIME(1,16,15)</f>
        <v>40583.052951388891</v>
      </c>
      <c r="C580">
        <v>0</v>
      </c>
      <c r="D580">
        <v>2400</v>
      </c>
      <c r="E580">
        <v>2400</v>
      </c>
      <c r="F580">
        <v>0</v>
      </c>
      <c r="G580">
        <v>1291.2868652</v>
      </c>
      <c r="H580">
        <v>1276.9301757999999</v>
      </c>
      <c r="I580">
        <v>1397.2303466999999</v>
      </c>
      <c r="J580">
        <v>1377.5576172000001</v>
      </c>
      <c r="K580">
        <v>80</v>
      </c>
      <c r="L580">
        <v>64.486450195000003</v>
      </c>
      <c r="M580">
        <v>50</v>
      </c>
      <c r="N580">
        <v>49.949455260999997</v>
      </c>
    </row>
    <row r="581" spans="1:14" x14ac:dyDescent="0.25">
      <c r="A581">
        <v>286.158997</v>
      </c>
      <c r="B581" s="1">
        <f>DATE(2011,2,11) + TIME(3,48,57)</f>
        <v>40585.158993055556</v>
      </c>
      <c r="C581">
        <v>0</v>
      </c>
      <c r="D581">
        <v>2400</v>
      </c>
      <c r="E581">
        <v>2400</v>
      </c>
      <c r="F581">
        <v>0</v>
      </c>
      <c r="G581">
        <v>1290.9621582</v>
      </c>
      <c r="H581">
        <v>1276.4819336</v>
      </c>
      <c r="I581">
        <v>1397.1602783000001</v>
      </c>
      <c r="J581">
        <v>1377.4830322</v>
      </c>
      <c r="K581">
        <v>80</v>
      </c>
      <c r="L581">
        <v>64.119850158999995</v>
      </c>
      <c r="M581">
        <v>50</v>
      </c>
      <c r="N581">
        <v>49.949642181000002</v>
      </c>
    </row>
    <row r="582" spans="1:14" x14ac:dyDescent="0.25">
      <c r="A582">
        <v>288.28361999999998</v>
      </c>
      <c r="B582" s="1">
        <f>DATE(2011,2,13) + TIME(6,48,24)</f>
        <v>40587.28361111111</v>
      </c>
      <c r="C582">
        <v>0</v>
      </c>
      <c r="D582">
        <v>2400</v>
      </c>
      <c r="E582">
        <v>2400</v>
      </c>
      <c r="F582">
        <v>0</v>
      </c>
      <c r="G582">
        <v>1290.630249</v>
      </c>
      <c r="H582">
        <v>1276.0211182</v>
      </c>
      <c r="I582">
        <v>1397.0916748</v>
      </c>
      <c r="J582">
        <v>1377.409668</v>
      </c>
      <c r="K582">
        <v>80</v>
      </c>
      <c r="L582">
        <v>63.740982056</v>
      </c>
      <c r="M582">
        <v>50</v>
      </c>
      <c r="N582">
        <v>49.949829102000002</v>
      </c>
    </row>
    <row r="583" spans="1:14" x14ac:dyDescent="0.25">
      <c r="A583">
        <v>290.43868400000002</v>
      </c>
      <c r="B583" s="1">
        <f>DATE(2011,2,15) + TIME(10,31,42)</f>
        <v>40589.438680555555</v>
      </c>
      <c r="C583">
        <v>0</v>
      </c>
      <c r="D583">
        <v>2400</v>
      </c>
      <c r="E583">
        <v>2400</v>
      </c>
      <c r="F583">
        <v>0</v>
      </c>
      <c r="G583">
        <v>1290.2902832</v>
      </c>
      <c r="H583">
        <v>1275.5474853999999</v>
      </c>
      <c r="I583">
        <v>1397.0238036999999</v>
      </c>
      <c r="J583">
        <v>1377.3370361</v>
      </c>
      <c r="K583">
        <v>80</v>
      </c>
      <c r="L583">
        <v>63.349437713999997</v>
      </c>
      <c r="M583">
        <v>50</v>
      </c>
      <c r="N583">
        <v>49.950016022</v>
      </c>
    </row>
    <row r="584" spans="1:14" x14ac:dyDescent="0.25">
      <c r="A584">
        <v>292.59374800000001</v>
      </c>
      <c r="B584" s="1">
        <f>DATE(2011,2,17) + TIME(14,14,59)</f>
        <v>40591.593738425923</v>
      </c>
      <c r="C584">
        <v>0</v>
      </c>
      <c r="D584">
        <v>2400</v>
      </c>
      <c r="E584">
        <v>2400</v>
      </c>
      <c r="F584">
        <v>0</v>
      </c>
      <c r="G584">
        <v>1289.9410399999999</v>
      </c>
      <c r="H584">
        <v>1275.0593262</v>
      </c>
      <c r="I584">
        <v>1396.9564209</v>
      </c>
      <c r="J584">
        <v>1377.2648925999999</v>
      </c>
      <c r="K584">
        <v>80</v>
      </c>
      <c r="L584">
        <v>62.945522308000001</v>
      </c>
      <c r="M584">
        <v>50</v>
      </c>
      <c r="N584">
        <v>49.950202941999997</v>
      </c>
    </row>
    <row r="585" spans="1:14" x14ac:dyDescent="0.25">
      <c r="A585">
        <v>294.84706599999998</v>
      </c>
      <c r="B585" s="1">
        <f>DATE(2011,2,19) + TIME(20,19,46)</f>
        <v>40593.847060185188</v>
      </c>
      <c r="C585">
        <v>0</v>
      </c>
      <c r="D585">
        <v>2400</v>
      </c>
      <c r="E585">
        <v>2400</v>
      </c>
      <c r="F585">
        <v>0</v>
      </c>
      <c r="G585">
        <v>1289.5863036999999</v>
      </c>
      <c r="H585">
        <v>1274.5601807</v>
      </c>
      <c r="I585">
        <v>1396.8905029</v>
      </c>
      <c r="J585">
        <v>1377.1940918</v>
      </c>
      <c r="K585">
        <v>80</v>
      </c>
      <c r="L585">
        <v>62.526340484999999</v>
      </c>
      <c r="M585">
        <v>50</v>
      </c>
      <c r="N585">
        <v>49.950397490999997</v>
      </c>
    </row>
    <row r="586" spans="1:14" x14ac:dyDescent="0.25">
      <c r="A586">
        <v>297.14990299999999</v>
      </c>
      <c r="B586" s="1">
        <f>DATE(2011,2,22) + TIME(3,35,51)</f>
        <v>40596.149895833332</v>
      </c>
      <c r="C586">
        <v>0</v>
      </c>
      <c r="D586">
        <v>2400</v>
      </c>
      <c r="E586">
        <v>2400</v>
      </c>
      <c r="F586">
        <v>0</v>
      </c>
      <c r="G586">
        <v>1289.2126464999999</v>
      </c>
      <c r="H586">
        <v>1274.0339355000001</v>
      </c>
      <c r="I586">
        <v>1396.822876</v>
      </c>
      <c r="J586">
        <v>1377.1214600000001</v>
      </c>
      <c r="K586">
        <v>80</v>
      </c>
      <c r="L586">
        <v>62.084903717000003</v>
      </c>
      <c r="M586">
        <v>50</v>
      </c>
      <c r="N586">
        <v>49.950592041</v>
      </c>
    </row>
    <row r="587" spans="1:14" x14ac:dyDescent="0.25">
      <c r="A587">
        <v>299.45274000000001</v>
      </c>
      <c r="B587" s="1">
        <f>DATE(2011,2,24) + TIME(10,51,56)</f>
        <v>40598.452731481484</v>
      </c>
      <c r="C587">
        <v>0</v>
      </c>
      <c r="D587">
        <v>2400</v>
      </c>
      <c r="E587">
        <v>2400</v>
      </c>
      <c r="F587">
        <v>0</v>
      </c>
      <c r="G587">
        <v>1288.8258057</v>
      </c>
      <c r="H587">
        <v>1273.4873047000001</v>
      </c>
      <c r="I587">
        <v>1396.7551269999999</v>
      </c>
      <c r="J587">
        <v>1377.0485839999999</v>
      </c>
      <c r="K587">
        <v>80</v>
      </c>
      <c r="L587">
        <v>61.625492096000002</v>
      </c>
      <c r="M587">
        <v>50</v>
      </c>
      <c r="N587">
        <v>49.950786591000004</v>
      </c>
    </row>
    <row r="588" spans="1:14" x14ac:dyDescent="0.25">
      <c r="A588">
        <v>301.789962</v>
      </c>
      <c r="B588" s="1">
        <f>DATE(2011,2,26) + TIME(18,57,32)</f>
        <v>40600.789953703701</v>
      </c>
      <c r="C588">
        <v>0</v>
      </c>
      <c r="D588">
        <v>2400</v>
      </c>
      <c r="E588">
        <v>2400</v>
      </c>
      <c r="F588">
        <v>0</v>
      </c>
      <c r="G588">
        <v>1288.4332274999999</v>
      </c>
      <c r="H588">
        <v>1272.9291992000001</v>
      </c>
      <c r="I588">
        <v>1396.6885986</v>
      </c>
      <c r="J588">
        <v>1376.9769286999999</v>
      </c>
      <c r="K588">
        <v>80</v>
      </c>
      <c r="L588">
        <v>61.151851653999998</v>
      </c>
      <c r="M588">
        <v>50</v>
      </c>
      <c r="N588">
        <v>49.950984955000003</v>
      </c>
    </row>
    <row r="589" spans="1:14" x14ac:dyDescent="0.25">
      <c r="A589">
        <v>304</v>
      </c>
      <c r="B589" s="1">
        <f>DATE(2011,3,1) + TIME(0,0,0)</f>
        <v>40603</v>
      </c>
      <c r="C589">
        <v>0</v>
      </c>
      <c r="D589">
        <v>2400</v>
      </c>
      <c r="E589">
        <v>2400</v>
      </c>
      <c r="F589">
        <v>0</v>
      </c>
      <c r="G589">
        <v>1288.0313721</v>
      </c>
      <c r="H589">
        <v>1272.3580322</v>
      </c>
      <c r="I589">
        <v>1396.6223144999999</v>
      </c>
      <c r="J589">
        <v>1376.9055175999999</v>
      </c>
      <c r="K589">
        <v>80</v>
      </c>
      <c r="L589">
        <v>60.671062468999999</v>
      </c>
      <c r="M589">
        <v>50</v>
      </c>
      <c r="N589">
        <v>49.951168060000001</v>
      </c>
    </row>
    <row r="590" spans="1:14" x14ac:dyDescent="0.25">
      <c r="A590">
        <v>306.36196799999999</v>
      </c>
      <c r="B590" s="1">
        <f>DATE(2011,3,3) + TIME(8,41,14)</f>
        <v>40605.361967592595</v>
      </c>
      <c r="C590">
        <v>0</v>
      </c>
      <c r="D590">
        <v>2400</v>
      </c>
      <c r="E590">
        <v>2400</v>
      </c>
      <c r="F590">
        <v>0</v>
      </c>
      <c r="G590">
        <v>1287.6435547000001</v>
      </c>
      <c r="H590">
        <v>1271.7993164</v>
      </c>
      <c r="I590">
        <v>1396.5609131000001</v>
      </c>
      <c r="J590">
        <v>1376.8391113</v>
      </c>
      <c r="K590">
        <v>80</v>
      </c>
      <c r="L590">
        <v>60.184764862000002</v>
      </c>
      <c r="M590">
        <v>50</v>
      </c>
      <c r="N590">
        <v>49.951362609999997</v>
      </c>
    </row>
    <row r="591" spans="1:14" x14ac:dyDescent="0.25">
      <c r="A591">
        <v>308.72393499999998</v>
      </c>
      <c r="B591" s="1">
        <f>DATE(2011,3,5) + TIME(17,22,28)</f>
        <v>40607.723935185182</v>
      </c>
      <c r="C591">
        <v>0</v>
      </c>
      <c r="D591">
        <v>2400</v>
      </c>
      <c r="E591">
        <v>2400</v>
      </c>
      <c r="F591">
        <v>0</v>
      </c>
      <c r="G591">
        <v>1287.2312012</v>
      </c>
      <c r="H591">
        <v>1271.2073975000001</v>
      </c>
      <c r="I591">
        <v>1396.4963379000001</v>
      </c>
      <c r="J591">
        <v>1376.7695312000001</v>
      </c>
      <c r="K591">
        <v>80</v>
      </c>
      <c r="L591">
        <v>59.674579620000003</v>
      </c>
      <c r="M591">
        <v>50</v>
      </c>
      <c r="N591">
        <v>49.951557158999996</v>
      </c>
    </row>
    <row r="592" spans="1:14" x14ac:dyDescent="0.25">
      <c r="A592">
        <v>311.20699500000001</v>
      </c>
      <c r="B592" s="1">
        <f>DATE(2011,3,8) + TIME(4,58,4)</f>
        <v>40610.206990740742</v>
      </c>
      <c r="C592">
        <v>0</v>
      </c>
      <c r="D592">
        <v>2400</v>
      </c>
      <c r="E592">
        <v>2400</v>
      </c>
      <c r="F592">
        <v>0</v>
      </c>
      <c r="G592">
        <v>1286.8131103999999</v>
      </c>
      <c r="H592">
        <v>1270.6020507999999</v>
      </c>
      <c r="I592">
        <v>1396.4328613</v>
      </c>
      <c r="J592">
        <v>1376.7010498</v>
      </c>
      <c r="K592">
        <v>80</v>
      </c>
      <c r="L592">
        <v>59.143531799000002</v>
      </c>
      <c r="M592">
        <v>50</v>
      </c>
      <c r="N592">
        <v>49.951755523999999</v>
      </c>
    </row>
    <row r="593" spans="1:14" x14ac:dyDescent="0.25">
      <c r="A593">
        <v>313.69005499999997</v>
      </c>
      <c r="B593" s="1">
        <f>DATE(2011,3,10) + TIME(16,33,40)</f>
        <v>40612.690046296295</v>
      </c>
      <c r="C593">
        <v>0</v>
      </c>
      <c r="D593">
        <v>2400</v>
      </c>
      <c r="E593">
        <v>2400</v>
      </c>
      <c r="F593">
        <v>0</v>
      </c>
      <c r="G593">
        <v>1286.3726807</v>
      </c>
      <c r="H593">
        <v>1269.9642334</v>
      </c>
      <c r="I593">
        <v>1396.3670654</v>
      </c>
      <c r="J593">
        <v>1376.630249</v>
      </c>
      <c r="K593">
        <v>80</v>
      </c>
      <c r="L593">
        <v>58.586025237999998</v>
      </c>
      <c r="M593">
        <v>50</v>
      </c>
      <c r="N593">
        <v>49.951953887999998</v>
      </c>
    </row>
    <row r="594" spans="1:14" x14ac:dyDescent="0.25">
      <c r="A594">
        <v>316.20170899999999</v>
      </c>
      <c r="B594" s="1">
        <f>DATE(2011,3,13) + TIME(4,50,27)</f>
        <v>40615.201701388891</v>
      </c>
      <c r="C594">
        <v>0</v>
      </c>
      <c r="D594">
        <v>2400</v>
      </c>
      <c r="E594">
        <v>2400</v>
      </c>
      <c r="F594">
        <v>0</v>
      </c>
      <c r="G594">
        <v>1285.9270019999999</v>
      </c>
      <c r="H594">
        <v>1269.3146973</v>
      </c>
      <c r="I594">
        <v>1396.3024902</v>
      </c>
      <c r="J594">
        <v>1376.5606689000001</v>
      </c>
      <c r="K594">
        <v>80</v>
      </c>
      <c r="L594">
        <v>58.012210846000002</v>
      </c>
      <c r="M594">
        <v>50</v>
      </c>
      <c r="N594">
        <v>49.952156066999997</v>
      </c>
    </row>
    <row r="595" spans="1:14" x14ac:dyDescent="0.25">
      <c r="A595">
        <v>318.72850599999998</v>
      </c>
      <c r="B595" s="1">
        <f>DATE(2011,3,15) + TIME(17,29,2)</f>
        <v>40617.728495370371</v>
      </c>
      <c r="C595">
        <v>0</v>
      </c>
      <c r="D595">
        <v>2400</v>
      </c>
      <c r="E595">
        <v>2400</v>
      </c>
      <c r="F595">
        <v>0</v>
      </c>
      <c r="G595">
        <v>1285.4736327999999</v>
      </c>
      <c r="H595">
        <v>1268.651001</v>
      </c>
      <c r="I595">
        <v>1396.2380370999999</v>
      </c>
      <c r="J595">
        <v>1376.4912108999999</v>
      </c>
      <c r="K595">
        <v>80</v>
      </c>
      <c r="L595">
        <v>57.422508239999999</v>
      </c>
      <c r="M595">
        <v>50</v>
      </c>
      <c r="N595">
        <v>49.952354431000003</v>
      </c>
    </row>
    <row r="596" spans="1:14" x14ac:dyDescent="0.25">
      <c r="A596">
        <v>321.25530199999997</v>
      </c>
      <c r="B596" s="1">
        <f>DATE(2011,3,18) + TIME(6,7,38)</f>
        <v>40620.255300925928</v>
      </c>
      <c r="C596">
        <v>0</v>
      </c>
      <c r="D596">
        <v>2400</v>
      </c>
      <c r="E596">
        <v>2400</v>
      </c>
      <c r="F596">
        <v>0</v>
      </c>
      <c r="G596">
        <v>1285.0150146000001</v>
      </c>
      <c r="H596">
        <v>1267.9765625</v>
      </c>
      <c r="I596">
        <v>1396.1740723</v>
      </c>
      <c r="J596">
        <v>1376.4226074000001</v>
      </c>
      <c r="K596">
        <v>80</v>
      </c>
      <c r="L596">
        <v>56.819759369000003</v>
      </c>
      <c r="M596">
        <v>50</v>
      </c>
      <c r="N596">
        <v>49.952548981</v>
      </c>
    </row>
    <row r="597" spans="1:14" x14ac:dyDescent="0.25">
      <c r="A597">
        <v>323.81545399999999</v>
      </c>
      <c r="B597" s="1">
        <f>DATE(2011,3,20) + TIME(19,34,15)</f>
        <v>40622.815451388888</v>
      </c>
      <c r="C597">
        <v>0</v>
      </c>
      <c r="D597">
        <v>2400</v>
      </c>
      <c r="E597">
        <v>2400</v>
      </c>
      <c r="F597">
        <v>0</v>
      </c>
      <c r="G597">
        <v>1284.5539550999999</v>
      </c>
      <c r="H597">
        <v>1267.2946777</v>
      </c>
      <c r="I597">
        <v>1396.1112060999999</v>
      </c>
      <c r="J597">
        <v>1376.3548584</v>
      </c>
      <c r="K597">
        <v>80</v>
      </c>
      <c r="L597">
        <v>56.204952239999997</v>
      </c>
      <c r="M597">
        <v>50</v>
      </c>
      <c r="N597">
        <v>49.952747344999999</v>
      </c>
    </row>
    <row r="598" spans="1:14" x14ac:dyDescent="0.25">
      <c r="A598">
        <v>326.375606</v>
      </c>
      <c r="B598" s="1">
        <f>DATE(2011,3,23) + TIME(9,0,52)</f>
        <v>40625.375601851854</v>
      </c>
      <c r="C598">
        <v>0</v>
      </c>
      <c r="D598">
        <v>2400</v>
      </c>
      <c r="E598">
        <v>2400</v>
      </c>
      <c r="F598">
        <v>0</v>
      </c>
      <c r="G598">
        <v>1284.0861815999999</v>
      </c>
      <c r="H598">
        <v>1266.6000977000001</v>
      </c>
      <c r="I598">
        <v>1396.0480957</v>
      </c>
      <c r="J598">
        <v>1376.2873535000001</v>
      </c>
      <c r="K598">
        <v>80</v>
      </c>
      <c r="L598">
        <v>55.576721190999997</v>
      </c>
      <c r="M598">
        <v>50</v>
      </c>
      <c r="N598">
        <v>49.952941895000002</v>
      </c>
    </row>
    <row r="599" spans="1:14" x14ac:dyDescent="0.25">
      <c r="A599">
        <v>328.93575800000002</v>
      </c>
      <c r="B599" s="1">
        <f>DATE(2011,3,25) + TIME(22,27,29)</f>
        <v>40627.935752314814</v>
      </c>
      <c r="C599">
        <v>0</v>
      </c>
      <c r="D599">
        <v>2400</v>
      </c>
      <c r="E599">
        <v>2400</v>
      </c>
      <c r="F599">
        <v>0</v>
      </c>
      <c r="G599">
        <v>1283.6168213000001</v>
      </c>
      <c r="H599">
        <v>1265.8995361</v>
      </c>
      <c r="I599">
        <v>1395.9859618999999</v>
      </c>
      <c r="J599">
        <v>1376.2207031</v>
      </c>
      <c r="K599">
        <v>80</v>
      </c>
      <c r="L599">
        <v>54.939376830999997</v>
      </c>
      <c r="M599">
        <v>50</v>
      </c>
      <c r="N599">
        <v>49.953132629000002</v>
      </c>
    </row>
    <row r="600" spans="1:14" x14ac:dyDescent="0.25">
      <c r="A600">
        <v>331.55830200000003</v>
      </c>
      <c r="B600" s="1">
        <f>DATE(2011,3,28) + TIME(13,23,57)</f>
        <v>40630.558298611111</v>
      </c>
      <c r="C600">
        <v>0</v>
      </c>
      <c r="D600">
        <v>2400</v>
      </c>
      <c r="E600">
        <v>2400</v>
      </c>
      <c r="F600">
        <v>0</v>
      </c>
      <c r="G600">
        <v>1283.1467285000001</v>
      </c>
      <c r="H600">
        <v>1265.1929932</v>
      </c>
      <c r="I600">
        <v>1395.9244385</v>
      </c>
      <c r="J600">
        <v>1376.1550293</v>
      </c>
      <c r="K600">
        <v>80</v>
      </c>
      <c r="L600">
        <v>54.290878296000002</v>
      </c>
      <c r="M600">
        <v>50</v>
      </c>
      <c r="N600">
        <v>49.953330993999998</v>
      </c>
    </row>
    <row r="601" spans="1:14" x14ac:dyDescent="0.25">
      <c r="A601">
        <v>334.18084599999997</v>
      </c>
      <c r="B601" s="1">
        <f>DATE(2011,3,31) + TIME(4,20,25)</f>
        <v>40633.180844907409</v>
      </c>
      <c r="C601">
        <v>0</v>
      </c>
      <c r="D601">
        <v>2400</v>
      </c>
      <c r="E601">
        <v>2400</v>
      </c>
      <c r="F601">
        <v>0</v>
      </c>
      <c r="G601">
        <v>1282.6663818</v>
      </c>
      <c r="H601">
        <v>1264.4694824000001</v>
      </c>
      <c r="I601">
        <v>1395.8621826000001</v>
      </c>
      <c r="J601">
        <v>1376.0887451000001</v>
      </c>
      <c r="K601">
        <v>80</v>
      </c>
      <c r="L601">
        <v>53.626995086999997</v>
      </c>
      <c r="M601">
        <v>50</v>
      </c>
      <c r="N601">
        <v>49.953521729000002</v>
      </c>
    </row>
    <row r="602" spans="1:14" x14ac:dyDescent="0.25">
      <c r="A602">
        <v>335</v>
      </c>
      <c r="B602" s="1">
        <f>DATE(2011,4,1) + TIME(0,0,0)</f>
        <v>40634</v>
      </c>
      <c r="C602">
        <v>0</v>
      </c>
      <c r="D602">
        <v>2400</v>
      </c>
      <c r="E602">
        <v>2400</v>
      </c>
      <c r="F602">
        <v>0</v>
      </c>
      <c r="G602">
        <v>1282.1944579999999</v>
      </c>
      <c r="H602">
        <v>1263.8232422000001</v>
      </c>
      <c r="I602">
        <v>1395.7996826000001</v>
      </c>
      <c r="J602">
        <v>1376.0228271000001</v>
      </c>
      <c r="K602">
        <v>80</v>
      </c>
      <c r="L602">
        <v>53.187438964999998</v>
      </c>
      <c r="M602">
        <v>50</v>
      </c>
      <c r="N602">
        <v>49.953582763999997</v>
      </c>
    </row>
    <row r="603" spans="1:14" x14ac:dyDescent="0.25">
      <c r="A603">
        <v>337.622544</v>
      </c>
      <c r="B603" s="1">
        <f>DATE(2011,4,3) + TIME(14,56,27)</f>
        <v>40636.622534722221</v>
      </c>
      <c r="C603">
        <v>0</v>
      </c>
      <c r="D603">
        <v>2400</v>
      </c>
      <c r="E603">
        <v>2400</v>
      </c>
      <c r="F603">
        <v>0</v>
      </c>
      <c r="G603">
        <v>1282.0131836</v>
      </c>
      <c r="H603">
        <v>1263.463501</v>
      </c>
      <c r="I603">
        <v>1395.7813721</v>
      </c>
      <c r="J603">
        <v>1376.0018310999999</v>
      </c>
      <c r="K603">
        <v>80</v>
      </c>
      <c r="L603">
        <v>52.688838959000002</v>
      </c>
      <c r="M603">
        <v>50</v>
      </c>
      <c r="N603">
        <v>49.953777313000003</v>
      </c>
    </row>
    <row r="604" spans="1:14" x14ac:dyDescent="0.25">
      <c r="A604">
        <v>340.34707100000003</v>
      </c>
      <c r="B604" s="1">
        <f>DATE(2011,4,6) + TIME(8,19,46)</f>
        <v>40639.347060185188</v>
      </c>
      <c r="C604">
        <v>0</v>
      </c>
      <c r="D604">
        <v>2400</v>
      </c>
      <c r="E604">
        <v>2400</v>
      </c>
      <c r="F604">
        <v>0</v>
      </c>
      <c r="G604">
        <v>1281.5510254000001</v>
      </c>
      <c r="H604">
        <v>1262.7673339999999</v>
      </c>
      <c r="I604">
        <v>1395.7207031</v>
      </c>
      <c r="J604">
        <v>1375.9382324000001</v>
      </c>
      <c r="K604">
        <v>80</v>
      </c>
      <c r="L604">
        <v>52.047336577999999</v>
      </c>
      <c r="M604">
        <v>50</v>
      </c>
      <c r="N604">
        <v>49.953968048</v>
      </c>
    </row>
    <row r="605" spans="1:14" x14ac:dyDescent="0.25">
      <c r="A605">
        <v>343.07159799999999</v>
      </c>
      <c r="B605" s="1">
        <f>DATE(2011,4,9) + TIME(1,43,6)</f>
        <v>40642.071597222224</v>
      </c>
      <c r="C605">
        <v>0</v>
      </c>
      <c r="D605">
        <v>2400</v>
      </c>
      <c r="E605">
        <v>2400</v>
      </c>
      <c r="F605">
        <v>0</v>
      </c>
      <c r="G605">
        <v>1281.0604248</v>
      </c>
      <c r="H605">
        <v>1262.0184326000001</v>
      </c>
      <c r="I605">
        <v>1395.6579589999999</v>
      </c>
      <c r="J605">
        <v>1375.8721923999999</v>
      </c>
      <c r="K605">
        <v>80</v>
      </c>
      <c r="L605">
        <v>51.355281830000003</v>
      </c>
      <c r="M605">
        <v>50</v>
      </c>
      <c r="N605">
        <v>49.954162598000003</v>
      </c>
    </row>
    <row r="606" spans="1:14" x14ac:dyDescent="0.25">
      <c r="A606">
        <v>345.89527500000003</v>
      </c>
      <c r="B606" s="1">
        <f>DATE(2011,4,11) + TIME(21,29,11)</f>
        <v>40644.895266203705</v>
      </c>
      <c r="C606">
        <v>0</v>
      </c>
      <c r="D606">
        <v>2400</v>
      </c>
      <c r="E606">
        <v>2400</v>
      </c>
      <c r="F606">
        <v>0</v>
      </c>
      <c r="G606">
        <v>1280.5672606999999</v>
      </c>
      <c r="H606">
        <v>1261.2567139</v>
      </c>
      <c r="I606">
        <v>1395.5959473</v>
      </c>
      <c r="J606">
        <v>1375.8068848</v>
      </c>
      <c r="K606">
        <v>80</v>
      </c>
      <c r="L606">
        <v>50.644882201999998</v>
      </c>
      <c r="M606">
        <v>50</v>
      </c>
      <c r="N606">
        <v>49.954357147000003</v>
      </c>
    </row>
    <row r="607" spans="1:14" x14ac:dyDescent="0.25">
      <c r="A607">
        <v>348.718952</v>
      </c>
      <c r="B607" s="1">
        <f>DATE(2011,4,14) + TIME(17,15,17)</f>
        <v>40647.718946759262</v>
      </c>
      <c r="C607">
        <v>0</v>
      </c>
      <c r="D607">
        <v>2400</v>
      </c>
      <c r="E607">
        <v>2400</v>
      </c>
      <c r="F607">
        <v>0</v>
      </c>
      <c r="G607">
        <v>1280.0599365</v>
      </c>
      <c r="H607">
        <v>1260.4711914</v>
      </c>
      <c r="I607">
        <v>1395.5322266000001</v>
      </c>
      <c r="J607">
        <v>1375.7399902</v>
      </c>
      <c r="K607">
        <v>80</v>
      </c>
      <c r="L607">
        <v>49.915859222000002</v>
      </c>
      <c r="M607">
        <v>50</v>
      </c>
      <c r="N607">
        <v>49.954555511000002</v>
      </c>
    </row>
    <row r="608" spans="1:14" x14ac:dyDescent="0.25">
      <c r="A608">
        <v>351.63664499999999</v>
      </c>
      <c r="B608" s="1">
        <f>DATE(2011,4,17) + TIME(15,16,46)</f>
        <v>40650.636643518519</v>
      </c>
      <c r="C608">
        <v>0</v>
      </c>
      <c r="D608">
        <v>2400</v>
      </c>
      <c r="E608">
        <v>2400</v>
      </c>
      <c r="F608">
        <v>0</v>
      </c>
      <c r="G608">
        <v>1279.5548096</v>
      </c>
      <c r="H608">
        <v>1259.6813964999999</v>
      </c>
      <c r="I608">
        <v>1395.4688721</v>
      </c>
      <c r="J608">
        <v>1375.6737060999999</v>
      </c>
      <c r="K608">
        <v>80</v>
      </c>
      <c r="L608">
        <v>49.177757262999997</v>
      </c>
      <c r="M608">
        <v>50</v>
      </c>
      <c r="N608">
        <v>49.954753875999998</v>
      </c>
    </row>
    <row r="609" spans="1:14" x14ac:dyDescent="0.25">
      <c r="A609">
        <v>354.59889199999998</v>
      </c>
      <c r="B609" s="1">
        <f>DATE(2011,4,20) + TIME(14,22,24)</f>
        <v>40653.59888888889</v>
      </c>
      <c r="C609">
        <v>0</v>
      </c>
      <c r="D609">
        <v>2400</v>
      </c>
      <c r="E609">
        <v>2400</v>
      </c>
      <c r="F609">
        <v>0</v>
      </c>
      <c r="G609">
        <v>1279.0386963000001</v>
      </c>
      <c r="H609">
        <v>1258.871582</v>
      </c>
      <c r="I609">
        <v>1395.4040527</v>
      </c>
      <c r="J609">
        <v>1375.6060791</v>
      </c>
      <c r="K609">
        <v>80</v>
      </c>
      <c r="L609">
        <v>48.423736572000003</v>
      </c>
      <c r="M609">
        <v>50</v>
      </c>
      <c r="N609">
        <v>49.954952239999997</v>
      </c>
    </row>
    <row r="610" spans="1:14" x14ac:dyDescent="0.25">
      <c r="A610">
        <v>357.56113900000003</v>
      </c>
      <c r="B610" s="1">
        <f>DATE(2011,4,23) + TIME(13,28,2)</f>
        <v>40656.56113425926</v>
      </c>
      <c r="C610">
        <v>0</v>
      </c>
      <c r="D610">
        <v>2400</v>
      </c>
      <c r="E610">
        <v>2400</v>
      </c>
      <c r="F610">
        <v>0</v>
      </c>
      <c r="G610">
        <v>1278.5197754000001</v>
      </c>
      <c r="H610">
        <v>1258.0527344</v>
      </c>
      <c r="I610">
        <v>1395.338501</v>
      </c>
      <c r="J610">
        <v>1375.5380858999999</v>
      </c>
      <c r="K610">
        <v>80</v>
      </c>
      <c r="L610">
        <v>47.663238524999997</v>
      </c>
      <c r="M610">
        <v>50</v>
      </c>
      <c r="N610">
        <v>49.955150604000004</v>
      </c>
    </row>
    <row r="611" spans="1:14" x14ac:dyDescent="0.25">
      <c r="A611">
        <v>360.52338500000002</v>
      </c>
      <c r="B611" s="1">
        <f>DATE(2011,4,26) + TIME(12,33,40)</f>
        <v>40659.523379629631</v>
      </c>
      <c r="C611">
        <v>0</v>
      </c>
      <c r="D611">
        <v>2400</v>
      </c>
      <c r="E611">
        <v>2400</v>
      </c>
      <c r="F611">
        <v>0</v>
      </c>
      <c r="G611">
        <v>1278.0063477000001</v>
      </c>
      <c r="H611">
        <v>1257.2369385</v>
      </c>
      <c r="I611">
        <v>1395.2734375</v>
      </c>
      <c r="J611">
        <v>1375.4707031</v>
      </c>
      <c r="K611">
        <v>80</v>
      </c>
      <c r="L611">
        <v>46.905921935999999</v>
      </c>
      <c r="M611">
        <v>50</v>
      </c>
      <c r="N611">
        <v>49.955345154</v>
      </c>
    </row>
    <row r="612" spans="1:14" x14ac:dyDescent="0.25">
      <c r="A612">
        <v>363.48563200000001</v>
      </c>
      <c r="B612" s="1">
        <f>DATE(2011,4,29) + TIME(11,39,18)</f>
        <v>40662.485625000001</v>
      </c>
      <c r="C612">
        <v>0</v>
      </c>
      <c r="D612">
        <v>2400</v>
      </c>
      <c r="E612">
        <v>2400</v>
      </c>
      <c r="F612">
        <v>0</v>
      </c>
      <c r="G612">
        <v>1277.5</v>
      </c>
      <c r="H612">
        <v>1256.4272461</v>
      </c>
      <c r="I612">
        <v>1395.2087402</v>
      </c>
      <c r="J612">
        <v>1375.4040527</v>
      </c>
      <c r="K612">
        <v>80</v>
      </c>
      <c r="L612">
        <v>46.155231475999997</v>
      </c>
      <c r="M612">
        <v>50</v>
      </c>
      <c r="N612">
        <v>49.955535888999997</v>
      </c>
    </row>
    <row r="613" spans="1:14" x14ac:dyDescent="0.25">
      <c r="A613">
        <v>365</v>
      </c>
      <c r="B613" s="1">
        <f>DATE(2011,5,1) + TIME(0,0,0)</f>
        <v>40664</v>
      </c>
      <c r="C613">
        <v>0</v>
      </c>
      <c r="D613">
        <v>2400</v>
      </c>
      <c r="E613">
        <v>2400</v>
      </c>
      <c r="F613">
        <v>0</v>
      </c>
      <c r="G613">
        <v>1277.0039062000001</v>
      </c>
      <c r="H613">
        <v>1255.6761475000001</v>
      </c>
      <c r="I613">
        <v>1395.144043</v>
      </c>
      <c r="J613">
        <v>1375.3376464999999</v>
      </c>
      <c r="K613">
        <v>80</v>
      </c>
      <c r="L613">
        <v>45.540046691999997</v>
      </c>
      <c r="M613">
        <v>50</v>
      </c>
      <c r="N613">
        <v>49.955635071000003</v>
      </c>
    </row>
    <row r="614" spans="1:14" x14ac:dyDescent="0.25">
      <c r="A614">
        <v>365.000001</v>
      </c>
      <c r="B614" s="1">
        <f>DATE(2011,5,1) + TIME(0,0,0)</f>
        <v>40664</v>
      </c>
      <c r="C614">
        <v>2400</v>
      </c>
      <c r="D614">
        <v>0</v>
      </c>
      <c r="E614">
        <v>0</v>
      </c>
      <c r="F614">
        <v>2400</v>
      </c>
      <c r="G614">
        <v>1300.6234131000001</v>
      </c>
      <c r="H614">
        <v>1277.9372559000001</v>
      </c>
      <c r="I614">
        <v>1374.4633789</v>
      </c>
      <c r="J614">
        <v>1355.9263916</v>
      </c>
      <c r="K614">
        <v>80</v>
      </c>
      <c r="L614">
        <v>45.540206908999998</v>
      </c>
      <c r="M614">
        <v>50</v>
      </c>
      <c r="N614">
        <v>49.955524445000002</v>
      </c>
    </row>
    <row r="615" spans="1:14" x14ac:dyDescent="0.25">
      <c r="A615">
        <v>365.00000399999999</v>
      </c>
      <c r="B615" s="1">
        <f>DATE(2011,5,1) + TIME(0,0,0)</f>
        <v>40664</v>
      </c>
      <c r="C615">
        <v>2400</v>
      </c>
      <c r="D615">
        <v>0</v>
      </c>
      <c r="E615">
        <v>0</v>
      </c>
      <c r="F615">
        <v>2400</v>
      </c>
      <c r="G615">
        <v>1303.0104980000001</v>
      </c>
      <c r="H615">
        <v>1280.442749</v>
      </c>
      <c r="I615">
        <v>1372.1313477000001</v>
      </c>
      <c r="J615">
        <v>1353.5931396000001</v>
      </c>
      <c r="K615">
        <v>80</v>
      </c>
      <c r="L615">
        <v>45.540649414000001</v>
      </c>
      <c r="M615">
        <v>50</v>
      </c>
      <c r="N615">
        <v>49.955230712999999</v>
      </c>
    </row>
    <row r="616" spans="1:14" x14ac:dyDescent="0.25">
      <c r="A616">
        <v>365.00001300000002</v>
      </c>
      <c r="B616" s="1">
        <f>DATE(2011,5,1) + TIME(0,0,1)</f>
        <v>40664.000011574077</v>
      </c>
      <c r="C616">
        <v>2400</v>
      </c>
      <c r="D616">
        <v>0</v>
      </c>
      <c r="E616">
        <v>0</v>
      </c>
      <c r="F616">
        <v>2400</v>
      </c>
      <c r="G616">
        <v>1308.5288086</v>
      </c>
      <c r="H616">
        <v>1286.1435547000001</v>
      </c>
      <c r="I616">
        <v>1366.8995361</v>
      </c>
      <c r="J616">
        <v>1348.3598632999999</v>
      </c>
      <c r="K616">
        <v>80</v>
      </c>
      <c r="L616">
        <v>45.541748046999999</v>
      </c>
      <c r="M616">
        <v>50</v>
      </c>
      <c r="N616">
        <v>49.954570769999997</v>
      </c>
    </row>
    <row r="617" spans="1:14" x14ac:dyDescent="0.25">
      <c r="A617">
        <v>365.00004000000001</v>
      </c>
      <c r="B617" s="1">
        <f>DATE(2011,5,1) + TIME(0,0,3)</f>
        <v>40664.000034722223</v>
      </c>
      <c r="C617">
        <v>2400</v>
      </c>
      <c r="D617">
        <v>0</v>
      </c>
      <c r="E617">
        <v>0</v>
      </c>
      <c r="F617">
        <v>2400</v>
      </c>
      <c r="G617">
        <v>1318.184082</v>
      </c>
      <c r="H617">
        <v>1295.9044189000001</v>
      </c>
      <c r="I617">
        <v>1358.1564940999999</v>
      </c>
      <c r="J617">
        <v>1339.6166992000001</v>
      </c>
      <c r="K617">
        <v>80</v>
      </c>
      <c r="L617">
        <v>45.544151306000003</v>
      </c>
      <c r="M617">
        <v>50</v>
      </c>
      <c r="N617">
        <v>49.953468323000003</v>
      </c>
    </row>
    <row r="618" spans="1:14" x14ac:dyDescent="0.25">
      <c r="A618">
        <v>365.00012099999998</v>
      </c>
      <c r="B618" s="1">
        <f>DATE(2011,5,1) + TIME(0,0,10)</f>
        <v>40664.000115740739</v>
      </c>
      <c r="C618">
        <v>2400</v>
      </c>
      <c r="D618">
        <v>0</v>
      </c>
      <c r="E618">
        <v>0</v>
      </c>
      <c r="F618">
        <v>2400</v>
      </c>
      <c r="G618">
        <v>1330.4122314000001</v>
      </c>
      <c r="H618">
        <v>1308.0908202999999</v>
      </c>
      <c r="I618">
        <v>1347.4753418</v>
      </c>
      <c r="J618">
        <v>1328.9450684000001</v>
      </c>
      <c r="K618">
        <v>80</v>
      </c>
      <c r="L618">
        <v>45.549251556000002</v>
      </c>
      <c r="M618">
        <v>50</v>
      </c>
      <c r="N618">
        <v>49.952110290999997</v>
      </c>
    </row>
    <row r="619" spans="1:14" x14ac:dyDescent="0.25">
      <c r="A619">
        <v>365.00036399999999</v>
      </c>
      <c r="B619" s="1">
        <f>DATE(2011,5,1) + TIME(0,0,31)</f>
        <v>40664.000358796293</v>
      </c>
      <c r="C619">
        <v>2400</v>
      </c>
      <c r="D619">
        <v>0</v>
      </c>
      <c r="E619">
        <v>0</v>
      </c>
      <c r="F619">
        <v>2400</v>
      </c>
      <c r="G619">
        <v>1343.3352050999999</v>
      </c>
      <c r="H619">
        <v>1320.9416504000001</v>
      </c>
      <c r="I619">
        <v>1336.4720459</v>
      </c>
      <c r="J619">
        <v>1317.9587402</v>
      </c>
      <c r="K619">
        <v>80</v>
      </c>
      <c r="L619">
        <v>45.561653137</v>
      </c>
      <c r="M619">
        <v>50</v>
      </c>
      <c r="N619">
        <v>49.950675963999998</v>
      </c>
    </row>
    <row r="620" spans="1:14" x14ac:dyDescent="0.25">
      <c r="A620">
        <v>365.00109300000003</v>
      </c>
      <c r="B620" s="1">
        <f>DATE(2011,5,1) + TIME(0,1,34)</f>
        <v>40664.001087962963</v>
      </c>
      <c r="C620">
        <v>2400</v>
      </c>
      <c r="D620">
        <v>0</v>
      </c>
      <c r="E620">
        <v>0</v>
      </c>
      <c r="F620">
        <v>2400</v>
      </c>
      <c r="G620">
        <v>1356.7155762</v>
      </c>
      <c r="H620">
        <v>1334.2786865</v>
      </c>
      <c r="I620">
        <v>1325.4405518000001</v>
      </c>
      <c r="J620">
        <v>1306.9499512</v>
      </c>
      <c r="K620">
        <v>80</v>
      </c>
      <c r="L620">
        <v>45.595802307</v>
      </c>
      <c r="M620">
        <v>50</v>
      </c>
      <c r="N620">
        <v>49.949142455999997</v>
      </c>
    </row>
    <row r="621" spans="1:14" x14ac:dyDescent="0.25">
      <c r="A621">
        <v>365.00328000000002</v>
      </c>
      <c r="B621" s="1">
        <f>DATE(2011,5,1) + TIME(0,4,43)</f>
        <v>40664.003275462965</v>
      </c>
      <c r="C621">
        <v>2400</v>
      </c>
      <c r="D621">
        <v>0</v>
      </c>
      <c r="E621">
        <v>0</v>
      </c>
      <c r="F621">
        <v>2400</v>
      </c>
      <c r="G621">
        <v>1371.0109863</v>
      </c>
      <c r="H621">
        <v>1348.5985106999999</v>
      </c>
      <c r="I621">
        <v>1314.0767822</v>
      </c>
      <c r="J621">
        <v>1295.5946045000001</v>
      </c>
      <c r="K621">
        <v>80</v>
      </c>
      <c r="L621">
        <v>45.694862366000002</v>
      </c>
      <c r="M621">
        <v>50</v>
      </c>
      <c r="N621">
        <v>49.947273254000002</v>
      </c>
    </row>
    <row r="622" spans="1:14" x14ac:dyDescent="0.25">
      <c r="A622">
        <v>365.00984099999999</v>
      </c>
      <c r="B622" s="1">
        <f>DATE(2011,5,1) + TIME(0,14,10)</f>
        <v>40664.009837962964</v>
      </c>
      <c r="C622">
        <v>2400</v>
      </c>
      <c r="D622">
        <v>0</v>
      </c>
      <c r="E622">
        <v>0</v>
      </c>
      <c r="F622">
        <v>2400</v>
      </c>
      <c r="G622">
        <v>1385.6131591999999</v>
      </c>
      <c r="H622">
        <v>1363.3814697</v>
      </c>
      <c r="I622">
        <v>1302.2897949000001</v>
      </c>
      <c r="J622">
        <v>1283.7600098</v>
      </c>
      <c r="K622">
        <v>80</v>
      </c>
      <c r="L622">
        <v>45.985240935999997</v>
      </c>
      <c r="M622">
        <v>50</v>
      </c>
      <c r="N622">
        <v>49.944473266999999</v>
      </c>
    </row>
    <row r="623" spans="1:14" x14ac:dyDescent="0.25">
      <c r="A623">
        <v>365.02952399999998</v>
      </c>
      <c r="B623" s="1">
        <f>DATE(2011,5,1) + TIME(0,42,30)</f>
        <v>40664.029513888891</v>
      </c>
      <c r="C623">
        <v>2400</v>
      </c>
      <c r="D623">
        <v>0</v>
      </c>
      <c r="E623">
        <v>0</v>
      </c>
      <c r="F623">
        <v>2400</v>
      </c>
      <c r="G623">
        <v>1397.3344727000001</v>
      </c>
      <c r="H623">
        <v>1375.5733643000001</v>
      </c>
      <c r="I623">
        <v>1292.3828125</v>
      </c>
      <c r="J623">
        <v>1273.7287598</v>
      </c>
      <c r="K623">
        <v>80</v>
      </c>
      <c r="L623">
        <v>46.825443268000001</v>
      </c>
      <c r="M623">
        <v>50</v>
      </c>
      <c r="N623">
        <v>49.939323424999998</v>
      </c>
    </row>
    <row r="624" spans="1:14" x14ac:dyDescent="0.25">
      <c r="A624">
        <v>365.05149399999999</v>
      </c>
      <c r="B624" s="1">
        <f>DATE(2011,5,1) + TIME(1,14,9)</f>
        <v>40664.051493055558</v>
      </c>
      <c r="C624">
        <v>2400</v>
      </c>
      <c r="D624">
        <v>0</v>
      </c>
      <c r="E624">
        <v>0</v>
      </c>
      <c r="F624">
        <v>2400</v>
      </c>
      <c r="G624">
        <v>1401.6599120999999</v>
      </c>
      <c r="H624">
        <v>1380.3049315999999</v>
      </c>
      <c r="I624">
        <v>1288.7296143000001</v>
      </c>
      <c r="J624">
        <v>1269.9916992000001</v>
      </c>
      <c r="K624">
        <v>80</v>
      </c>
      <c r="L624">
        <v>47.734088898000003</v>
      </c>
      <c r="M624">
        <v>50</v>
      </c>
      <c r="N624">
        <v>49.934509276999997</v>
      </c>
    </row>
    <row r="625" spans="1:14" x14ac:dyDescent="0.25">
      <c r="A625">
        <v>365.07376499999998</v>
      </c>
      <c r="B625" s="1">
        <f>DATE(2011,5,1) + TIME(1,46,13)</f>
        <v>40664.073761574073</v>
      </c>
      <c r="C625">
        <v>2400</v>
      </c>
      <c r="D625">
        <v>0</v>
      </c>
      <c r="E625">
        <v>0</v>
      </c>
      <c r="F625">
        <v>2400</v>
      </c>
      <c r="G625">
        <v>1403.2359618999999</v>
      </c>
      <c r="H625">
        <v>1382.2255858999999</v>
      </c>
      <c r="I625">
        <v>1287.4312743999999</v>
      </c>
      <c r="J625">
        <v>1268.6447754000001</v>
      </c>
      <c r="K625">
        <v>80</v>
      </c>
      <c r="L625">
        <v>48.628925322999997</v>
      </c>
      <c r="M625">
        <v>50</v>
      </c>
      <c r="N625">
        <v>49.929954529</v>
      </c>
    </row>
    <row r="626" spans="1:14" x14ac:dyDescent="0.25">
      <c r="A626">
        <v>365.09640200000001</v>
      </c>
      <c r="B626" s="1">
        <f>DATE(2011,5,1) + TIME(2,18,49)</f>
        <v>40664.096400462964</v>
      </c>
      <c r="C626">
        <v>2400</v>
      </c>
      <c r="D626">
        <v>0</v>
      </c>
      <c r="E626">
        <v>0</v>
      </c>
      <c r="F626">
        <v>2400</v>
      </c>
      <c r="G626">
        <v>1403.7471923999999</v>
      </c>
      <c r="H626">
        <v>1383.0457764</v>
      </c>
      <c r="I626">
        <v>1286.9899902</v>
      </c>
      <c r="J626">
        <v>1268.1760254000001</v>
      </c>
      <c r="K626">
        <v>80</v>
      </c>
      <c r="L626">
        <v>49.513252258000001</v>
      </c>
      <c r="M626">
        <v>50</v>
      </c>
      <c r="N626">
        <v>49.92546463</v>
      </c>
    </row>
    <row r="627" spans="1:14" x14ac:dyDescent="0.25">
      <c r="A627">
        <v>365.11945400000002</v>
      </c>
      <c r="B627" s="1">
        <f>DATE(2011,5,1) + TIME(2,52,0)</f>
        <v>40664.119444444441</v>
      </c>
      <c r="C627">
        <v>2400</v>
      </c>
      <c r="D627">
        <v>0</v>
      </c>
      <c r="E627">
        <v>0</v>
      </c>
      <c r="F627">
        <v>2400</v>
      </c>
      <c r="G627">
        <v>1403.8018798999999</v>
      </c>
      <c r="H627">
        <v>1383.3861084</v>
      </c>
      <c r="I627">
        <v>1286.8664550999999</v>
      </c>
      <c r="J627">
        <v>1268.0371094</v>
      </c>
      <c r="K627">
        <v>80</v>
      </c>
      <c r="L627">
        <v>50.388736725000001</v>
      </c>
      <c r="M627">
        <v>50</v>
      </c>
      <c r="N627">
        <v>49.920967101999999</v>
      </c>
    </row>
    <row r="628" spans="1:14" x14ac:dyDescent="0.25">
      <c r="A628">
        <v>365.14295700000002</v>
      </c>
      <c r="B628" s="1">
        <f>DATE(2011,5,1) + TIME(3,25,51)</f>
        <v>40664.142951388887</v>
      </c>
      <c r="C628">
        <v>2400</v>
      </c>
      <c r="D628">
        <v>0</v>
      </c>
      <c r="E628">
        <v>0</v>
      </c>
      <c r="F628">
        <v>2400</v>
      </c>
      <c r="G628">
        <v>1403.6501464999999</v>
      </c>
      <c r="H628">
        <v>1383.5039062000001</v>
      </c>
      <c r="I628">
        <v>1286.8542480000001</v>
      </c>
      <c r="J628">
        <v>1268.0159911999999</v>
      </c>
      <c r="K628">
        <v>80</v>
      </c>
      <c r="L628">
        <v>51.256313323999997</v>
      </c>
      <c r="M628">
        <v>50</v>
      </c>
      <c r="N628">
        <v>49.916427612</v>
      </c>
    </row>
    <row r="629" spans="1:14" x14ac:dyDescent="0.25">
      <c r="A629">
        <v>365.166945</v>
      </c>
      <c r="B629" s="1">
        <f>DATE(2011,5,1) + TIME(4,0,24)</f>
        <v>40664.166944444441</v>
      </c>
      <c r="C629">
        <v>2400</v>
      </c>
      <c r="D629">
        <v>0</v>
      </c>
      <c r="E629">
        <v>0</v>
      </c>
      <c r="F629">
        <v>2400</v>
      </c>
      <c r="G629">
        <v>1403.4035644999999</v>
      </c>
      <c r="H629">
        <v>1383.5144043</v>
      </c>
      <c r="I629">
        <v>1286.8745117000001</v>
      </c>
      <c r="J629">
        <v>1268.0308838000001</v>
      </c>
      <c r="K629">
        <v>80</v>
      </c>
      <c r="L629">
        <v>52.116710662999999</v>
      </c>
      <c r="M629">
        <v>50</v>
      </c>
      <c r="N629">
        <v>49.911838531000001</v>
      </c>
    </row>
    <row r="630" spans="1:14" x14ac:dyDescent="0.25">
      <c r="A630">
        <v>365.19144799999998</v>
      </c>
      <c r="B630" s="1">
        <f>DATE(2011,5,1) + TIME(4,35,41)</f>
        <v>40664.191446759258</v>
      </c>
      <c r="C630">
        <v>2400</v>
      </c>
      <c r="D630">
        <v>0</v>
      </c>
      <c r="E630">
        <v>0</v>
      </c>
      <c r="F630">
        <v>2400</v>
      </c>
      <c r="G630">
        <v>1403.1145019999999</v>
      </c>
      <c r="H630">
        <v>1383.4720459</v>
      </c>
      <c r="I630">
        <v>1286.8991699000001</v>
      </c>
      <c r="J630">
        <v>1268.0520019999999</v>
      </c>
      <c r="K630">
        <v>80</v>
      </c>
      <c r="L630">
        <v>52.970161437999998</v>
      </c>
      <c r="M630">
        <v>50</v>
      </c>
      <c r="N630">
        <v>49.90719223</v>
      </c>
    </row>
    <row r="631" spans="1:14" x14ac:dyDescent="0.25">
      <c r="A631">
        <v>365.21649500000001</v>
      </c>
      <c r="B631" s="1">
        <f>DATE(2011,5,1) + TIME(5,11,45)</f>
        <v>40664.216493055559</v>
      </c>
      <c r="C631">
        <v>2400</v>
      </c>
      <c r="D631">
        <v>0</v>
      </c>
      <c r="E631">
        <v>0</v>
      </c>
      <c r="F631">
        <v>2400</v>
      </c>
      <c r="G631">
        <v>1402.8082274999999</v>
      </c>
      <c r="H631">
        <v>1383.4035644999999</v>
      </c>
      <c r="I631">
        <v>1286.9199219</v>
      </c>
      <c r="J631">
        <v>1268.0699463000001</v>
      </c>
      <c r="K631">
        <v>80</v>
      </c>
      <c r="L631">
        <v>53.816772460999999</v>
      </c>
      <c r="M631">
        <v>50</v>
      </c>
      <c r="N631">
        <v>49.902477263999998</v>
      </c>
    </row>
    <row r="632" spans="1:14" x14ac:dyDescent="0.25">
      <c r="A632">
        <v>365.24211200000002</v>
      </c>
      <c r="B632" s="1">
        <f>DATE(2011,5,1) + TIME(5,48,38)</f>
        <v>40664.242106481484</v>
      </c>
      <c r="C632">
        <v>2400</v>
      </c>
      <c r="D632">
        <v>0</v>
      </c>
      <c r="E632">
        <v>0</v>
      </c>
      <c r="F632">
        <v>2400</v>
      </c>
      <c r="G632">
        <v>1402.4978027</v>
      </c>
      <c r="H632">
        <v>1383.3225098</v>
      </c>
      <c r="I632">
        <v>1286.9351807</v>
      </c>
      <c r="J632">
        <v>1268.0828856999999</v>
      </c>
      <c r="K632">
        <v>80</v>
      </c>
      <c r="L632">
        <v>54.656463623</v>
      </c>
      <c r="M632">
        <v>50</v>
      </c>
      <c r="N632">
        <v>49.897697448999999</v>
      </c>
    </row>
    <row r="633" spans="1:14" x14ac:dyDescent="0.25">
      <c r="A633">
        <v>365.26833199999999</v>
      </c>
      <c r="B633" s="1">
        <f>DATE(2011,5,1) + TIME(6,26,23)</f>
        <v>40664.268321759257</v>
      </c>
      <c r="C633">
        <v>2400</v>
      </c>
      <c r="D633">
        <v>0</v>
      </c>
      <c r="E633">
        <v>0</v>
      </c>
      <c r="F633">
        <v>2400</v>
      </c>
      <c r="G633">
        <v>1402.1895752</v>
      </c>
      <c r="H633">
        <v>1383.2359618999999</v>
      </c>
      <c r="I633">
        <v>1286.9459228999999</v>
      </c>
      <c r="J633">
        <v>1268.0914307</v>
      </c>
      <c r="K633">
        <v>80</v>
      </c>
      <c r="L633">
        <v>55.489189148000001</v>
      </c>
      <c r="M633">
        <v>50</v>
      </c>
      <c r="N633">
        <v>49.892841339</v>
      </c>
    </row>
    <row r="634" spans="1:14" x14ac:dyDescent="0.25">
      <c r="A634">
        <v>365.29518999999999</v>
      </c>
      <c r="B634" s="1">
        <f>DATE(2011,5,1) + TIME(7,5,4)</f>
        <v>40664.295185185183</v>
      </c>
      <c r="C634">
        <v>2400</v>
      </c>
      <c r="D634">
        <v>0</v>
      </c>
      <c r="E634">
        <v>0</v>
      </c>
      <c r="F634">
        <v>2400</v>
      </c>
      <c r="G634">
        <v>1401.8868408000001</v>
      </c>
      <c r="H634">
        <v>1383.1477050999999</v>
      </c>
      <c r="I634">
        <v>1286.9533690999999</v>
      </c>
      <c r="J634">
        <v>1268.0966797000001</v>
      </c>
      <c r="K634">
        <v>80</v>
      </c>
      <c r="L634">
        <v>56.314979553000001</v>
      </c>
      <c r="M634">
        <v>50</v>
      </c>
      <c r="N634">
        <v>49.887912749999998</v>
      </c>
    </row>
    <row r="635" spans="1:14" x14ac:dyDescent="0.25">
      <c r="A635">
        <v>365.322722</v>
      </c>
      <c r="B635" s="1">
        <f>DATE(2011,5,1) + TIME(7,44,43)</f>
        <v>40664.32271990741</v>
      </c>
      <c r="C635">
        <v>2400</v>
      </c>
      <c r="D635">
        <v>0</v>
      </c>
      <c r="E635">
        <v>0</v>
      </c>
      <c r="F635">
        <v>2400</v>
      </c>
      <c r="G635">
        <v>1401.5915527</v>
      </c>
      <c r="H635">
        <v>1383.0598144999999</v>
      </c>
      <c r="I635">
        <v>1286.9586182</v>
      </c>
      <c r="J635">
        <v>1268.0998535000001</v>
      </c>
      <c r="K635">
        <v>80</v>
      </c>
      <c r="L635">
        <v>57.133758544999999</v>
      </c>
      <c r="M635">
        <v>50</v>
      </c>
      <c r="N635">
        <v>49.882900237999998</v>
      </c>
    </row>
    <row r="636" spans="1:14" x14ac:dyDescent="0.25">
      <c r="A636">
        <v>365.35096600000003</v>
      </c>
      <c r="B636" s="1">
        <f>DATE(2011,5,1) + TIME(8,25,23)</f>
        <v>40664.350960648146</v>
      </c>
      <c r="C636">
        <v>2400</v>
      </c>
      <c r="D636">
        <v>0</v>
      </c>
      <c r="E636">
        <v>0</v>
      </c>
      <c r="F636">
        <v>2400</v>
      </c>
      <c r="G636">
        <v>1401.3043213000001</v>
      </c>
      <c r="H636">
        <v>1382.9732666</v>
      </c>
      <c r="I636">
        <v>1286.9624022999999</v>
      </c>
      <c r="J636">
        <v>1268.1014404</v>
      </c>
      <c r="K636">
        <v>80</v>
      </c>
      <c r="L636">
        <v>57.945419311999999</v>
      </c>
      <c r="M636">
        <v>50</v>
      </c>
      <c r="N636">
        <v>49.877803802000003</v>
      </c>
    </row>
    <row r="637" spans="1:14" x14ac:dyDescent="0.25">
      <c r="A637">
        <v>365.37996500000003</v>
      </c>
      <c r="B637" s="1">
        <f>DATE(2011,5,1) + TIME(9,7,8)</f>
        <v>40664.379953703705</v>
      </c>
      <c r="C637">
        <v>2400</v>
      </c>
      <c r="D637">
        <v>0</v>
      </c>
      <c r="E637">
        <v>0</v>
      </c>
      <c r="F637">
        <v>2400</v>
      </c>
      <c r="G637">
        <v>1401.0255127</v>
      </c>
      <c r="H637">
        <v>1382.8886719</v>
      </c>
      <c r="I637">
        <v>1286.9652100000001</v>
      </c>
      <c r="J637">
        <v>1268.1020507999999</v>
      </c>
      <c r="K637">
        <v>80</v>
      </c>
      <c r="L637">
        <v>58.749847412000001</v>
      </c>
      <c r="M637">
        <v>50</v>
      </c>
      <c r="N637">
        <v>49.872615814</v>
      </c>
    </row>
    <row r="638" spans="1:14" x14ac:dyDescent="0.25">
      <c r="A638">
        <v>365.409763</v>
      </c>
      <c r="B638" s="1">
        <f>DATE(2011,5,1) + TIME(9,50,3)</f>
        <v>40664.409756944442</v>
      </c>
      <c r="C638">
        <v>2400</v>
      </c>
      <c r="D638">
        <v>0</v>
      </c>
      <c r="E638">
        <v>0</v>
      </c>
      <c r="F638">
        <v>2400</v>
      </c>
      <c r="G638">
        <v>1400.7551269999999</v>
      </c>
      <c r="H638">
        <v>1382.8063964999999</v>
      </c>
      <c r="I638">
        <v>1286.9675293</v>
      </c>
      <c r="J638">
        <v>1268.1020507999999</v>
      </c>
      <c r="K638">
        <v>80</v>
      </c>
      <c r="L638">
        <v>59.546909331999998</v>
      </c>
      <c r="M638">
        <v>50</v>
      </c>
      <c r="N638">
        <v>49.867328643999997</v>
      </c>
    </row>
    <row r="639" spans="1:14" x14ac:dyDescent="0.25">
      <c r="A639">
        <v>365.44040799999999</v>
      </c>
      <c r="B639" s="1">
        <f>DATE(2011,5,1) + TIME(10,34,11)</f>
        <v>40664.440405092595</v>
      </c>
      <c r="C639">
        <v>2400</v>
      </c>
      <c r="D639">
        <v>0</v>
      </c>
      <c r="E639">
        <v>0</v>
      </c>
      <c r="F639">
        <v>2400</v>
      </c>
      <c r="G639">
        <v>1400.4929199000001</v>
      </c>
      <c r="H639">
        <v>1382.7261963000001</v>
      </c>
      <c r="I639">
        <v>1286.9696045000001</v>
      </c>
      <c r="J639">
        <v>1268.1016846</v>
      </c>
      <c r="K639">
        <v>80</v>
      </c>
      <c r="L639">
        <v>60.336215973000002</v>
      </c>
      <c r="M639">
        <v>50</v>
      </c>
      <c r="N639">
        <v>49.861942290999998</v>
      </c>
    </row>
    <row r="640" spans="1:14" x14ac:dyDescent="0.25">
      <c r="A640">
        <v>365.47195499999998</v>
      </c>
      <c r="B640" s="1">
        <f>DATE(2011,5,1) + TIME(11,19,36)</f>
        <v>40664.471944444442</v>
      </c>
      <c r="C640">
        <v>2400</v>
      </c>
      <c r="D640">
        <v>0</v>
      </c>
      <c r="E640">
        <v>0</v>
      </c>
      <c r="F640">
        <v>2400</v>
      </c>
      <c r="G640">
        <v>1400.2386475000001</v>
      </c>
      <c r="H640">
        <v>1382.6481934000001</v>
      </c>
      <c r="I640">
        <v>1286.9713135</v>
      </c>
      <c r="J640">
        <v>1268.1010742000001</v>
      </c>
      <c r="K640">
        <v>80</v>
      </c>
      <c r="L640">
        <v>61.117507934999999</v>
      </c>
      <c r="M640">
        <v>50</v>
      </c>
      <c r="N640">
        <v>49.856445311999998</v>
      </c>
    </row>
    <row r="641" spans="1:14" x14ac:dyDescent="0.25">
      <c r="A641">
        <v>365.50445999999999</v>
      </c>
      <c r="B641" s="1">
        <f>DATE(2011,5,1) + TIME(12,6,25)</f>
        <v>40664.50445601852</v>
      </c>
      <c r="C641">
        <v>2400</v>
      </c>
      <c r="D641">
        <v>0</v>
      </c>
      <c r="E641">
        <v>0</v>
      </c>
      <c r="F641">
        <v>2400</v>
      </c>
      <c r="G641">
        <v>1399.9920654</v>
      </c>
      <c r="H641">
        <v>1382.5722656</v>
      </c>
      <c r="I641">
        <v>1286.9729004000001</v>
      </c>
      <c r="J641">
        <v>1268.1002197</v>
      </c>
      <c r="K641">
        <v>80</v>
      </c>
      <c r="L641">
        <v>61.890922545999999</v>
      </c>
      <c r="M641">
        <v>50</v>
      </c>
      <c r="N641">
        <v>49.850830078000001</v>
      </c>
    </row>
    <row r="642" spans="1:14" x14ac:dyDescent="0.25">
      <c r="A642">
        <v>365.53799099999998</v>
      </c>
      <c r="B642" s="1">
        <f>DATE(2011,5,1) + TIME(12,54,42)</f>
        <v>40664.537986111114</v>
      </c>
      <c r="C642">
        <v>2400</v>
      </c>
      <c r="D642">
        <v>0</v>
      </c>
      <c r="E642">
        <v>0</v>
      </c>
      <c r="F642">
        <v>2400</v>
      </c>
      <c r="G642">
        <v>1399.7528076000001</v>
      </c>
      <c r="H642">
        <v>1382.4982910000001</v>
      </c>
      <c r="I642">
        <v>1286.9744873</v>
      </c>
      <c r="J642">
        <v>1268.0992432</v>
      </c>
      <c r="K642">
        <v>80</v>
      </c>
      <c r="L642">
        <v>62.656322479000004</v>
      </c>
      <c r="M642">
        <v>50</v>
      </c>
      <c r="N642">
        <v>49.845088959000002</v>
      </c>
    </row>
    <row r="643" spans="1:14" x14ac:dyDescent="0.25">
      <c r="A643">
        <v>365.57262700000001</v>
      </c>
      <c r="B643" s="1">
        <f>DATE(2011,5,1) + TIME(13,44,34)</f>
        <v>40664.572615740741</v>
      </c>
      <c r="C643">
        <v>2400</v>
      </c>
      <c r="D643">
        <v>0</v>
      </c>
      <c r="E643">
        <v>0</v>
      </c>
      <c r="F643">
        <v>2400</v>
      </c>
      <c r="G643">
        <v>1399.5203856999999</v>
      </c>
      <c r="H643">
        <v>1382.4261475000001</v>
      </c>
      <c r="I643">
        <v>1286.9759521000001</v>
      </c>
      <c r="J643">
        <v>1268.0981445</v>
      </c>
      <c r="K643">
        <v>80</v>
      </c>
      <c r="L643">
        <v>63.413722991999997</v>
      </c>
      <c r="M643">
        <v>50</v>
      </c>
      <c r="N643">
        <v>49.839210510000001</v>
      </c>
    </row>
    <row r="644" spans="1:14" x14ac:dyDescent="0.25">
      <c r="A644">
        <v>365.60843299999999</v>
      </c>
      <c r="B644" s="1">
        <f>DATE(2011,5,1) + TIME(14,36,8)</f>
        <v>40664.608425925922</v>
      </c>
      <c r="C644">
        <v>2400</v>
      </c>
      <c r="D644">
        <v>0</v>
      </c>
      <c r="E644">
        <v>0</v>
      </c>
      <c r="F644">
        <v>2400</v>
      </c>
      <c r="G644">
        <v>1399.2946777</v>
      </c>
      <c r="H644">
        <v>1382.3554687999999</v>
      </c>
      <c r="I644">
        <v>1286.9774170000001</v>
      </c>
      <c r="J644">
        <v>1268.0969238</v>
      </c>
      <c r="K644">
        <v>80</v>
      </c>
      <c r="L644">
        <v>64.162605286000002</v>
      </c>
      <c r="M644">
        <v>50</v>
      </c>
      <c r="N644">
        <v>49.833194732999999</v>
      </c>
    </row>
    <row r="645" spans="1:14" x14ac:dyDescent="0.25">
      <c r="A645">
        <v>365.64549399999999</v>
      </c>
      <c r="B645" s="1">
        <f>DATE(2011,5,1) + TIME(15,29,30)</f>
        <v>40664.645486111112</v>
      </c>
      <c r="C645">
        <v>2400</v>
      </c>
      <c r="D645">
        <v>0</v>
      </c>
      <c r="E645">
        <v>0</v>
      </c>
      <c r="F645">
        <v>2400</v>
      </c>
      <c r="G645">
        <v>1399.0753173999999</v>
      </c>
      <c r="H645">
        <v>1382.2862548999999</v>
      </c>
      <c r="I645">
        <v>1286.9787598</v>
      </c>
      <c r="J645">
        <v>1268.0955810999999</v>
      </c>
      <c r="K645">
        <v>80</v>
      </c>
      <c r="L645">
        <v>64.902725219999994</v>
      </c>
      <c r="M645">
        <v>50</v>
      </c>
      <c r="N645">
        <v>49.827018738</v>
      </c>
    </row>
    <row r="646" spans="1:14" x14ac:dyDescent="0.25">
      <c r="A646">
        <v>365.68390299999999</v>
      </c>
      <c r="B646" s="1">
        <f>DATE(2011,5,1) + TIME(16,24,49)</f>
        <v>40664.683900462966</v>
      </c>
      <c r="C646">
        <v>2400</v>
      </c>
      <c r="D646">
        <v>0</v>
      </c>
      <c r="E646">
        <v>0</v>
      </c>
      <c r="F646">
        <v>2400</v>
      </c>
      <c r="G646">
        <v>1398.8619385</v>
      </c>
      <c r="H646">
        <v>1382.2182617000001</v>
      </c>
      <c r="I646">
        <v>1286.9801024999999</v>
      </c>
      <c r="J646">
        <v>1268.0942382999999</v>
      </c>
      <c r="K646">
        <v>80</v>
      </c>
      <c r="L646">
        <v>65.633956909000005</v>
      </c>
      <c r="M646">
        <v>50</v>
      </c>
      <c r="N646">
        <v>49.820682525999999</v>
      </c>
    </row>
    <row r="647" spans="1:14" x14ac:dyDescent="0.25">
      <c r="A647">
        <v>365.72376500000001</v>
      </c>
      <c r="B647" s="1">
        <f>DATE(2011,5,1) + TIME(17,22,13)</f>
        <v>40664.723761574074</v>
      </c>
      <c r="C647">
        <v>2400</v>
      </c>
      <c r="D647">
        <v>0</v>
      </c>
      <c r="E647">
        <v>0</v>
      </c>
      <c r="F647">
        <v>2400</v>
      </c>
      <c r="G647">
        <v>1398.6540527</v>
      </c>
      <c r="H647">
        <v>1382.1512451000001</v>
      </c>
      <c r="I647">
        <v>1286.9814452999999</v>
      </c>
      <c r="J647">
        <v>1268.0927733999999</v>
      </c>
      <c r="K647">
        <v>80</v>
      </c>
      <c r="L647">
        <v>66.355880737000007</v>
      </c>
      <c r="M647">
        <v>50</v>
      </c>
      <c r="N647">
        <v>49.814167023000003</v>
      </c>
    </row>
    <row r="648" spans="1:14" x14ac:dyDescent="0.25">
      <c r="A648">
        <v>365.765196</v>
      </c>
      <c r="B648" s="1">
        <f>DATE(2011,5,1) + TIME(18,21,52)</f>
        <v>40664.765185185184</v>
      </c>
      <c r="C648">
        <v>2400</v>
      </c>
      <c r="D648">
        <v>0</v>
      </c>
      <c r="E648">
        <v>0</v>
      </c>
      <c r="F648">
        <v>2400</v>
      </c>
      <c r="G648">
        <v>1398.4516602000001</v>
      </c>
      <c r="H648">
        <v>1382.0850829999999</v>
      </c>
      <c r="I648">
        <v>1286.9826660000001</v>
      </c>
      <c r="J648">
        <v>1268.0911865</v>
      </c>
      <c r="K648">
        <v>80</v>
      </c>
      <c r="L648">
        <v>67.068145752000007</v>
      </c>
      <c r="M648">
        <v>50</v>
      </c>
      <c r="N648">
        <v>49.807460785000004</v>
      </c>
    </row>
    <row r="649" spans="1:14" x14ac:dyDescent="0.25">
      <c r="A649">
        <v>365.80832600000002</v>
      </c>
      <c r="B649" s="1">
        <f>DATE(2011,5,1) + TIME(19,23,59)</f>
        <v>40664.808321759258</v>
      </c>
      <c r="C649">
        <v>2400</v>
      </c>
      <c r="D649">
        <v>0</v>
      </c>
      <c r="E649">
        <v>0</v>
      </c>
      <c r="F649">
        <v>2400</v>
      </c>
      <c r="G649">
        <v>1398.2541504000001</v>
      </c>
      <c r="H649">
        <v>1382.0195312000001</v>
      </c>
      <c r="I649">
        <v>1286.9838867000001</v>
      </c>
      <c r="J649">
        <v>1268.0895995999999</v>
      </c>
      <c r="K649">
        <v>80</v>
      </c>
      <c r="L649">
        <v>67.770408630000006</v>
      </c>
      <c r="M649">
        <v>50</v>
      </c>
      <c r="N649">
        <v>49.800544739000003</v>
      </c>
    </row>
    <row r="650" spans="1:14" x14ac:dyDescent="0.25">
      <c r="A650">
        <v>365.85330199999999</v>
      </c>
      <c r="B650" s="1">
        <f>DATE(2011,5,1) + TIME(20,28,45)</f>
        <v>40664.853298611109</v>
      </c>
      <c r="C650">
        <v>2400</v>
      </c>
      <c r="D650">
        <v>0</v>
      </c>
      <c r="E650">
        <v>0</v>
      </c>
      <c r="F650">
        <v>2400</v>
      </c>
      <c r="G650">
        <v>1398.0612793</v>
      </c>
      <c r="H650">
        <v>1381.9542236</v>
      </c>
      <c r="I650">
        <v>1286.9849853999999</v>
      </c>
      <c r="J650">
        <v>1268.0878906</v>
      </c>
      <c r="K650">
        <v>80</v>
      </c>
      <c r="L650">
        <v>68.462287903000004</v>
      </c>
      <c r="M650">
        <v>50</v>
      </c>
      <c r="N650">
        <v>49.793407440000003</v>
      </c>
    </row>
    <row r="651" spans="1:14" x14ac:dyDescent="0.25">
      <c r="A651">
        <v>365.90028899999999</v>
      </c>
      <c r="B651" s="1">
        <f>DATE(2011,5,1) + TIME(21,36,24)</f>
        <v>40664.900277777779</v>
      </c>
      <c r="C651">
        <v>2400</v>
      </c>
      <c r="D651">
        <v>0</v>
      </c>
      <c r="E651">
        <v>0</v>
      </c>
      <c r="F651">
        <v>2400</v>
      </c>
      <c r="G651">
        <v>1397.8728027</v>
      </c>
      <c r="H651">
        <v>1381.8891602000001</v>
      </c>
      <c r="I651">
        <v>1286.9860839999999</v>
      </c>
      <c r="J651">
        <v>1268.0860596</v>
      </c>
      <c r="K651">
        <v>80</v>
      </c>
      <c r="L651">
        <v>69.143379210999996</v>
      </c>
      <c r="M651">
        <v>50</v>
      </c>
      <c r="N651">
        <v>49.786022185999997</v>
      </c>
    </row>
    <row r="652" spans="1:14" x14ac:dyDescent="0.25">
      <c r="A652">
        <v>365.949476</v>
      </c>
      <c r="B652" s="1">
        <f>DATE(2011,5,1) + TIME(22,47,14)</f>
        <v>40664.949467592596</v>
      </c>
      <c r="C652">
        <v>2400</v>
      </c>
      <c r="D652">
        <v>0</v>
      </c>
      <c r="E652">
        <v>0</v>
      </c>
      <c r="F652">
        <v>2400</v>
      </c>
      <c r="G652">
        <v>1397.6883545000001</v>
      </c>
      <c r="H652">
        <v>1381.8238524999999</v>
      </c>
      <c r="I652">
        <v>1286.9871826000001</v>
      </c>
      <c r="J652">
        <v>1268.0841064000001</v>
      </c>
      <c r="K652">
        <v>80</v>
      </c>
      <c r="L652">
        <v>69.813232421999999</v>
      </c>
      <c r="M652">
        <v>50</v>
      </c>
      <c r="N652">
        <v>49.778369904000002</v>
      </c>
    </row>
    <row r="653" spans="1:14" x14ac:dyDescent="0.25">
      <c r="A653">
        <v>366.00110799999999</v>
      </c>
      <c r="B653" s="1">
        <f>DATE(2011,5,2) + TIME(0,1,35)</f>
        <v>40665.001099537039</v>
      </c>
      <c r="C653">
        <v>2400</v>
      </c>
      <c r="D653">
        <v>0</v>
      </c>
      <c r="E653">
        <v>0</v>
      </c>
      <c r="F653">
        <v>2400</v>
      </c>
      <c r="G653">
        <v>1397.5075684000001</v>
      </c>
      <c r="H653">
        <v>1381.7583007999999</v>
      </c>
      <c r="I653">
        <v>1286.9880370999999</v>
      </c>
      <c r="J653">
        <v>1268.0821533000001</v>
      </c>
      <c r="K653">
        <v>80</v>
      </c>
      <c r="L653">
        <v>70.471382141000007</v>
      </c>
      <c r="M653">
        <v>50</v>
      </c>
      <c r="N653">
        <v>49.770420074</v>
      </c>
    </row>
    <row r="654" spans="1:14" x14ac:dyDescent="0.25">
      <c r="A654">
        <v>366.05541699999998</v>
      </c>
      <c r="B654" s="1">
        <f>DATE(2011,5,2) + TIME(1,19,47)</f>
        <v>40665.055405092593</v>
      </c>
      <c r="C654">
        <v>2400</v>
      </c>
      <c r="D654">
        <v>0</v>
      </c>
      <c r="E654">
        <v>0</v>
      </c>
      <c r="F654">
        <v>2400</v>
      </c>
      <c r="G654">
        <v>1397.3299560999999</v>
      </c>
      <c r="H654">
        <v>1381.6920166</v>
      </c>
      <c r="I654">
        <v>1286.9888916</v>
      </c>
      <c r="J654">
        <v>1268.0799560999999</v>
      </c>
      <c r="K654">
        <v>80</v>
      </c>
      <c r="L654">
        <v>71.117248535000002</v>
      </c>
      <c r="M654">
        <v>50</v>
      </c>
      <c r="N654">
        <v>49.762145996000001</v>
      </c>
    </row>
    <row r="655" spans="1:14" x14ac:dyDescent="0.25">
      <c r="A655">
        <v>366.11268100000001</v>
      </c>
      <c r="B655" s="1">
        <f>DATE(2011,5,2) + TIME(2,42,15)</f>
        <v>40665.112673611111</v>
      </c>
      <c r="C655">
        <v>2400</v>
      </c>
      <c r="D655">
        <v>0</v>
      </c>
      <c r="E655">
        <v>0</v>
      </c>
      <c r="F655">
        <v>2400</v>
      </c>
      <c r="G655">
        <v>1397.1555175999999</v>
      </c>
      <c r="H655">
        <v>1381.6248779</v>
      </c>
      <c r="I655">
        <v>1286.9897461</v>
      </c>
      <c r="J655">
        <v>1268.0777588000001</v>
      </c>
      <c r="K655">
        <v>80</v>
      </c>
      <c r="L655">
        <v>71.750297545999999</v>
      </c>
      <c r="M655">
        <v>50</v>
      </c>
      <c r="N655">
        <v>49.753517150999997</v>
      </c>
    </row>
    <row r="656" spans="1:14" x14ac:dyDescent="0.25">
      <c r="A656">
        <v>366.17323800000003</v>
      </c>
      <c r="B656" s="1">
        <f>DATE(2011,5,2) + TIME(4,9,27)</f>
        <v>40665.173229166663</v>
      </c>
      <c r="C656">
        <v>2400</v>
      </c>
      <c r="D656">
        <v>0</v>
      </c>
      <c r="E656">
        <v>0</v>
      </c>
      <c r="F656">
        <v>2400</v>
      </c>
      <c r="G656">
        <v>1396.9836425999999</v>
      </c>
      <c r="H656">
        <v>1381.5565185999999</v>
      </c>
      <c r="I656">
        <v>1286.9903564000001</v>
      </c>
      <c r="J656">
        <v>1268.0754394999999</v>
      </c>
      <c r="K656">
        <v>80</v>
      </c>
      <c r="L656">
        <v>72.369918823000006</v>
      </c>
      <c r="M656">
        <v>50</v>
      </c>
      <c r="N656">
        <v>49.744491576999998</v>
      </c>
    </row>
    <row r="657" spans="1:14" x14ac:dyDescent="0.25">
      <c r="A657">
        <v>366.237481</v>
      </c>
      <c r="B657" s="1">
        <f>DATE(2011,5,2) + TIME(5,41,58)</f>
        <v>40665.237476851849</v>
      </c>
      <c r="C657">
        <v>2400</v>
      </c>
      <c r="D657">
        <v>0</v>
      </c>
      <c r="E657">
        <v>0</v>
      </c>
      <c r="F657">
        <v>2400</v>
      </c>
      <c r="G657">
        <v>1396.8139647999999</v>
      </c>
      <c r="H657">
        <v>1381.4865723</v>
      </c>
      <c r="I657">
        <v>1286.9909668</v>
      </c>
      <c r="J657">
        <v>1268.0729980000001</v>
      </c>
      <c r="K657">
        <v>80</v>
      </c>
      <c r="L657">
        <v>72.975425720000004</v>
      </c>
      <c r="M657">
        <v>50</v>
      </c>
      <c r="N657">
        <v>49.735023499</v>
      </c>
    </row>
    <row r="658" spans="1:14" x14ac:dyDescent="0.25">
      <c r="A658">
        <v>366.30587000000003</v>
      </c>
      <c r="B658" s="1">
        <f>DATE(2011,5,2) + TIME(7,20,27)</f>
        <v>40665.305868055555</v>
      </c>
      <c r="C658">
        <v>2400</v>
      </c>
      <c r="D658">
        <v>0</v>
      </c>
      <c r="E658">
        <v>0</v>
      </c>
      <c r="F658">
        <v>2400</v>
      </c>
      <c r="G658">
        <v>1396.6462402</v>
      </c>
      <c r="H658">
        <v>1381.4147949000001</v>
      </c>
      <c r="I658">
        <v>1286.9914550999999</v>
      </c>
      <c r="J658">
        <v>1268.0703125</v>
      </c>
      <c r="K658">
        <v>80</v>
      </c>
      <c r="L658">
        <v>73.566032410000005</v>
      </c>
      <c r="M658">
        <v>50</v>
      </c>
      <c r="N658">
        <v>49.725063323999997</v>
      </c>
    </row>
    <row r="659" spans="1:14" x14ac:dyDescent="0.25">
      <c r="A659">
        <v>366.37896000000001</v>
      </c>
      <c r="B659" s="1">
        <f>DATE(2011,5,2) + TIME(9,5,42)</f>
        <v>40665.378958333335</v>
      </c>
      <c r="C659">
        <v>2400</v>
      </c>
      <c r="D659">
        <v>0</v>
      </c>
      <c r="E659">
        <v>0</v>
      </c>
      <c r="F659">
        <v>2400</v>
      </c>
      <c r="G659">
        <v>1396.4798584</v>
      </c>
      <c r="H659">
        <v>1381.3405762</v>
      </c>
      <c r="I659">
        <v>1286.9916992000001</v>
      </c>
      <c r="J659">
        <v>1268.0675048999999</v>
      </c>
      <c r="K659">
        <v>80</v>
      </c>
      <c r="L659">
        <v>74.140907287999994</v>
      </c>
      <c r="M659">
        <v>50</v>
      </c>
      <c r="N659">
        <v>49.714546204000001</v>
      </c>
    </row>
    <row r="660" spans="1:14" x14ac:dyDescent="0.25">
      <c r="A660">
        <v>366.45743599999997</v>
      </c>
      <c r="B660" s="1">
        <f>DATE(2011,5,2) + TIME(10,58,42)</f>
        <v>40665.457430555558</v>
      </c>
      <c r="C660">
        <v>2400</v>
      </c>
      <c r="D660">
        <v>0</v>
      </c>
      <c r="E660">
        <v>0</v>
      </c>
      <c r="F660">
        <v>2400</v>
      </c>
      <c r="G660">
        <v>1396.3144531</v>
      </c>
      <c r="H660">
        <v>1381.2636719</v>
      </c>
      <c r="I660">
        <v>1286.9919434000001</v>
      </c>
      <c r="J660">
        <v>1268.0645752</v>
      </c>
      <c r="K660">
        <v>80</v>
      </c>
      <c r="L660">
        <v>74.699234008999994</v>
      </c>
      <c r="M660">
        <v>50</v>
      </c>
      <c r="N660">
        <v>49.703392029</v>
      </c>
    </row>
    <row r="661" spans="1:14" x14ac:dyDescent="0.25">
      <c r="A661">
        <v>366.54212799999999</v>
      </c>
      <c r="B661" s="1">
        <f>DATE(2011,5,2) + TIME(13,0,39)</f>
        <v>40665.542118055557</v>
      </c>
      <c r="C661">
        <v>2400</v>
      </c>
      <c r="D661">
        <v>0</v>
      </c>
      <c r="E661">
        <v>0</v>
      </c>
      <c r="F661">
        <v>2400</v>
      </c>
      <c r="G661">
        <v>1396.1494141000001</v>
      </c>
      <c r="H661">
        <v>1381.1834716999999</v>
      </c>
      <c r="I661">
        <v>1286.9918213000001</v>
      </c>
      <c r="J661">
        <v>1268.0614014</v>
      </c>
      <c r="K661">
        <v>80</v>
      </c>
      <c r="L661">
        <v>75.239830017000003</v>
      </c>
      <c r="M661">
        <v>50</v>
      </c>
      <c r="N661">
        <v>49.691513061999999</v>
      </c>
    </row>
    <row r="662" spans="1:14" x14ac:dyDescent="0.25">
      <c r="A662">
        <v>366.63406400000002</v>
      </c>
      <c r="B662" s="1">
        <f>DATE(2011,5,2) + TIME(15,13,3)</f>
        <v>40665.634062500001</v>
      </c>
      <c r="C662">
        <v>2400</v>
      </c>
      <c r="D662">
        <v>0</v>
      </c>
      <c r="E662">
        <v>0</v>
      </c>
      <c r="F662">
        <v>2400</v>
      </c>
      <c r="G662">
        <v>1395.9842529</v>
      </c>
      <c r="H662">
        <v>1381.0992432</v>
      </c>
      <c r="I662">
        <v>1286.9915771000001</v>
      </c>
      <c r="J662">
        <v>1268.0579834</v>
      </c>
      <c r="K662">
        <v>80</v>
      </c>
      <c r="L662">
        <v>75.761543274000005</v>
      </c>
      <c r="M662">
        <v>50</v>
      </c>
      <c r="N662">
        <v>49.678794861</v>
      </c>
    </row>
    <row r="663" spans="1:14" x14ac:dyDescent="0.25">
      <c r="A663">
        <v>366.73067600000002</v>
      </c>
      <c r="B663" s="1">
        <f>DATE(2011,5,2) + TIME(17,32,10)</f>
        <v>40665.730671296296</v>
      </c>
      <c r="C663">
        <v>2400</v>
      </c>
      <c r="D663">
        <v>0</v>
      </c>
      <c r="E663">
        <v>0</v>
      </c>
      <c r="F663">
        <v>2400</v>
      </c>
      <c r="G663">
        <v>1395.8234863</v>
      </c>
      <c r="H663">
        <v>1381.0124512</v>
      </c>
      <c r="I663">
        <v>1286.9910889</v>
      </c>
      <c r="J663">
        <v>1268.0543213000001</v>
      </c>
      <c r="K663">
        <v>80</v>
      </c>
      <c r="L663">
        <v>76.246276855000005</v>
      </c>
      <c r="M663">
        <v>50</v>
      </c>
      <c r="N663">
        <v>49.665565491000002</v>
      </c>
    </row>
    <row r="664" spans="1:14" x14ac:dyDescent="0.25">
      <c r="A664">
        <v>366.827471</v>
      </c>
      <c r="B664" s="1">
        <f>DATE(2011,5,2) + TIME(19,51,33)</f>
        <v>40665.827465277776</v>
      </c>
      <c r="C664">
        <v>2400</v>
      </c>
      <c r="D664">
        <v>0</v>
      </c>
      <c r="E664">
        <v>0</v>
      </c>
      <c r="F664">
        <v>2400</v>
      </c>
      <c r="G664">
        <v>1395.6728516000001</v>
      </c>
      <c r="H664">
        <v>1380.9261475000001</v>
      </c>
      <c r="I664">
        <v>1286.9902344</v>
      </c>
      <c r="J664">
        <v>1268.0505370999999</v>
      </c>
      <c r="K664">
        <v>80</v>
      </c>
      <c r="L664">
        <v>76.675498962000006</v>
      </c>
      <c r="M664">
        <v>50</v>
      </c>
      <c r="N664">
        <v>49.652381896999998</v>
      </c>
    </row>
    <row r="665" spans="1:14" x14ac:dyDescent="0.25">
      <c r="A665">
        <v>366.92489</v>
      </c>
      <c r="B665" s="1">
        <f>DATE(2011,5,2) + TIME(22,11,50)</f>
        <v>40665.924884259257</v>
      </c>
      <c r="C665">
        <v>2400</v>
      </c>
      <c r="D665">
        <v>0</v>
      </c>
      <c r="E665">
        <v>0</v>
      </c>
      <c r="F665">
        <v>2400</v>
      </c>
      <c r="G665">
        <v>1395.5310059000001</v>
      </c>
      <c r="H665">
        <v>1380.8413086</v>
      </c>
      <c r="I665">
        <v>1286.9891356999999</v>
      </c>
      <c r="J665">
        <v>1268.0467529</v>
      </c>
      <c r="K665">
        <v>80</v>
      </c>
      <c r="L665">
        <v>77.056892395000006</v>
      </c>
      <c r="M665">
        <v>50</v>
      </c>
      <c r="N665">
        <v>49.639186858999999</v>
      </c>
    </row>
    <row r="666" spans="1:14" x14ac:dyDescent="0.25">
      <c r="A666">
        <v>367.02316400000001</v>
      </c>
      <c r="B666" s="1">
        <f>DATE(2011,5,3) + TIME(0,33,21)</f>
        <v>40666.023159722223</v>
      </c>
      <c r="C666">
        <v>2400</v>
      </c>
      <c r="D666">
        <v>0</v>
      </c>
      <c r="E666">
        <v>0</v>
      </c>
      <c r="F666">
        <v>2400</v>
      </c>
      <c r="G666">
        <v>1395.3964844</v>
      </c>
      <c r="H666">
        <v>1380.7575684000001</v>
      </c>
      <c r="I666">
        <v>1286.9879149999999</v>
      </c>
      <c r="J666">
        <v>1268.0429687999999</v>
      </c>
      <c r="K666">
        <v>80</v>
      </c>
      <c r="L666">
        <v>77.396163939999994</v>
      </c>
      <c r="M666">
        <v>50</v>
      </c>
      <c r="N666">
        <v>49.625946044999999</v>
      </c>
    </row>
    <row r="667" spans="1:14" x14ac:dyDescent="0.25">
      <c r="A667">
        <v>367.122525</v>
      </c>
      <c r="B667" s="1">
        <f>DATE(2011,5,3) + TIME(2,56,26)</f>
        <v>40666.122523148151</v>
      </c>
      <c r="C667">
        <v>2400</v>
      </c>
      <c r="D667">
        <v>0</v>
      </c>
      <c r="E667">
        <v>0</v>
      </c>
      <c r="F667">
        <v>2400</v>
      </c>
      <c r="G667">
        <v>1395.2684326000001</v>
      </c>
      <c r="H667">
        <v>1380.6748047000001</v>
      </c>
      <c r="I667">
        <v>1286.9865723</v>
      </c>
      <c r="J667">
        <v>1268.0390625</v>
      </c>
      <c r="K667">
        <v>80</v>
      </c>
      <c r="L667">
        <v>77.698196410999998</v>
      </c>
      <c r="M667">
        <v>50</v>
      </c>
      <c r="N667">
        <v>49.612636565999999</v>
      </c>
    </row>
    <row r="668" spans="1:14" x14ac:dyDescent="0.25">
      <c r="A668">
        <v>367.22319499999998</v>
      </c>
      <c r="B668" s="1">
        <f>DATE(2011,5,3) + TIME(5,21,24)</f>
        <v>40666.223194444443</v>
      </c>
      <c r="C668">
        <v>2400</v>
      </c>
      <c r="D668">
        <v>0</v>
      </c>
      <c r="E668">
        <v>0</v>
      </c>
      <c r="F668">
        <v>2400</v>
      </c>
      <c r="G668">
        <v>1395.1459961</v>
      </c>
      <c r="H668">
        <v>1380.5926514</v>
      </c>
      <c r="I668">
        <v>1286.9849853999999</v>
      </c>
      <c r="J668">
        <v>1268.0351562000001</v>
      </c>
      <c r="K668">
        <v>80</v>
      </c>
      <c r="L668">
        <v>77.967178344999994</v>
      </c>
      <c r="M668">
        <v>50</v>
      </c>
      <c r="N668">
        <v>49.599227904999999</v>
      </c>
    </row>
    <row r="669" spans="1:14" x14ac:dyDescent="0.25">
      <c r="A669">
        <v>367.3254</v>
      </c>
      <c r="B669" s="1">
        <f>DATE(2011,5,3) + TIME(7,48,34)</f>
        <v>40666.32539351852</v>
      </c>
      <c r="C669">
        <v>2400</v>
      </c>
      <c r="D669">
        <v>0</v>
      </c>
      <c r="E669">
        <v>0</v>
      </c>
      <c r="F669">
        <v>2400</v>
      </c>
      <c r="G669">
        <v>1395.0281981999999</v>
      </c>
      <c r="H669">
        <v>1380.5111084</v>
      </c>
      <c r="I669">
        <v>1286.9831543</v>
      </c>
      <c r="J669">
        <v>1268.0311279</v>
      </c>
      <c r="K669">
        <v>80</v>
      </c>
      <c r="L669">
        <v>78.206741332999997</v>
      </c>
      <c r="M669">
        <v>50</v>
      </c>
      <c r="N669">
        <v>49.585693358999997</v>
      </c>
    </row>
    <row r="670" spans="1:14" x14ac:dyDescent="0.25">
      <c r="A670">
        <v>367.42936300000002</v>
      </c>
      <c r="B670" s="1">
        <f>DATE(2011,5,3) + TIME(10,18,16)</f>
        <v>40666.429351851853</v>
      </c>
      <c r="C670">
        <v>2400</v>
      </c>
      <c r="D670">
        <v>0</v>
      </c>
      <c r="E670">
        <v>0</v>
      </c>
      <c r="F670">
        <v>2400</v>
      </c>
      <c r="G670">
        <v>1394.9146728999999</v>
      </c>
      <c r="H670">
        <v>1380.4299315999999</v>
      </c>
      <c r="I670">
        <v>1286.9812012</v>
      </c>
      <c r="J670">
        <v>1268.0270995999999</v>
      </c>
      <c r="K670">
        <v>80</v>
      </c>
      <c r="L670">
        <v>78.420051575000002</v>
      </c>
      <c r="M670">
        <v>50</v>
      </c>
      <c r="N670">
        <v>49.572002411</v>
      </c>
    </row>
    <row r="671" spans="1:14" x14ac:dyDescent="0.25">
      <c r="A671">
        <v>367.53535900000003</v>
      </c>
      <c r="B671" s="1">
        <f>DATE(2011,5,3) + TIME(12,50,54)</f>
        <v>40666.53534722222</v>
      </c>
      <c r="C671">
        <v>2400</v>
      </c>
      <c r="D671">
        <v>0</v>
      </c>
      <c r="E671">
        <v>0</v>
      </c>
      <c r="F671">
        <v>2400</v>
      </c>
      <c r="G671">
        <v>1394.8045654</v>
      </c>
      <c r="H671">
        <v>1380.348999</v>
      </c>
      <c r="I671">
        <v>1286.979126</v>
      </c>
      <c r="J671">
        <v>1268.0230713000001</v>
      </c>
      <c r="K671">
        <v>80</v>
      </c>
      <c r="L671">
        <v>78.609947204999997</v>
      </c>
      <c r="M671">
        <v>50</v>
      </c>
      <c r="N671">
        <v>49.558120727999999</v>
      </c>
    </row>
    <row r="672" spans="1:14" x14ac:dyDescent="0.25">
      <c r="A672">
        <v>367.643596</v>
      </c>
      <c r="B672" s="1">
        <f>DATE(2011,5,3) + TIME(15,26,46)</f>
        <v>40666.643587962964</v>
      </c>
      <c r="C672">
        <v>2400</v>
      </c>
      <c r="D672">
        <v>0</v>
      </c>
      <c r="E672">
        <v>0</v>
      </c>
      <c r="F672">
        <v>2400</v>
      </c>
      <c r="G672">
        <v>1394.6975098</v>
      </c>
      <c r="H672">
        <v>1380.2681885</v>
      </c>
      <c r="I672">
        <v>1286.9769286999999</v>
      </c>
      <c r="J672">
        <v>1268.0187988</v>
      </c>
      <c r="K672">
        <v>80</v>
      </c>
      <c r="L672">
        <v>78.778816223000007</v>
      </c>
      <c r="M672">
        <v>50</v>
      </c>
      <c r="N672">
        <v>49.544033051</v>
      </c>
    </row>
    <row r="673" spans="1:14" x14ac:dyDescent="0.25">
      <c r="A673">
        <v>367.754324</v>
      </c>
      <c r="B673" s="1">
        <f>DATE(2011,5,3) + TIME(18,6,13)</f>
        <v>40666.754317129627</v>
      </c>
      <c r="C673">
        <v>2400</v>
      </c>
      <c r="D673">
        <v>0</v>
      </c>
      <c r="E673">
        <v>0</v>
      </c>
      <c r="F673">
        <v>2400</v>
      </c>
      <c r="G673">
        <v>1394.5931396000001</v>
      </c>
      <c r="H673">
        <v>1380.1873779</v>
      </c>
      <c r="I673">
        <v>1286.9744873</v>
      </c>
      <c r="J673">
        <v>1268.0145264</v>
      </c>
      <c r="K673">
        <v>80</v>
      </c>
      <c r="L673">
        <v>78.928802489999995</v>
      </c>
      <c r="M673">
        <v>50</v>
      </c>
      <c r="N673">
        <v>49.529701232999997</v>
      </c>
    </row>
    <row r="674" spans="1:14" x14ac:dyDescent="0.25">
      <c r="A674">
        <v>367.867816</v>
      </c>
      <c r="B674" s="1">
        <f>DATE(2011,5,3) + TIME(20,49,39)</f>
        <v>40666.867812500001</v>
      </c>
      <c r="C674">
        <v>2400</v>
      </c>
      <c r="D674">
        <v>0</v>
      </c>
      <c r="E674">
        <v>0</v>
      </c>
      <c r="F674">
        <v>2400</v>
      </c>
      <c r="G674">
        <v>1394.4909668</v>
      </c>
      <c r="H674">
        <v>1380.1065673999999</v>
      </c>
      <c r="I674">
        <v>1286.9720459</v>
      </c>
      <c r="J674">
        <v>1268.0101318</v>
      </c>
      <c r="K674">
        <v>80</v>
      </c>
      <c r="L674">
        <v>79.061843871999997</v>
      </c>
      <c r="M674">
        <v>50</v>
      </c>
      <c r="N674">
        <v>49.515098571999999</v>
      </c>
    </row>
    <row r="675" spans="1:14" x14ac:dyDescent="0.25">
      <c r="A675">
        <v>367.98436400000003</v>
      </c>
      <c r="B675" s="1">
        <f>DATE(2011,5,3) + TIME(23,37,29)</f>
        <v>40666.984363425923</v>
      </c>
      <c r="C675">
        <v>2400</v>
      </c>
      <c r="D675">
        <v>0</v>
      </c>
      <c r="E675">
        <v>0</v>
      </c>
      <c r="F675">
        <v>2400</v>
      </c>
      <c r="G675">
        <v>1394.390625</v>
      </c>
      <c r="H675">
        <v>1380.0255127</v>
      </c>
      <c r="I675">
        <v>1286.9693603999999</v>
      </c>
      <c r="J675">
        <v>1268.0056152</v>
      </c>
      <c r="K675">
        <v>80</v>
      </c>
      <c r="L675">
        <v>79.179664611999996</v>
      </c>
      <c r="M675">
        <v>50</v>
      </c>
      <c r="N675">
        <v>49.500190734999997</v>
      </c>
    </row>
    <row r="676" spans="1:14" x14ac:dyDescent="0.25">
      <c r="A676">
        <v>368.104286</v>
      </c>
      <c r="B676" s="1">
        <f>DATE(2011,5,4) + TIME(2,30,10)</f>
        <v>40667.10428240741</v>
      </c>
      <c r="C676">
        <v>2400</v>
      </c>
      <c r="D676">
        <v>0</v>
      </c>
      <c r="E676">
        <v>0</v>
      </c>
      <c r="F676">
        <v>2400</v>
      </c>
      <c r="G676">
        <v>1394.2918701000001</v>
      </c>
      <c r="H676">
        <v>1379.9440918</v>
      </c>
      <c r="I676">
        <v>1286.9664307</v>
      </c>
      <c r="J676">
        <v>1268.0009766000001</v>
      </c>
      <c r="K676">
        <v>80</v>
      </c>
      <c r="L676">
        <v>79.283805846999996</v>
      </c>
      <c r="M676">
        <v>50</v>
      </c>
      <c r="N676">
        <v>49.484943389999998</v>
      </c>
    </row>
    <row r="677" spans="1:14" x14ac:dyDescent="0.25">
      <c r="A677">
        <v>368.22792900000002</v>
      </c>
      <c r="B677" s="1">
        <f>DATE(2011,5,4) + TIME(5,28,13)</f>
        <v>40667.22792824074</v>
      </c>
      <c r="C677">
        <v>2400</v>
      </c>
      <c r="D677">
        <v>0</v>
      </c>
      <c r="E677">
        <v>0</v>
      </c>
      <c r="F677">
        <v>2400</v>
      </c>
      <c r="G677">
        <v>1394.1942139</v>
      </c>
      <c r="H677">
        <v>1379.8624268000001</v>
      </c>
      <c r="I677">
        <v>1286.9633789</v>
      </c>
      <c r="J677">
        <v>1267.9962158000001</v>
      </c>
      <c r="K677">
        <v>80</v>
      </c>
      <c r="L677">
        <v>79.375656128000003</v>
      </c>
      <c r="M677">
        <v>50</v>
      </c>
      <c r="N677">
        <v>49.469318389999998</v>
      </c>
    </row>
    <row r="678" spans="1:14" x14ac:dyDescent="0.25">
      <c r="A678">
        <v>368.35567800000001</v>
      </c>
      <c r="B678" s="1">
        <f>DATE(2011,5,4) + TIME(8,32,10)</f>
        <v>40667.355671296296</v>
      </c>
      <c r="C678">
        <v>2400</v>
      </c>
      <c r="D678">
        <v>0</v>
      </c>
      <c r="E678">
        <v>0</v>
      </c>
      <c r="F678">
        <v>2400</v>
      </c>
      <c r="G678">
        <v>1394.0975341999999</v>
      </c>
      <c r="H678">
        <v>1379.7800293</v>
      </c>
      <c r="I678">
        <v>1286.9602050999999</v>
      </c>
      <c r="J678">
        <v>1267.9913329999999</v>
      </c>
      <c r="K678">
        <v>80</v>
      </c>
      <c r="L678">
        <v>79.456459045000003</v>
      </c>
      <c r="M678">
        <v>50</v>
      </c>
      <c r="N678">
        <v>49.453273772999999</v>
      </c>
    </row>
    <row r="679" spans="1:14" x14ac:dyDescent="0.25">
      <c r="A679">
        <v>368.48795999999999</v>
      </c>
      <c r="B679" s="1">
        <f>DATE(2011,5,4) + TIME(11,42,39)</f>
        <v>40667.487951388888</v>
      </c>
      <c r="C679">
        <v>2400</v>
      </c>
      <c r="D679">
        <v>0</v>
      </c>
      <c r="E679">
        <v>0</v>
      </c>
      <c r="F679">
        <v>2400</v>
      </c>
      <c r="G679">
        <v>1394.0014647999999</v>
      </c>
      <c r="H679">
        <v>1379.6971435999999</v>
      </c>
      <c r="I679">
        <v>1286.9569091999999</v>
      </c>
      <c r="J679">
        <v>1267.9862060999999</v>
      </c>
      <c r="K679">
        <v>80</v>
      </c>
      <c r="L679">
        <v>79.52734375</v>
      </c>
      <c r="M679">
        <v>50</v>
      </c>
      <c r="N679">
        <v>49.436759948999999</v>
      </c>
    </row>
    <row r="680" spans="1:14" x14ac:dyDescent="0.25">
      <c r="A680">
        <v>368.62525199999999</v>
      </c>
      <c r="B680" s="1">
        <f>DATE(2011,5,4) + TIME(15,0,21)</f>
        <v>40667.625243055554</v>
      </c>
      <c r="C680">
        <v>2400</v>
      </c>
      <c r="D680">
        <v>0</v>
      </c>
      <c r="E680">
        <v>0</v>
      </c>
      <c r="F680">
        <v>2400</v>
      </c>
      <c r="G680">
        <v>1393.9057617000001</v>
      </c>
      <c r="H680">
        <v>1379.6132812000001</v>
      </c>
      <c r="I680">
        <v>1286.9533690999999</v>
      </c>
      <c r="J680">
        <v>1267.980957</v>
      </c>
      <c r="K680">
        <v>80</v>
      </c>
      <c r="L680">
        <v>79.589332580999994</v>
      </c>
      <c r="M680">
        <v>50</v>
      </c>
      <c r="N680">
        <v>49.419734955000003</v>
      </c>
    </row>
    <row r="681" spans="1:14" x14ac:dyDescent="0.25">
      <c r="A681">
        <v>368.76815099999999</v>
      </c>
      <c r="B681" s="1">
        <f>DATE(2011,5,4) + TIME(18,26,8)</f>
        <v>40667.768148148149</v>
      </c>
      <c r="C681">
        <v>2400</v>
      </c>
      <c r="D681">
        <v>0</v>
      </c>
      <c r="E681">
        <v>0</v>
      </c>
      <c r="F681">
        <v>2400</v>
      </c>
      <c r="G681">
        <v>1393.8100586</v>
      </c>
      <c r="H681">
        <v>1379.5285644999999</v>
      </c>
      <c r="I681">
        <v>1286.949707</v>
      </c>
      <c r="J681">
        <v>1267.9754639</v>
      </c>
      <c r="K681">
        <v>80</v>
      </c>
      <c r="L681">
        <v>79.643371582</v>
      </c>
      <c r="M681">
        <v>50</v>
      </c>
      <c r="N681">
        <v>49.402126312</v>
      </c>
    </row>
    <row r="682" spans="1:14" x14ac:dyDescent="0.25">
      <c r="A682">
        <v>368.91726399999999</v>
      </c>
      <c r="B682" s="1">
        <f>DATE(2011,5,4) + TIME(22,0,51)</f>
        <v>40667.917256944442</v>
      </c>
      <c r="C682">
        <v>2400</v>
      </c>
      <c r="D682">
        <v>0</v>
      </c>
      <c r="E682">
        <v>0</v>
      </c>
      <c r="F682">
        <v>2400</v>
      </c>
      <c r="G682">
        <v>1393.7141113</v>
      </c>
      <c r="H682">
        <v>1379.442749</v>
      </c>
      <c r="I682">
        <v>1286.9458007999999</v>
      </c>
      <c r="J682">
        <v>1267.9697266000001</v>
      </c>
      <c r="K682">
        <v>80</v>
      </c>
      <c r="L682">
        <v>79.690292357999994</v>
      </c>
      <c r="M682">
        <v>50</v>
      </c>
      <c r="N682">
        <v>49.383876801</v>
      </c>
    </row>
    <row r="683" spans="1:14" x14ac:dyDescent="0.25">
      <c r="A683">
        <v>369.07326</v>
      </c>
      <c r="B683" s="1">
        <f>DATE(2011,5,5) + TIME(1,45,29)</f>
        <v>40668.073252314818</v>
      </c>
      <c r="C683">
        <v>2400</v>
      </c>
      <c r="D683">
        <v>0</v>
      </c>
      <c r="E683">
        <v>0</v>
      </c>
      <c r="F683">
        <v>2400</v>
      </c>
      <c r="G683">
        <v>1393.6175536999999</v>
      </c>
      <c r="H683">
        <v>1379.3555908000001</v>
      </c>
      <c r="I683">
        <v>1286.9416504000001</v>
      </c>
      <c r="J683">
        <v>1267.9638672000001</v>
      </c>
      <c r="K683">
        <v>80</v>
      </c>
      <c r="L683">
        <v>79.730842589999995</v>
      </c>
      <c r="M683">
        <v>50</v>
      </c>
      <c r="N683">
        <v>49.364917755</v>
      </c>
    </row>
    <row r="684" spans="1:14" x14ac:dyDescent="0.25">
      <c r="A684">
        <v>369.23694</v>
      </c>
      <c r="B684" s="1">
        <f>DATE(2011,5,5) + TIME(5,41,11)</f>
        <v>40668.236932870372</v>
      </c>
      <c r="C684">
        <v>2400</v>
      </c>
      <c r="D684">
        <v>0</v>
      </c>
      <c r="E684">
        <v>0</v>
      </c>
      <c r="F684">
        <v>2400</v>
      </c>
      <c r="G684">
        <v>1393.5202637</v>
      </c>
      <c r="H684">
        <v>1379.2668457</v>
      </c>
      <c r="I684">
        <v>1286.9373779</v>
      </c>
      <c r="J684">
        <v>1267.9575195</v>
      </c>
      <c r="K684">
        <v>80</v>
      </c>
      <c r="L684">
        <v>79.765708923000005</v>
      </c>
      <c r="M684">
        <v>50</v>
      </c>
      <c r="N684">
        <v>49.345165252999998</v>
      </c>
    </row>
    <row r="685" spans="1:14" x14ac:dyDescent="0.25">
      <c r="A685">
        <v>369.40696800000001</v>
      </c>
      <c r="B685" s="1">
        <f>DATE(2011,5,5) + TIME(9,46,2)</f>
        <v>40668.406967592593</v>
      </c>
      <c r="C685">
        <v>2400</v>
      </c>
      <c r="D685">
        <v>0</v>
      </c>
      <c r="E685">
        <v>0</v>
      </c>
      <c r="F685">
        <v>2400</v>
      </c>
      <c r="G685">
        <v>1393.421875</v>
      </c>
      <c r="H685">
        <v>1379.1765137</v>
      </c>
      <c r="I685">
        <v>1286.9327393000001</v>
      </c>
      <c r="J685">
        <v>1267.9510498</v>
      </c>
      <c r="K685">
        <v>80</v>
      </c>
      <c r="L685">
        <v>79.795219420999999</v>
      </c>
      <c r="M685">
        <v>50</v>
      </c>
      <c r="N685">
        <v>49.324756622000002</v>
      </c>
    </row>
    <row r="686" spans="1:14" x14ac:dyDescent="0.25">
      <c r="A686">
        <v>369.584183</v>
      </c>
      <c r="B686" s="1">
        <f>DATE(2011,5,5) + TIME(14,1,13)</f>
        <v>40668.584178240744</v>
      </c>
      <c r="C686">
        <v>2400</v>
      </c>
      <c r="D686">
        <v>0</v>
      </c>
      <c r="E686">
        <v>0</v>
      </c>
      <c r="F686">
        <v>2400</v>
      </c>
      <c r="G686">
        <v>1393.3232422000001</v>
      </c>
      <c r="H686">
        <v>1379.0853271000001</v>
      </c>
      <c r="I686">
        <v>1286.9278564000001</v>
      </c>
      <c r="J686">
        <v>1267.9442139</v>
      </c>
      <c r="K686">
        <v>80</v>
      </c>
      <c r="L686">
        <v>79.820106506000002</v>
      </c>
      <c r="M686">
        <v>50</v>
      </c>
      <c r="N686">
        <v>49.303604126000003</v>
      </c>
    </row>
    <row r="687" spans="1:14" x14ac:dyDescent="0.25">
      <c r="A687">
        <v>369.76932599999998</v>
      </c>
      <c r="B687" s="1">
        <f>DATE(2011,5,5) + TIME(18,27,49)</f>
        <v>40668.769317129627</v>
      </c>
      <c r="C687">
        <v>2400</v>
      </c>
      <c r="D687">
        <v>0</v>
      </c>
      <c r="E687">
        <v>0</v>
      </c>
      <c r="F687">
        <v>2400</v>
      </c>
      <c r="G687">
        <v>1393.223999</v>
      </c>
      <c r="H687">
        <v>1378.9931641000001</v>
      </c>
      <c r="I687">
        <v>1286.9228516000001</v>
      </c>
      <c r="J687">
        <v>1267.9371338000001</v>
      </c>
      <c r="K687">
        <v>80</v>
      </c>
      <c r="L687">
        <v>79.840988159000005</v>
      </c>
      <c r="M687">
        <v>50</v>
      </c>
      <c r="N687">
        <v>49.281639099000003</v>
      </c>
    </row>
    <row r="688" spans="1:14" x14ac:dyDescent="0.25">
      <c r="A688">
        <v>369.963235</v>
      </c>
      <c r="B688" s="1">
        <f>DATE(2011,5,5) + TIME(23,7,3)</f>
        <v>40668.963229166664</v>
      </c>
      <c r="C688">
        <v>2400</v>
      </c>
      <c r="D688">
        <v>0</v>
      </c>
      <c r="E688">
        <v>0</v>
      </c>
      <c r="F688">
        <v>2400</v>
      </c>
      <c r="G688">
        <v>1393.1237793</v>
      </c>
      <c r="H688">
        <v>1378.8996582</v>
      </c>
      <c r="I688">
        <v>1286.9174805</v>
      </c>
      <c r="J688">
        <v>1267.9296875</v>
      </c>
      <c r="K688">
        <v>80</v>
      </c>
      <c r="L688">
        <v>79.858421325999998</v>
      </c>
      <c r="M688">
        <v>50</v>
      </c>
      <c r="N688">
        <v>49.258777618000003</v>
      </c>
    </row>
    <row r="689" spans="1:14" x14ac:dyDescent="0.25">
      <c r="A689">
        <v>370.16447599999998</v>
      </c>
      <c r="B689" s="1">
        <f>DATE(2011,5,6) + TIME(3,56,50)</f>
        <v>40669.164467592593</v>
      </c>
      <c r="C689">
        <v>2400</v>
      </c>
      <c r="D689">
        <v>0</v>
      </c>
      <c r="E689">
        <v>0</v>
      </c>
      <c r="F689">
        <v>2400</v>
      </c>
      <c r="G689">
        <v>1393.0225829999999</v>
      </c>
      <c r="H689">
        <v>1378.8048096</v>
      </c>
      <c r="I689">
        <v>1286.9118652</v>
      </c>
      <c r="J689">
        <v>1267.921875</v>
      </c>
      <c r="K689">
        <v>80</v>
      </c>
      <c r="L689">
        <v>79.872756957999997</v>
      </c>
      <c r="M689">
        <v>50</v>
      </c>
      <c r="N689">
        <v>49.235157012999998</v>
      </c>
    </row>
    <row r="690" spans="1:14" x14ac:dyDescent="0.25">
      <c r="A690">
        <v>370.366039</v>
      </c>
      <c r="B690" s="1">
        <f>DATE(2011,5,6) + TIME(8,47,5)</f>
        <v>40669.366030092591</v>
      </c>
      <c r="C690">
        <v>2400</v>
      </c>
      <c r="D690">
        <v>0</v>
      </c>
      <c r="E690">
        <v>0</v>
      </c>
      <c r="F690">
        <v>2400</v>
      </c>
      <c r="G690">
        <v>1392.9212646000001</v>
      </c>
      <c r="H690">
        <v>1378.7094727000001</v>
      </c>
      <c r="I690">
        <v>1286.9058838000001</v>
      </c>
      <c r="J690">
        <v>1267.9138184000001</v>
      </c>
      <c r="K690">
        <v>80</v>
      </c>
      <c r="L690">
        <v>79.884155273000005</v>
      </c>
      <c r="M690">
        <v>50</v>
      </c>
      <c r="N690">
        <v>49.211441039999997</v>
      </c>
    </row>
    <row r="691" spans="1:14" x14ac:dyDescent="0.25">
      <c r="A691">
        <v>370.56847099999999</v>
      </c>
      <c r="B691" s="1">
        <f>DATE(2011,5,6) + TIME(13,38,35)</f>
        <v>40669.568460648145</v>
      </c>
      <c r="C691">
        <v>2400</v>
      </c>
      <c r="D691">
        <v>0</v>
      </c>
      <c r="E691">
        <v>0</v>
      </c>
      <c r="F691">
        <v>2400</v>
      </c>
      <c r="G691">
        <v>1392.8231201000001</v>
      </c>
      <c r="H691">
        <v>1378.6169434000001</v>
      </c>
      <c r="I691">
        <v>1286.8999022999999</v>
      </c>
      <c r="J691">
        <v>1267.9056396000001</v>
      </c>
      <c r="K691">
        <v>80</v>
      </c>
      <c r="L691">
        <v>79.893257141000007</v>
      </c>
      <c r="M691">
        <v>50</v>
      </c>
      <c r="N691">
        <v>49.187610626000001</v>
      </c>
    </row>
    <row r="692" spans="1:14" x14ac:dyDescent="0.25">
      <c r="A692">
        <v>370.77229599999998</v>
      </c>
      <c r="B692" s="1">
        <f>DATE(2011,5,6) + TIME(18,32,6)</f>
        <v>40669.772291666668</v>
      </c>
      <c r="C692">
        <v>2400</v>
      </c>
      <c r="D692">
        <v>0</v>
      </c>
      <c r="E692">
        <v>0</v>
      </c>
      <c r="F692">
        <v>2400</v>
      </c>
      <c r="G692">
        <v>1392.7275391000001</v>
      </c>
      <c r="H692">
        <v>1378.5267334</v>
      </c>
      <c r="I692">
        <v>1286.8939209</v>
      </c>
      <c r="J692">
        <v>1267.8975829999999</v>
      </c>
      <c r="K692">
        <v>80</v>
      </c>
      <c r="L692">
        <v>79.900543213000006</v>
      </c>
      <c r="M692">
        <v>50</v>
      </c>
      <c r="N692">
        <v>49.163631439</v>
      </c>
    </row>
    <row r="693" spans="1:14" x14ac:dyDescent="0.25">
      <c r="A693">
        <v>370.97801199999998</v>
      </c>
      <c r="B693" s="1">
        <f>DATE(2011,5,6) + TIME(23,28,20)</f>
        <v>40669.978009259263</v>
      </c>
      <c r="C693">
        <v>2400</v>
      </c>
      <c r="D693">
        <v>0</v>
      </c>
      <c r="E693">
        <v>0</v>
      </c>
      <c r="F693">
        <v>2400</v>
      </c>
      <c r="G693">
        <v>1392.6343993999999</v>
      </c>
      <c r="H693">
        <v>1378.4384766000001</v>
      </c>
      <c r="I693">
        <v>1286.8879394999999</v>
      </c>
      <c r="J693">
        <v>1267.8892822</v>
      </c>
      <c r="K693">
        <v>80</v>
      </c>
      <c r="L693">
        <v>79.906410217000001</v>
      </c>
      <c r="M693">
        <v>50</v>
      </c>
      <c r="N693">
        <v>49.139476776000002</v>
      </c>
    </row>
    <row r="694" spans="1:14" x14ac:dyDescent="0.25">
      <c r="A694">
        <v>371.18620199999998</v>
      </c>
      <c r="B694" s="1">
        <f>DATE(2011,5,7) + TIME(4,28,7)</f>
        <v>40670.186192129629</v>
      </c>
      <c r="C694">
        <v>2400</v>
      </c>
      <c r="D694">
        <v>0</v>
      </c>
      <c r="E694">
        <v>0</v>
      </c>
      <c r="F694">
        <v>2400</v>
      </c>
      <c r="G694">
        <v>1392.5430908000001</v>
      </c>
      <c r="H694">
        <v>1378.3520507999999</v>
      </c>
      <c r="I694">
        <v>1286.8818358999999</v>
      </c>
      <c r="J694">
        <v>1267.8809814000001</v>
      </c>
      <c r="K694">
        <v>80</v>
      </c>
      <c r="L694">
        <v>79.911140442000004</v>
      </c>
      <c r="M694">
        <v>50</v>
      </c>
      <c r="N694">
        <v>49.115097046000002</v>
      </c>
    </row>
    <row r="695" spans="1:14" x14ac:dyDescent="0.25">
      <c r="A695">
        <v>371.397268</v>
      </c>
      <c r="B695" s="1">
        <f>DATE(2011,5,7) + TIME(9,32,3)</f>
        <v>40670.397256944445</v>
      </c>
      <c r="C695">
        <v>2400</v>
      </c>
      <c r="D695">
        <v>0</v>
      </c>
      <c r="E695">
        <v>0</v>
      </c>
      <c r="F695">
        <v>2400</v>
      </c>
      <c r="G695">
        <v>1392.4533690999999</v>
      </c>
      <c r="H695">
        <v>1378.2670897999999</v>
      </c>
      <c r="I695">
        <v>1286.8756103999999</v>
      </c>
      <c r="J695">
        <v>1267.8725586</v>
      </c>
      <c r="K695">
        <v>80</v>
      </c>
      <c r="L695">
        <v>79.914962768999999</v>
      </c>
      <c r="M695">
        <v>50</v>
      </c>
      <c r="N695">
        <v>49.090465545999997</v>
      </c>
    </row>
    <row r="696" spans="1:14" x14ac:dyDescent="0.25">
      <c r="A696">
        <v>371.61170800000002</v>
      </c>
      <c r="B696" s="1">
        <f>DATE(2011,5,7) + TIME(14,40,51)</f>
        <v>40670.611701388887</v>
      </c>
      <c r="C696">
        <v>2400</v>
      </c>
      <c r="D696">
        <v>0</v>
      </c>
      <c r="E696">
        <v>0</v>
      </c>
      <c r="F696">
        <v>2400</v>
      </c>
      <c r="G696">
        <v>1392.3649902</v>
      </c>
      <c r="H696">
        <v>1378.1832274999999</v>
      </c>
      <c r="I696">
        <v>1286.8693848</v>
      </c>
      <c r="J696">
        <v>1267.8640137</v>
      </c>
      <c r="K696">
        <v>80</v>
      </c>
      <c r="L696">
        <v>79.918067932</v>
      </c>
      <c r="M696">
        <v>50</v>
      </c>
      <c r="N696">
        <v>49.065540314000003</v>
      </c>
    </row>
    <row r="697" spans="1:14" x14ac:dyDescent="0.25">
      <c r="A697">
        <v>371.830038</v>
      </c>
      <c r="B697" s="1">
        <f>DATE(2011,5,7) + TIME(19,55,15)</f>
        <v>40670.830034722225</v>
      </c>
      <c r="C697">
        <v>2400</v>
      </c>
      <c r="D697">
        <v>0</v>
      </c>
      <c r="E697">
        <v>0</v>
      </c>
      <c r="F697">
        <v>2400</v>
      </c>
      <c r="G697">
        <v>1392.2775879000001</v>
      </c>
      <c r="H697">
        <v>1378.1003418</v>
      </c>
      <c r="I697">
        <v>1286.8630370999999</v>
      </c>
      <c r="J697">
        <v>1267.8553466999999</v>
      </c>
      <c r="K697">
        <v>80</v>
      </c>
      <c r="L697">
        <v>79.920600891000007</v>
      </c>
      <c r="M697">
        <v>50</v>
      </c>
      <c r="N697">
        <v>49.040275573999999</v>
      </c>
    </row>
    <row r="698" spans="1:14" x14ac:dyDescent="0.25">
      <c r="A698">
        <v>372.05280199999999</v>
      </c>
      <c r="B698" s="1">
        <f>DATE(2011,5,8) + TIME(1,16,2)</f>
        <v>40671.052800925929</v>
      </c>
      <c r="C698">
        <v>2400</v>
      </c>
      <c r="D698">
        <v>0</v>
      </c>
      <c r="E698">
        <v>0</v>
      </c>
      <c r="F698">
        <v>2400</v>
      </c>
      <c r="G698">
        <v>1392.1911620999999</v>
      </c>
      <c r="H698">
        <v>1378.0181885</v>
      </c>
      <c r="I698">
        <v>1286.8565673999999</v>
      </c>
      <c r="J698">
        <v>1267.8464355000001</v>
      </c>
      <c r="K698">
        <v>80</v>
      </c>
      <c r="L698">
        <v>79.922668457</v>
      </c>
      <c r="M698">
        <v>50</v>
      </c>
      <c r="N698">
        <v>49.014617919999999</v>
      </c>
    </row>
    <row r="699" spans="1:14" x14ac:dyDescent="0.25">
      <c r="A699">
        <v>372.280575</v>
      </c>
      <c r="B699" s="1">
        <f>DATE(2011,5,8) + TIME(6,44,1)</f>
        <v>40671.28056712963</v>
      </c>
      <c r="C699">
        <v>2400</v>
      </c>
      <c r="D699">
        <v>0</v>
      </c>
      <c r="E699">
        <v>0</v>
      </c>
      <c r="F699">
        <v>2400</v>
      </c>
      <c r="G699">
        <v>1392.1053466999999</v>
      </c>
      <c r="H699">
        <v>1377.9366454999999</v>
      </c>
      <c r="I699">
        <v>1286.8499756000001</v>
      </c>
      <c r="J699">
        <v>1267.8374022999999</v>
      </c>
      <c r="K699">
        <v>80</v>
      </c>
      <c r="L699">
        <v>79.924362183</v>
      </c>
      <c r="M699">
        <v>50</v>
      </c>
      <c r="N699">
        <v>48.988517760999997</v>
      </c>
    </row>
    <row r="700" spans="1:14" x14ac:dyDescent="0.25">
      <c r="A700">
        <v>372.51397900000001</v>
      </c>
      <c r="B700" s="1">
        <f>DATE(2011,5,8) + TIME(12,20,7)</f>
        <v>40671.513969907406</v>
      </c>
      <c r="C700">
        <v>2400</v>
      </c>
      <c r="D700">
        <v>0</v>
      </c>
      <c r="E700">
        <v>0</v>
      </c>
      <c r="F700">
        <v>2400</v>
      </c>
      <c r="G700">
        <v>1392.0198975000001</v>
      </c>
      <c r="H700">
        <v>1377.8554687999999</v>
      </c>
      <c r="I700">
        <v>1286.8431396000001</v>
      </c>
      <c r="J700">
        <v>1267.828125</v>
      </c>
      <c r="K700">
        <v>80</v>
      </c>
      <c r="L700">
        <v>79.925758361999996</v>
      </c>
      <c r="M700">
        <v>50</v>
      </c>
      <c r="N700">
        <v>48.961917876999998</v>
      </c>
    </row>
    <row r="701" spans="1:14" x14ac:dyDescent="0.25">
      <c r="A701">
        <v>372.753692</v>
      </c>
      <c r="B701" s="1">
        <f>DATE(2011,5,8) + TIME(18,5,19)</f>
        <v>40671.753692129627</v>
      </c>
      <c r="C701">
        <v>2400</v>
      </c>
      <c r="D701">
        <v>0</v>
      </c>
      <c r="E701">
        <v>0</v>
      </c>
      <c r="F701">
        <v>2400</v>
      </c>
      <c r="G701">
        <v>1391.9345702999999</v>
      </c>
      <c r="H701">
        <v>1377.7744141000001</v>
      </c>
      <c r="I701">
        <v>1286.8361815999999</v>
      </c>
      <c r="J701">
        <v>1267.8186035000001</v>
      </c>
      <c r="K701">
        <v>80</v>
      </c>
      <c r="L701">
        <v>79.926910399999997</v>
      </c>
      <c r="M701">
        <v>50</v>
      </c>
      <c r="N701">
        <v>48.934749603</v>
      </c>
    </row>
    <row r="702" spans="1:14" x14ac:dyDescent="0.25">
      <c r="A702">
        <v>373.00045799999998</v>
      </c>
      <c r="B702" s="1">
        <f>DATE(2011,5,9) + TIME(0,0,39)</f>
        <v>40672.000451388885</v>
      </c>
      <c r="C702">
        <v>2400</v>
      </c>
      <c r="D702">
        <v>0</v>
      </c>
      <c r="E702">
        <v>0</v>
      </c>
      <c r="F702">
        <v>2400</v>
      </c>
      <c r="G702">
        <v>1391.8492432</v>
      </c>
      <c r="H702">
        <v>1377.6933594</v>
      </c>
      <c r="I702">
        <v>1286.8289795000001</v>
      </c>
      <c r="J702">
        <v>1267.8088379000001</v>
      </c>
      <c r="K702">
        <v>80</v>
      </c>
      <c r="L702">
        <v>79.927871703999998</v>
      </c>
      <c r="M702">
        <v>50</v>
      </c>
      <c r="N702">
        <v>48.90694809</v>
      </c>
    </row>
    <row r="703" spans="1:14" x14ac:dyDescent="0.25">
      <c r="A703">
        <v>373.25510500000001</v>
      </c>
      <c r="B703" s="1">
        <f>DATE(2011,5,9) + TIME(6,7,21)</f>
        <v>40672.255104166667</v>
      </c>
      <c r="C703">
        <v>2400</v>
      </c>
      <c r="D703">
        <v>0</v>
      </c>
      <c r="E703">
        <v>0</v>
      </c>
      <c r="F703">
        <v>2400</v>
      </c>
      <c r="G703">
        <v>1391.7637939000001</v>
      </c>
      <c r="H703">
        <v>1377.6121826000001</v>
      </c>
      <c r="I703">
        <v>1286.8216553</v>
      </c>
      <c r="J703">
        <v>1267.7987060999999</v>
      </c>
      <c r="K703">
        <v>80</v>
      </c>
      <c r="L703">
        <v>79.928672790999997</v>
      </c>
      <c r="M703">
        <v>50</v>
      </c>
      <c r="N703">
        <v>48.878437042000002</v>
      </c>
    </row>
    <row r="704" spans="1:14" x14ac:dyDescent="0.25">
      <c r="A704">
        <v>373.51870100000002</v>
      </c>
      <c r="B704" s="1">
        <f>DATE(2011,5,9) + TIME(12,26,55)</f>
        <v>40672.518692129626</v>
      </c>
      <c r="C704">
        <v>2400</v>
      </c>
      <c r="D704">
        <v>0</v>
      </c>
      <c r="E704">
        <v>0</v>
      </c>
      <c r="F704">
        <v>2400</v>
      </c>
      <c r="G704">
        <v>1391.6777344</v>
      </c>
      <c r="H704">
        <v>1377.5303954999999</v>
      </c>
      <c r="I704">
        <v>1286.8139647999999</v>
      </c>
      <c r="J704">
        <v>1267.7883300999999</v>
      </c>
      <c r="K704">
        <v>80</v>
      </c>
      <c r="L704">
        <v>79.929344177000004</v>
      </c>
      <c r="M704">
        <v>50</v>
      </c>
      <c r="N704">
        <v>48.849109650000003</v>
      </c>
    </row>
    <row r="705" spans="1:14" x14ac:dyDescent="0.25">
      <c r="A705">
        <v>373.79221999999999</v>
      </c>
      <c r="B705" s="1">
        <f>DATE(2011,5,9) + TIME(19,0,47)</f>
        <v>40672.792210648149</v>
      </c>
      <c r="C705">
        <v>2400</v>
      </c>
      <c r="D705">
        <v>0</v>
      </c>
      <c r="E705">
        <v>0</v>
      </c>
      <c r="F705">
        <v>2400</v>
      </c>
      <c r="G705">
        <v>1391.5910644999999</v>
      </c>
      <c r="H705">
        <v>1377.4479980000001</v>
      </c>
      <c r="I705">
        <v>1286.8061522999999</v>
      </c>
      <c r="J705">
        <v>1267.7774658000001</v>
      </c>
      <c r="K705">
        <v>80</v>
      </c>
      <c r="L705">
        <v>79.929916382000002</v>
      </c>
      <c r="M705">
        <v>50</v>
      </c>
      <c r="N705">
        <v>48.818881988999998</v>
      </c>
    </row>
    <row r="706" spans="1:14" x14ac:dyDescent="0.25">
      <c r="A706">
        <v>374.07683700000001</v>
      </c>
      <c r="B706" s="1">
        <f>DATE(2011,5,10) + TIME(1,50,38)</f>
        <v>40673.076828703706</v>
      </c>
      <c r="C706">
        <v>2400</v>
      </c>
      <c r="D706">
        <v>0</v>
      </c>
      <c r="E706">
        <v>0</v>
      </c>
      <c r="F706">
        <v>2400</v>
      </c>
      <c r="G706">
        <v>1391.5035399999999</v>
      </c>
      <c r="H706">
        <v>1377.3647461</v>
      </c>
      <c r="I706">
        <v>1286.7978516000001</v>
      </c>
      <c r="J706">
        <v>1267.7662353999999</v>
      </c>
      <c r="K706">
        <v>80</v>
      </c>
      <c r="L706">
        <v>79.930397033999995</v>
      </c>
      <c r="M706">
        <v>50</v>
      </c>
      <c r="N706">
        <v>48.787643433</v>
      </c>
    </row>
    <row r="707" spans="1:14" x14ac:dyDescent="0.25">
      <c r="A707">
        <v>374.37030700000003</v>
      </c>
      <c r="B707" s="1">
        <f>DATE(2011,5,10) + TIME(8,53,14)</f>
        <v>40673.370300925926</v>
      </c>
      <c r="C707">
        <v>2400</v>
      </c>
      <c r="D707">
        <v>0</v>
      </c>
      <c r="E707">
        <v>0</v>
      </c>
      <c r="F707">
        <v>2400</v>
      </c>
      <c r="G707">
        <v>1391.4147949000001</v>
      </c>
      <c r="H707">
        <v>1377.2803954999999</v>
      </c>
      <c r="I707">
        <v>1286.7893065999999</v>
      </c>
      <c r="J707">
        <v>1267.7546387</v>
      </c>
      <c r="K707">
        <v>80</v>
      </c>
      <c r="L707">
        <v>79.930801392000006</v>
      </c>
      <c r="M707">
        <v>50</v>
      </c>
      <c r="N707">
        <v>48.755565642999997</v>
      </c>
    </row>
    <row r="708" spans="1:14" x14ac:dyDescent="0.25">
      <c r="A708">
        <v>374.67345799999998</v>
      </c>
      <c r="B708" s="1">
        <f>DATE(2011,5,10) + TIME(16,9,46)</f>
        <v>40673.673449074071</v>
      </c>
      <c r="C708">
        <v>2400</v>
      </c>
      <c r="D708">
        <v>0</v>
      </c>
      <c r="E708">
        <v>0</v>
      </c>
      <c r="F708">
        <v>2400</v>
      </c>
      <c r="G708">
        <v>1391.3256836</v>
      </c>
      <c r="H708">
        <v>1377.1956786999999</v>
      </c>
      <c r="I708">
        <v>1286.7803954999999</v>
      </c>
      <c r="J708">
        <v>1267.7425536999999</v>
      </c>
      <c r="K708">
        <v>80</v>
      </c>
      <c r="L708">
        <v>79.931152343999997</v>
      </c>
      <c r="M708">
        <v>50</v>
      </c>
      <c r="N708">
        <v>48.722583770999996</v>
      </c>
    </row>
    <row r="709" spans="1:14" x14ac:dyDescent="0.25">
      <c r="A709">
        <v>374.98751900000002</v>
      </c>
      <c r="B709" s="1">
        <f>DATE(2011,5,10) + TIME(23,42,1)</f>
        <v>40673.987511574072</v>
      </c>
      <c r="C709">
        <v>2400</v>
      </c>
      <c r="D709">
        <v>0</v>
      </c>
      <c r="E709">
        <v>0</v>
      </c>
      <c r="F709">
        <v>2400</v>
      </c>
      <c r="G709">
        <v>1391.2360839999999</v>
      </c>
      <c r="H709">
        <v>1377.1104736</v>
      </c>
      <c r="I709">
        <v>1286.7712402</v>
      </c>
      <c r="J709">
        <v>1267.7299805</v>
      </c>
      <c r="K709">
        <v>80</v>
      </c>
      <c r="L709">
        <v>79.931442261000001</v>
      </c>
      <c r="M709">
        <v>50</v>
      </c>
      <c r="N709">
        <v>48.688602447999997</v>
      </c>
    </row>
    <row r="710" spans="1:14" x14ac:dyDescent="0.25">
      <c r="A710">
        <v>375.30719499999998</v>
      </c>
      <c r="B710" s="1">
        <f>DATE(2011,5,11) + TIME(7,22,21)</f>
        <v>40674.307187500002</v>
      </c>
      <c r="C710">
        <v>2400</v>
      </c>
      <c r="D710">
        <v>0</v>
      </c>
      <c r="E710">
        <v>0</v>
      </c>
      <c r="F710">
        <v>2400</v>
      </c>
      <c r="G710">
        <v>1391.1456298999999</v>
      </c>
      <c r="H710">
        <v>1377.0245361</v>
      </c>
      <c r="I710">
        <v>1286.7615966999999</v>
      </c>
      <c r="J710">
        <v>1267.7170410000001</v>
      </c>
      <c r="K710">
        <v>80</v>
      </c>
      <c r="L710">
        <v>79.931694031000006</v>
      </c>
      <c r="M710">
        <v>50</v>
      </c>
      <c r="N710">
        <v>48.654029846</v>
      </c>
    </row>
    <row r="711" spans="1:14" x14ac:dyDescent="0.25">
      <c r="A711">
        <v>375.62779499999999</v>
      </c>
      <c r="B711" s="1">
        <f>DATE(2011,5,11) + TIME(15,4,1)</f>
        <v>40674.627789351849</v>
      </c>
      <c r="C711">
        <v>2400</v>
      </c>
      <c r="D711">
        <v>0</v>
      </c>
      <c r="E711">
        <v>0</v>
      </c>
      <c r="F711">
        <v>2400</v>
      </c>
      <c r="G711">
        <v>1391.0560303</v>
      </c>
      <c r="H711">
        <v>1376.9393310999999</v>
      </c>
      <c r="I711">
        <v>1286.7517089999999</v>
      </c>
      <c r="J711">
        <v>1267.7038574000001</v>
      </c>
      <c r="K711">
        <v>80</v>
      </c>
      <c r="L711">
        <v>79.931907654</v>
      </c>
      <c r="M711">
        <v>50</v>
      </c>
      <c r="N711">
        <v>48.619266510000003</v>
      </c>
    </row>
    <row r="712" spans="1:14" x14ac:dyDescent="0.25">
      <c r="A712">
        <v>375.95016700000002</v>
      </c>
      <c r="B712" s="1">
        <f>DATE(2011,5,11) + TIME(22,48,14)</f>
        <v>40674.950162037036</v>
      </c>
      <c r="C712">
        <v>2400</v>
      </c>
      <c r="D712">
        <v>0</v>
      </c>
      <c r="E712">
        <v>0</v>
      </c>
      <c r="F712">
        <v>2400</v>
      </c>
      <c r="G712">
        <v>1390.9685059000001</v>
      </c>
      <c r="H712">
        <v>1376.8560791</v>
      </c>
      <c r="I712">
        <v>1286.7418213000001</v>
      </c>
      <c r="J712">
        <v>1267.6906738</v>
      </c>
      <c r="K712">
        <v>80</v>
      </c>
      <c r="L712">
        <v>79.932083129999995</v>
      </c>
      <c r="M712">
        <v>50</v>
      </c>
      <c r="N712">
        <v>48.584316254000001</v>
      </c>
    </row>
    <row r="713" spans="1:14" x14ac:dyDescent="0.25">
      <c r="A713">
        <v>376.27528100000001</v>
      </c>
      <c r="B713" s="1">
        <f>DATE(2011,5,12) + TIME(6,36,24)</f>
        <v>40675.275277777779</v>
      </c>
      <c r="C713">
        <v>2400</v>
      </c>
      <c r="D713">
        <v>0</v>
      </c>
      <c r="E713">
        <v>0</v>
      </c>
      <c r="F713">
        <v>2400</v>
      </c>
      <c r="G713">
        <v>1390.8826904</v>
      </c>
      <c r="H713">
        <v>1376.7745361</v>
      </c>
      <c r="I713">
        <v>1286.7319336</v>
      </c>
      <c r="J713">
        <v>1267.6772461</v>
      </c>
      <c r="K713">
        <v>80</v>
      </c>
      <c r="L713">
        <v>79.932228088000002</v>
      </c>
      <c r="M713">
        <v>50</v>
      </c>
      <c r="N713">
        <v>48.549144745</v>
      </c>
    </row>
    <row r="714" spans="1:14" x14ac:dyDescent="0.25">
      <c r="A714">
        <v>376.60380600000002</v>
      </c>
      <c r="B714" s="1">
        <f>DATE(2011,5,12) + TIME(14,29,28)</f>
        <v>40675.603796296295</v>
      </c>
      <c r="C714">
        <v>2400</v>
      </c>
      <c r="D714">
        <v>0</v>
      </c>
      <c r="E714">
        <v>0</v>
      </c>
      <c r="F714">
        <v>2400</v>
      </c>
      <c r="G714">
        <v>1390.7982178</v>
      </c>
      <c r="H714">
        <v>1376.6942139</v>
      </c>
      <c r="I714">
        <v>1286.7218018000001</v>
      </c>
      <c r="J714">
        <v>1267.6636963000001</v>
      </c>
      <c r="K714">
        <v>80</v>
      </c>
      <c r="L714">
        <v>79.932357788000004</v>
      </c>
      <c r="M714">
        <v>50</v>
      </c>
      <c r="N714">
        <v>48.513713836999997</v>
      </c>
    </row>
    <row r="715" spans="1:14" x14ac:dyDescent="0.25">
      <c r="A715">
        <v>376.93655899999999</v>
      </c>
      <c r="B715" s="1">
        <f>DATE(2011,5,12) + TIME(22,28,38)</f>
        <v>40675.936550925922</v>
      </c>
      <c r="C715">
        <v>2400</v>
      </c>
      <c r="D715">
        <v>0</v>
      </c>
      <c r="E715">
        <v>0</v>
      </c>
      <c r="F715">
        <v>2400</v>
      </c>
      <c r="G715">
        <v>1390.7150879000001</v>
      </c>
      <c r="H715">
        <v>1376.6149902</v>
      </c>
      <c r="I715">
        <v>1286.7116699000001</v>
      </c>
      <c r="J715">
        <v>1267.6500243999999</v>
      </c>
      <c r="K715">
        <v>80</v>
      </c>
      <c r="L715">
        <v>79.932472228999998</v>
      </c>
      <c r="M715">
        <v>50</v>
      </c>
      <c r="N715">
        <v>48.477977752999998</v>
      </c>
    </row>
    <row r="716" spans="1:14" x14ac:dyDescent="0.25">
      <c r="A716">
        <v>377.27436699999998</v>
      </c>
      <c r="B716" s="1">
        <f>DATE(2011,5,13) + TIME(6,35,5)</f>
        <v>40676.274363425924</v>
      </c>
      <c r="C716">
        <v>2400</v>
      </c>
      <c r="D716">
        <v>0</v>
      </c>
      <c r="E716">
        <v>0</v>
      </c>
      <c r="F716">
        <v>2400</v>
      </c>
      <c r="G716">
        <v>1390.6326904</v>
      </c>
      <c r="H716">
        <v>1376.5367432</v>
      </c>
      <c r="I716">
        <v>1286.7014160000001</v>
      </c>
      <c r="J716">
        <v>1267.6361084</v>
      </c>
      <c r="K716">
        <v>80</v>
      </c>
      <c r="L716">
        <v>79.932571410999998</v>
      </c>
      <c r="M716">
        <v>50</v>
      </c>
      <c r="N716">
        <v>48.441871642999999</v>
      </c>
    </row>
    <row r="717" spans="1:14" x14ac:dyDescent="0.25">
      <c r="A717">
        <v>377.61809299999999</v>
      </c>
      <c r="B717" s="1">
        <f>DATE(2011,5,13) + TIME(14,50,3)</f>
        <v>40676.618090277778</v>
      </c>
      <c r="C717">
        <v>2400</v>
      </c>
      <c r="D717">
        <v>0</v>
      </c>
      <c r="E717">
        <v>0</v>
      </c>
      <c r="F717">
        <v>2400</v>
      </c>
      <c r="G717">
        <v>1390.5511475000001</v>
      </c>
      <c r="H717">
        <v>1376.4591064000001</v>
      </c>
      <c r="I717">
        <v>1286.690918</v>
      </c>
      <c r="J717">
        <v>1267.6218262</v>
      </c>
      <c r="K717">
        <v>80</v>
      </c>
      <c r="L717">
        <v>79.932655334000003</v>
      </c>
      <c r="M717">
        <v>50</v>
      </c>
      <c r="N717">
        <v>48.405334473000003</v>
      </c>
    </row>
    <row r="718" spans="1:14" x14ac:dyDescent="0.25">
      <c r="A718">
        <v>377.96865000000003</v>
      </c>
      <c r="B718" s="1">
        <f>DATE(2011,5,13) + TIME(23,14,51)</f>
        <v>40676.968645833331</v>
      </c>
      <c r="C718">
        <v>2400</v>
      </c>
      <c r="D718">
        <v>0</v>
      </c>
      <c r="E718">
        <v>0</v>
      </c>
      <c r="F718">
        <v>2400</v>
      </c>
      <c r="G718">
        <v>1390.4699707</v>
      </c>
      <c r="H718">
        <v>1376.3819579999999</v>
      </c>
      <c r="I718">
        <v>1286.6801757999999</v>
      </c>
      <c r="J718">
        <v>1267.6074219</v>
      </c>
      <c r="K718">
        <v>80</v>
      </c>
      <c r="L718">
        <v>79.932731627999999</v>
      </c>
      <c r="M718">
        <v>50</v>
      </c>
      <c r="N718">
        <v>48.368282317999999</v>
      </c>
    </row>
    <row r="719" spans="1:14" x14ac:dyDescent="0.25">
      <c r="A719">
        <v>378.32701600000001</v>
      </c>
      <c r="B719" s="1">
        <f>DATE(2011,5,14) + TIME(7,50,54)</f>
        <v>40677.327013888891</v>
      </c>
      <c r="C719">
        <v>2400</v>
      </c>
      <c r="D719">
        <v>0</v>
      </c>
      <c r="E719">
        <v>0</v>
      </c>
      <c r="F719">
        <v>2400</v>
      </c>
      <c r="G719">
        <v>1390.3891602000001</v>
      </c>
      <c r="H719">
        <v>1376.3049315999999</v>
      </c>
      <c r="I719">
        <v>1286.6693115</v>
      </c>
      <c r="J719">
        <v>1267.5926514</v>
      </c>
      <c r="K719">
        <v>80</v>
      </c>
      <c r="L719">
        <v>79.932800293</v>
      </c>
      <c r="M719">
        <v>50</v>
      </c>
      <c r="N719">
        <v>48.330635071000003</v>
      </c>
    </row>
    <row r="720" spans="1:14" x14ac:dyDescent="0.25">
      <c r="A720">
        <v>378.69424900000001</v>
      </c>
      <c r="B720" s="1">
        <f>DATE(2011,5,14) + TIME(16,39,43)</f>
        <v>40677.694247685184</v>
      </c>
      <c r="C720">
        <v>2400</v>
      </c>
      <c r="D720">
        <v>0</v>
      </c>
      <c r="E720">
        <v>0</v>
      </c>
      <c r="F720">
        <v>2400</v>
      </c>
      <c r="G720">
        <v>1390.3083495999999</v>
      </c>
      <c r="H720">
        <v>1376.2280272999999</v>
      </c>
      <c r="I720">
        <v>1286.6580810999999</v>
      </c>
      <c r="J720">
        <v>1267.5775146000001</v>
      </c>
      <c r="K720">
        <v>80</v>
      </c>
      <c r="L720">
        <v>79.932861328000001</v>
      </c>
      <c r="M720">
        <v>50</v>
      </c>
      <c r="N720">
        <v>48.292301178000002</v>
      </c>
    </row>
    <row r="721" spans="1:14" x14ac:dyDescent="0.25">
      <c r="A721">
        <v>379.07151199999998</v>
      </c>
      <c r="B721" s="1">
        <f>DATE(2011,5,15) + TIME(1,42,58)</f>
        <v>40678.071504629632</v>
      </c>
      <c r="C721">
        <v>2400</v>
      </c>
      <c r="D721">
        <v>0</v>
      </c>
      <c r="E721">
        <v>0</v>
      </c>
      <c r="F721">
        <v>2400</v>
      </c>
      <c r="G721">
        <v>1390.2275391000001</v>
      </c>
      <c r="H721">
        <v>1376.151001</v>
      </c>
      <c r="I721">
        <v>1286.6466064000001</v>
      </c>
      <c r="J721">
        <v>1267.5618896000001</v>
      </c>
      <c r="K721">
        <v>80</v>
      </c>
      <c r="L721">
        <v>79.932914733999993</v>
      </c>
      <c r="M721">
        <v>50</v>
      </c>
      <c r="N721">
        <v>48.253177643000001</v>
      </c>
    </row>
    <row r="722" spans="1:14" x14ac:dyDescent="0.25">
      <c r="A722">
        <v>379.46009500000002</v>
      </c>
      <c r="B722" s="1">
        <f>DATE(2011,5,15) + TIME(11,2,32)</f>
        <v>40678.460092592592</v>
      </c>
      <c r="C722">
        <v>2400</v>
      </c>
      <c r="D722">
        <v>0</v>
      </c>
      <c r="E722">
        <v>0</v>
      </c>
      <c r="F722">
        <v>2400</v>
      </c>
      <c r="G722">
        <v>1390.1462402</v>
      </c>
      <c r="H722">
        <v>1376.0736084</v>
      </c>
      <c r="I722">
        <v>1286.6347656</v>
      </c>
      <c r="J722">
        <v>1267.5458983999999</v>
      </c>
      <c r="K722">
        <v>80</v>
      </c>
      <c r="L722">
        <v>79.932960510000001</v>
      </c>
      <c r="M722">
        <v>50</v>
      </c>
      <c r="N722">
        <v>48.213153839</v>
      </c>
    </row>
    <row r="723" spans="1:14" x14ac:dyDescent="0.25">
      <c r="A723">
        <v>379.86167</v>
      </c>
      <c r="B723" s="1">
        <f>DATE(2011,5,15) + TIME(20,40,48)</f>
        <v>40678.861666666664</v>
      </c>
      <c r="C723">
        <v>2400</v>
      </c>
      <c r="D723">
        <v>0</v>
      </c>
      <c r="E723">
        <v>0</v>
      </c>
      <c r="F723">
        <v>2400</v>
      </c>
      <c r="G723">
        <v>1390.0644531</v>
      </c>
      <c r="H723">
        <v>1375.9957274999999</v>
      </c>
      <c r="I723">
        <v>1286.6224365</v>
      </c>
      <c r="J723">
        <v>1267.5292969</v>
      </c>
      <c r="K723">
        <v>80</v>
      </c>
      <c r="L723">
        <v>79.933006286999998</v>
      </c>
      <c r="M723">
        <v>50</v>
      </c>
      <c r="N723">
        <v>48.172092438</v>
      </c>
    </row>
    <row r="724" spans="1:14" x14ac:dyDescent="0.25">
      <c r="A724">
        <v>380.27655800000002</v>
      </c>
      <c r="B724" s="1">
        <f>DATE(2011,5,16) + TIME(6,38,14)</f>
        <v>40679.276550925926</v>
      </c>
      <c r="C724">
        <v>2400</v>
      </c>
      <c r="D724">
        <v>0</v>
      </c>
      <c r="E724">
        <v>0</v>
      </c>
      <c r="F724">
        <v>2400</v>
      </c>
      <c r="G724">
        <v>1389.9818115</v>
      </c>
      <c r="H724">
        <v>1375.9168701000001</v>
      </c>
      <c r="I724">
        <v>1286.6097411999999</v>
      </c>
      <c r="J724">
        <v>1267.5120850000001</v>
      </c>
      <c r="K724">
        <v>80</v>
      </c>
      <c r="L724">
        <v>79.933052063000005</v>
      </c>
      <c r="M724">
        <v>50</v>
      </c>
      <c r="N724">
        <v>48.129943848000003</v>
      </c>
    </row>
    <row r="725" spans="1:14" x14ac:dyDescent="0.25">
      <c r="A725">
        <v>380.70644800000002</v>
      </c>
      <c r="B725" s="1">
        <f>DATE(2011,5,16) + TIME(16,57,17)</f>
        <v>40679.706446759257</v>
      </c>
      <c r="C725">
        <v>2400</v>
      </c>
      <c r="D725">
        <v>0</v>
      </c>
      <c r="E725">
        <v>0</v>
      </c>
      <c r="F725">
        <v>2400</v>
      </c>
      <c r="G725">
        <v>1389.8983154</v>
      </c>
      <c r="H725">
        <v>1375.8374022999999</v>
      </c>
      <c r="I725">
        <v>1286.5965576000001</v>
      </c>
      <c r="J725">
        <v>1267.4942627</v>
      </c>
      <c r="K725">
        <v>80</v>
      </c>
      <c r="L725">
        <v>79.933090210000003</v>
      </c>
      <c r="M725">
        <v>50</v>
      </c>
      <c r="N725">
        <v>48.086570739999999</v>
      </c>
    </row>
    <row r="726" spans="1:14" x14ac:dyDescent="0.25">
      <c r="A726">
        <v>381.14198699999997</v>
      </c>
      <c r="B726" s="1">
        <f>DATE(2011,5,17) + TIME(3,24,27)</f>
        <v>40680.141979166663</v>
      </c>
      <c r="C726">
        <v>2400</v>
      </c>
      <c r="D726">
        <v>0</v>
      </c>
      <c r="E726">
        <v>0</v>
      </c>
      <c r="F726">
        <v>2400</v>
      </c>
      <c r="G726">
        <v>1389.8138428</v>
      </c>
      <c r="H726">
        <v>1375.7568358999999</v>
      </c>
      <c r="I726">
        <v>1286.5826416</v>
      </c>
      <c r="J726">
        <v>1267.4757079999999</v>
      </c>
      <c r="K726">
        <v>80</v>
      </c>
      <c r="L726">
        <v>79.933120728000006</v>
      </c>
      <c r="M726">
        <v>50</v>
      </c>
      <c r="N726">
        <v>48.042572020999998</v>
      </c>
    </row>
    <row r="727" spans="1:14" x14ac:dyDescent="0.25">
      <c r="A727">
        <v>381.58113100000003</v>
      </c>
      <c r="B727" s="1">
        <f>DATE(2011,5,17) + TIME(13,56,49)</f>
        <v>40680.581122685187</v>
      </c>
      <c r="C727">
        <v>2400</v>
      </c>
      <c r="D727">
        <v>0</v>
      </c>
      <c r="E727">
        <v>0</v>
      </c>
      <c r="F727">
        <v>2400</v>
      </c>
      <c r="G727">
        <v>1389.7302245999999</v>
      </c>
      <c r="H727">
        <v>1375.6770019999999</v>
      </c>
      <c r="I727">
        <v>1286.5686035000001</v>
      </c>
      <c r="J727">
        <v>1267.4569091999999</v>
      </c>
      <c r="K727">
        <v>80</v>
      </c>
      <c r="L727">
        <v>79.933158875000004</v>
      </c>
      <c r="M727">
        <v>50</v>
      </c>
      <c r="N727">
        <v>47.998168945000003</v>
      </c>
    </row>
    <row r="728" spans="1:14" x14ac:dyDescent="0.25">
      <c r="A728">
        <v>382.02511199999998</v>
      </c>
      <c r="B728" s="1">
        <f>DATE(2011,5,18) + TIME(0,36,9)</f>
        <v>40681.025104166663</v>
      </c>
      <c r="C728">
        <v>2400</v>
      </c>
      <c r="D728">
        <v>0</v>
      </c>
      <c r="E728">
        <v>0</v>
      </c>
      <c r="F728">
        <v>2400</v>
      </c>
      <c r="G728">
        <v>1389.6477050999999</v>
      </c>
      <c r="H728">
        <v>1375.5982666</v>
      </c>
      <c r="I728">
        <v>1286.5544434000001</v>
      </c>
      <c r="J728">
        <v>1267.4378661999999</v>
      </c>
      <c r="K728">
        <v>80</v>
      </c>
      <c r="L728">
        <v>79.933189392000003</v>
      </c>
      <c r="M728">
        <v>50</v>
      </c>
      <c r="N728">
        <v>47.953361510999997</v>
      </c>
    </row>
    <row r="729" spans="1:14" x14ac:dyDescent="0.25">
      <c r="A729">
        <v>382.47515700000002</v>
      </c>
      <c r="B729" s="1">
        <f>DATE(2011,5,18) + TIME(11,24,13)</f>
        <v>40681.47515046296</v>
      </c>
      <c r="C729">
        <v>2400</v>
      </c>
      <c r="D729">
        <v>0</v>
      </c>
      <c r="E729">
        <v>0</v>
      </c>
      <c r="F729">
        <v>2400</v>
      </c>
      <c r="G729">
        <v>1389.5661620999999</v>
      </c>
      <c r="H729">
        <v>1375.5203856999999</v>
      </c>
      <c r="I729">
        <v>1286.5399170000001</v>
      </c>
      <c r="J729">
        <v>1267.418457</v>
      </c>
      <c r="K729">
        <v>80</v>
      </c>
      <c r="L729">
        <v>79.933212280000006</v>
      </c>
      <c r="M729">
        <v>50</v>
      </c>
      <c r="N729">
        <v>47.908111572000003</v>
      </c>
    </row>
    <row r="730" spans="1:14" x14ac:dyDescent="0.25">
      <c r="A730">
        <v>382.92917299999999</v>
      </c>
      <c r="B730" s="1">
        <f>DATE(2011,5,18) + TIME(22,18,0)</f>
        <v>40681.929166666669</v>
      </c>
      <c r="C730">
        <v>2400</v>
      </c>
      <c r="D730">
        <v>0</v>
      </c>
      <c r="E730">
        <v>0</v>
      </c>
      <c r="F730">
        <v>2400</v>
      </c>
      <c r="G730">
        <v>1389.4852295000001</v>
      </c>
      <c r="H730">
        <v>1375.4431152</v>
      </c>
      <c r="I730">
        <v>1286.5252685999999</v>
      </c>
      <c r="J730">
        <v>1267.3986815999999</v>
      </c>
      <c r="K730">
        <v>80</v>
      </c>
      <c r="L730">
        <v>79.933242797999995</v>
      </c>
      <c r="M730">
        <v>50</v>
      </c>
      <c r="N730">
        <v>47.862571715999998</v>
      </c>
    </row>
    <row r="731" spans="1:14" x14ac:dyDescent="0.25">
      <c r="A731">
        <v>383.38727399999999</v>
      </c>
      <c r="B731" s="1">
        <f>DATE(2011,5,19) + TIME(9,17,40)</f>
        <v>40682.38726851852</v>
      </c>
      <c r="C731">
        <v>2400</v>
      </c>
      <c r="D731">
        <v>0</v>
      </c>
      <c r="E731">
        <v>0</v>
      </c>
      <c r="F731">
        <v>2400</v>
      </c>
      <c r="G731">
        <v>1389.4053954999999</v>
      </c>
      <c r="H731">
        <v>1375.3669434000001</v>
      </c>
      <c r="I731">
        <v>1286.510376</v>
      </c>
      <c r="J731">
        <v>1267.3786620999999</v>
      </c>
      <c r="K731">
        <v>80</v>
      </c>
      <c r="L731">
        <v>79.933273314999994</v>
      </c>
      <c r="M731">
        <v>50</v>
      </c>
      <c r="N731">
        <v>47.816768646</v>
      </c>
    </row>
    <row r="732" spans="1:14" x14ac:dyDescent="0.25">
      <c r="A732">
        <v>383.85049299999997</v>
      </c>
      <c r="B732" s="1">
        <f>DATE(2011,5,19) + TIME(20,24,42)</f>
        <v>40682.850486111114</v>
      </c>
      <c r="C732">
        <v>2400</v>
      </c>
      <c r="D732">
        <v>0</v>
      </c>
      <c r="E732">
        <v>0</v>
      </c>
      <c r="F732">
        <v>2400</v>
      </c>
      <c r="G732">
        <v>1389.3264160000001</v>
      </c>
      <c r="H732">
        <v>1375.2915039</v>
      </c>
      <c r="I732">
        <v>1286.4952393000001</v>
      </c>
      <c r="J732">
        <v>1267.3583983999999</v>
      </c>
      <c r="K732">
        <v>80</v>
      </c>
      <c r="L732">
        <v>79.933296204000001</v>
      </c>
      <c r="M732">
        <v>50</v>
      </c>
      <c r="N732">
        <v>47.770664214999996</v>
      </c>
    </row>
    <row r="733" spans="1:14" x14ac:dyDescent="0.25">
      <c r="A733">
        <v>384.31997100000001</v>
      </c>
      <c r="B733" s="1">
        <f>DATE(2011,5,20) + TIME(7,40,45)</f>
        <v>40683.319965277777</v>
      </c>
      <c r="C733">
        <v>2400</v>
      </c>
      <c r="D733">
        <v>0</v>
      </c>
      <c r="E733">
        <v>0</v>
      </c>
      <c r="F733">
        <v>2400</v>
      </c>
      <c r="G733">
        <v>1389.2482910000001</v>
      </c>
      <c r="H733">
        <v>1375.2167969</v>
      </c>
      <c r="I733">
        <v>1286.4798584</v>
      </c>
      <c r="J733">
        <v>1267.3377685999999</v>
      </c>
      <c r="K733">
        <v>80</v>
      </c>
      <c r="L733">
        <v>79.933326721</v>
      </c>
      <c r="M733">
        <v>50</v>
      </c>
      <c r="N733">
        <v>47.724182128999999</v>
      </c>
    </row>
    <row r="734" spans="1:14" x14ac:dyDescent="0.25">
      <c r="A734">
        <v>384.79689100000002</v>
      </c>
      <c r="B734" s="1">
        <f>DATE(2011,5,20) + TIME(19,7,31)</f>
        <v>40683.796886574077</v>
      </c>
      <c r="C734">
        <v>2400</v>
      </c>
      <c r="D734">
        <v>0</v>
      </c>
      <c r="E734">
        <v>0</v>
      </c>
      <c r="F734">
        <v>2400</v>
      </c>
      <c r="G734">
        <v>1389.1707764</v>
      </c>
      <c r="H734">
        <v>1375.1427002</v>
      </c>
      <c r="I734">
        <v>1286.4642334</v>
      </c>
      <c r="J734">
        <v>1267.3167725000001</v>
      </c>
      <c r="K734">
        <v>80</v>
      </c>
      <c r="L734">
        <v>79.933349609000004</v>
      </c>
      <c r="M734">
        <v>50</v>
      </c>
      <c r="N734">
        <v>47.677238463999998</v>
      </c>
    </row>
    <row r="735" spans="1:14" x14ac:dyDescent="0.25">
      <c r="A735">
        <v>385.28249399999999</v>
      </c>
      <c r="B735" s="1">
        <f>DATE(2011,5,21) + TIME(6,46,47)</f>
        <v>40684.282488425924</v>
      </c>
      <c r="C735">
        <v>2400</v>
      </c>
      <c r="D735">
        <v>0</v>
      </c>
      <c r="E735">
        <v>0</v>
      </c>
      <c r="F735">
        <v>2400</v>
      </c>
      <c r="G735">
        <v>1389.0935059000001</v>
      </c>
      <c r="H735">
        <v>1375.0688477000001</v>
      </c>
      <c r="I735">
        <v>1286.4483643000001</v>
      </c>
      <c r="J735">
        <v>1267.2952881000001</v>
      </c>
      <c r="K735">
        <v>80</v>
      </c>
      <c r="L735">
        <v>79.933372497999997</v>
      </c>
      <c r="M735">
        <v>50</v>
      </c>
      <c r="N735">
        <v>47.629741668999998</v>
      </c>
    </row>
    <row r="736" spans="1:14" x14ac:dyDescent="0.25">
      <c r="A736">
        <v>385.77811000000003</v>
      </c>
      <c r="B736" s="1">
        <f>DATE(2011,5,21) + TIME(18,40,28)</f>
        <v>40684.778101851851</v>
      </c>
      <c r="C736">
        <v>2400</v>
      </c>
      <c r="D736">
        <v>0</v>
      </c>
      <c r="E736">
        <v>0</v>
      </c>
      <c r="F736">
        <v>2400</v>
      </c>
      <c r="G736">
        <v>1389.0164795000001</v>
      </c>
      <c r="H736">
        <v>1374.9951172000001</v>
      </c>
      <c r="I736">
        <v>1286.4320068</v>
      </c>
      <c r="J736">
        <v>1267.2733154</v>
      </c>
      <c r="K736">
        <v>80</v>
      </c>
      <c r="L736">
        <v>79.933403014999996</v>
      </c>
      <c r="M736">
        <v>50</v>
      </c>
      <c r="N736">
        <v>47.581581116000002</v>
      </c>
    </row>
    <row r="737" spans="1:14" x14ac:dyDescent="0.25">
      <c r="A737">
        <v>386.28517499999998</v>
      </c>
      <c r="B737" s="1">
        <f>DATE(2011,5,22) + TIME(6,50,39)</f>
        <v>40685.285173611112</v>
      </c>
      <c r="C737">
        <v>2400</v>
      </c>
      <c r="D737">
        <v>0</v>
      </c>
      <c r="E737">
        <v>0</v>
      </c>
      <c r="F737">
        <v>2400</v>
      </c>
      <c r="G737">
        <v>1388.9394531</v>
      </c>
      <c r="H737">
        <v>1374.9212646000001</v>
      </c>
      <c r="I737">
        <v>1286.4152832</v>
      </c>
      <c r="J737">
        <v>1267.2507324000001</v>
      </c>
      <c r="K737">
        <v>80</v>
      </c>
      <c r="L737">
        <v>79.933433532999999</v>
      </c>
      <c r="M737">
        <v>50</v>
      </c>
      <c r="N737">
        <v>47.532642365000001</v>
      </c>
    </row>
    <row r="738" spans="1:14" x14ac:dyDescent="0.25">
      <c r="A738">
        <v>386.80525799999998</v>
      </c>
      <c r="B738" s="1">
        <f>DATE(2011,5,22) + TIME(19,19,34)</f>
        <v>40685.805254629631</v>
      </c>
      <c r="C738">
        <v>2400</v>
      </c>
      <c r="D738">
        <v>0</v>
      </c>
      <c r="E738">
        <v>0</v>
      </c>
      <c r="F738">
        <v>2400</v>
      </c>
      <c r="G738">
        <v>1388.8621826000001</v>
      </c>
      <c r="H738">
        <v>1374.8472899999999</v>
      </c>
      <c r="I738">
        <v>1286.3979492000001</v>
      </c>
      <c r="J738">
        <v>1267.2275391000001</v>
      </c>
      <c r="K738">
        <v>80</v>
      </c>
      <c r="L738">
        <v>79.933456421000002</v>
      </c>
      <c r="M738">
        <v>50</v>
      </c>
      <c r="N738">
        <v>47.482795715000002</v>
      </c>
    </row>
    <row r="739" spans="1:14" x14ac:dyDescent="0.25">
      <c r="A739">
        <v>387.34010899999998</v>
      </c>
      <c r="B739" s="1">
        <f>DATE(2011,5,23) + TIME(8,9,45)</f>
        <v>40686.340104166666</v>
      </c>
      <c r="C739">
        <v>2400</v>
      </c>
      <c r="D739">
        <v>0</v>
      </c>
      <c r="E739">
        <v>0</v>
      </c>
      <c r="F739">
        <v>2400</v>
      </c>
      <c r="G739">
        <v>1388.7845459</v>
      </c>
      <c r="H739">
        <v>1374.7728271000001</v>
      </c>
      <c r="I739">
        <v>1286.380249</v>
      </c>
      <c r="J739">
        <v>1267.2034911999999</v>
      </c>
      <c r="K739">
        <v>80</v>
      </c>
      <c r="L739">
        <v>79.933486938000001</v>
      </c>
      <c r="M739">
        <v>50</v>
      </c>
      <c r="N739">
        <v>47.431900024000001</v>
      </c>
    </row>
    <row r="740" spans="1:14" x14ac:dyDescent="0.25">
      <c r="A740">
        <v>387.89182699999998</v>
      </c>
      <c r="B740" s="1">
        <f>DATE(2011,5,23) + TIME(21,24,13)</f>
        <v>40686.891817129632</v>
      </c>
      <c r="C740">
        <v>2400</v>
      </c>
      <c r="D740">
        <v>0</v>
      </c>
      <c r="E740">
        <v>0</v>
      </c>
      <c r="F740">
        <v>2400</v>
      </c>
      <c r="G740">
        <v>1388.7061768000001</v>
      </c>
      <c r="H740">
        <v>1374.6977539</v>
      </c>
      <c r="I740">
        <v>1286.3618164</v>
      </c>
      <c r="J740">
        <v>1267.1787108999999</v>
      </c>
      <c r="K740">
        <v>80</v>
      </c>
      <c r="L740">
        <v>79.933517456000004</v>
      </c>
      <c r="M740">
        <v>50</v>
      </c>
      <c r="N740">
        <v>47.379791259999998</v>
      </c>
    </row>
    <row r="741" spans="1:14" x14ac:dyDescent="0.25">
      <c r="A741">
        <v>388.44849699999997</v>
      </c>
      <c r="B741" s="1">
        <f>DATE(2011,5,24) + TIME(10,45,50)</f>
        <v>40687.448495370372</v>
      </c>
      <c r="C741">
        <v>2400</v>
      </c>
      <c r="D741">
        <v>0</v>
      </c>
      <c r="E741">
        <v>0</v>
      </c>
      <c r="F741">
        <v>2400</v>
      </c>
      <c r="G741">
        <v>1388.6269531</v>
      </c>
      <c r="H741">
        <v>1374.6218262</v>
      </c>
      <c r="I741">
        <v>1286.3425293</v>
      </c>
      <c r="J741">
        <v>1267.1530762</v>
      </c>
      <c r="K741">
        <v>80</v>
      </c>
      <c r="L741">
        <v>79.933547974000007</v>
      </c>
      <c r="M741">
        <v>50</v>
      </c>
      <c r="N741">
        <v>47.327102660999998</v>
      </c>
    </row>
    <row r="742" spans="1:14" x14ac:dyDescent="0.25">
      <c r="A742">
        <v>389.01037100000002</v>
      </c>
      <c r="B742" s="1">
        <f>DATE(2011,5,25) + TIME(0,14,56)</f>
        <v>40688.010370370372</v>
      </c>
      <c r="C742">
        <v>2400</v>
      </c>
      <c r="D742">
        <v>0</v>
      </c>
      <c r="E742">
        <v>0</v>
      </c>
      <c r="F742">
        <v>2400</v>
      </c>
      <c r="G742">
        <v>1388.5487060999999</v>
      </c>
      <c r="H742">
        <v>1374.5467529</v>
      </c>
      <c r="I742">
        <v>1286.3231201000001</v>
      </c>
      <c r="J742">
        <v>1267.1268310999999</v>
      </c>
      <c r="K742">
        <v>80</v>
      </c>
      <c r="L742">
        <v>79.933578491000006</v>
      </c>
      <c r="M742">
        <v>50</v>
      </c>
      <c r="N742">
        <v>47.273952483999999</v>
      </c>
    </row>
    <row r="743" spans="1:14" x14ac:dyDescent="0.25">
      <c r="A743">
        <v>389.57900999999998</v>
      </c>
      <c r="B743" s="1">
        <f>DATE(2011,5,25) + TIME(13,53,46)</f>
        <v>40688.579004629632</v>
      </c>
      <c r="C743">
        <v>2400</v>
      </c>
      <c r="D743">
        <v>0</v>
      </c>
      <c r="E743">
        <v>0</v>
      </c>
      <c r="F743">
        <v>2400</v>
      </c>
      <c r="G743">
        <v>1388.4711914</v>
      </c>
      <c r="H743">
        <v>1374.4722899999999</v>
      </c>
      <c r="I743">
        <v>1286.3032227000001</v>
      </c>
      <c r="J743">
        <v>1267.1002197</v>
      </c>
      <c r="K743">
        <v>80</v>
      </c>
      <c r="L743">
        <v>79.933609008999994</v>
      </c>
      <c r="M743">
        <v>50</v>
      </c>
      <c r="N743">
        <v>47.220340729</v>
      </c>
    </row>
    <row r="744" spans="1:14" x14ac:dyDescent="0.25">
      <c r="A744">
        <v>390.15601199999998</v>
      </c>
      <c r="B744" s="1">
        <f>DATE(2011,5,26) + TIME(3,44,39)</f>
        <v>40689.156006944446</v>
      </c>
      <c r="C744">
        <v>2400</v>
      </c>
      <c r="D744">
        <v>0</v>
      </c>
      <c r="E744">
        <v>0</v>
      </c>
      <c r="F744">
        <v>2400</v>
      </c>
      <c r="G744">
        <v>1388.3942870999999</v>
      </c>
      <c r="H744">
        <v>1374.3984375</v>
      </c>
      <c r="I744">
        <v>1286.2830810999999</v>
      </c>
      <c r="J744">
        <v>1267.0731201000001</v>
      </c>
      <c r="K744">
        <v>80</v>
      </c>
      <c r="L744">
        <v>79.933647156000006</v>
      </c>
      <c r="M744">
        <v>50</v>
      </c>
      <c r="N744">
        <v>47.166198729999998</v>
      </c>
    </row>
    <row r="745" spans="1:14" x14ac:dyDescent="0.25">
      <c r="A745">
        <v>390.743042</v>
      </c>
      <c r="B745" s="1">
        <f>DATE(2011,5,26) + TIME(17,49,58)</f>
        <v>40689.743032407408</v>
      </c>
      <c r="C745">
        <v>2400</v>
      </c>
      <c r="D745">
        <v>0</v>
      </c>
      <c r="E745">
        <v>0</v>
      </c>
      <c r="F745">
        <v>2400</v>
      </c>
      <c r="G745">
        <v>1388.3176269999999</v>
      </c>
      <c r="H745">
        <v>1374.3249512</v>
      </c>
      <c r="I745">
        <v>1286.2624512</v>
      </c>
      <c r="J745">
        <v>1267.0452881000001</v>
      </c>
      <c r="K745">
        <v>80</v>
      </c>
      <c r="L745">
        <v>79.933677673000005</v>
      </c>
      <c r="M745">
        <v>50</v>
      </c>
      <c r="N745">
        <v>47.111431121999999</v>
      </c>
    </row>
    <row r="746" spans="1:14" x14ac:dyDescent="0.25">
      <c r="A746">
        <v>391.34093200000001</v>
      </c>
      <c r="B746" s="1">
        <f>DATE(2011,5,27) + TIME(8,10,56)</f>
        <v>40690.340925925928</v>
      </c>
      <c r="C746">
        <v>2400</v>
      </c>
      <c r="D746">
        <v>0</v>
      </c>
      <c r="E746">
        <v>0</v>
      </c>
      <c r="F746">
        <v>2400</v>
      </c>
      <c r="G746">
        <v>1388.2413329999999</v>
      </c>
      <c r="H746">
        <v>1374.2514647999999</v>
      </c>
      <c r="I746">
        <v>1286.2412108999999</v>
      </c>
      <c r="J746">
        <v>1267.0168457</v>
      </c>
      <c r="K746">
        <v>80</v>
      </c>
      <c r="L746">
        <v>79.933708190999994</v>
      </c>
      <c r="M746">
        <v>50</v>
      </c>
      <c r="N746">
        <v>47.055969238000003</v>
      </c>
    </row>
    <row r="747" spans="1:14" x14ac:dyDescent="0.25">
      <c r="A747">
        <v>391.944771</v>
      </c>
      <c r="B747" s="1">
        <f>DATE(2011,5,27) + TIME(22,40,28)</f>
        <v>40690.944768518515</v>
      </c>
      <c r="C747">
        <v>2400</v>
      </c>
      <c r="D747">
        <v>0</v>
      </c>
      <c r="E747">
        <v>0</v>
      </c>
      <c r="F747">
        <v>2400</v>
      </c>
      <c r="G747">
        <v>1388.1649170000001</v>
      </c>
      <c r="H747">
        <v>1374.1779785000001</v>
      </c>
      <c r="I747">
        <v>1286.2194824000001</v>
      </c>
      <c r="J747">
        <v>1266.9875488</v>
      </c>
      <c r="K747">
        <v>80</v>
      </c>
      <c r="L747">
        <v>79.933746338000006</v>
      </c>
      <c r="M747">
        <v>50</v>
      </c>
      <c r="N747">
        <v>47.000057220000002</v>
      </c>
    </row>
    <row r="748" spans="1:14" x14ac:dyDescent="0.25">
      <c r="A748">
        <v>392.55611800000003</v>
      </c>
      <c r="B748" s="1">
        <f>DATE(2011,5,28) + TIME(13,20,48)</f>
        <v>40691.556111111109</v>
      </c>
      <c r="C748">
        <v>2400</v>
      </c>
      <c r="D748">
        <v>0</v>
      </c>
      <c r="E748">
        <v>0</v>
      </c>
      <c r="F748">
        <v>2400</v>
      </c>
      <c r="G748">
        <v>1388.0892334</v>
      </c>
      <c r="H748">
        <v>1374.1052245999999</v>
      </c>
      <c r="I748">
        <v>1286.1973877</v>
      </c>
      <c r="J748">
        <v>1266.9576416</v>
      </c>
      <c r="K748">
        <v>80</v>
      </c>
      <c r="L748">
        <v>79.933784485000004</v>
      </c>
      <c r="M748">
        <v>50</v>
      </c>
      <c r="N748">
        <v>46.943664550999998</v>
      </c>
    </row>
    <row r="749" spans="1:14" x14ac:dyDescent="0.25">
      <c r="A749">
        <v>393.17654199999998</v>
      </c>
      <c r="B749" s="1">
        <f>DATE(2011,5,29) + TIME(4,14,13)</f>
        <v>40692.176539351851</v>
      </c>
      <c r="C749">
        <v>2400</v>
      </c>
      <c r="D749">
        <v>0</v>
      </c>
      <c r="E749">
        <v>0</v>
      </c>
      <c r="F749">
        <v>2400</v>
      </c>
      <c r="G749">
        <v>1388.0140381000001</v>
      </c>
      <c r="H749">
        <v>1374.0328368999999</v>
      </c>
      <c r="I749">
        <v>1286.1746826000001</v>
      </c>
      <c r="J749">
        <v>1266.9272461</v>
      </c>
      <c r="K749">
        <v>80</v>
      </c>
      <c r="L749">
        <v>79.933815002000003</v>
      </c>
      <c r="M749">
        <v>50</v>
      </c>
      <c r="N749">
        <v>46.886722564999999</v>
      </c>
    </row>
    <row r="750" spans="1:14" x14ac:dyDescent="0.25">
      <c r="A750">
        <v>393.80769500000002</v>
      </c>
      <c r="B750" s="1">
        <f>DATE(2011,5,29) + TIME(19,23,4)</f>
        <v>40692.807685185187</v>
      </c>
      <c r="C750">
        <v>2400</v>
      </c>
      <c r="D750">
        <v>0</v>
      </c>
      <c r="E750">
        <v>0</v>
      </c>
      <c r="F750">
        <v>2400</v>
      </c>
      <c r="G750">
        <v>1387.9390868999999</v>
      </c>
      <c r="H750">
        <v>1373.9606934000001</v>
      </c>
      <c r="I750">
        <v>1286.1516113</v>
      </c>
      <c r="J750">
        <v>1266.895874</v>
      </c>
      <c r="K750">
        <v>80</v>
      </c>
      <c r="L750">
        <v>79.933853149000001</v>
      </c>
      <c r="M750">
        <v>50</v>
      </c>
      <c r="N750">
        <v>46.829128265000001</v>
      </c>
    </row>
    <row r="751" spans="1:14" x14ac:dyDescent="0.25">
      <c r="A751">
        <v>394.45135299999998</v>
      </c>
      <c r="B751" s="1">
        <f>DATE(2011,5,30) + TIME(10,49,56)</f>
        <v>40693.451342592591</v>
      </c>
      <c r="C751">
        <v>2400</v>
      </c>
      <c r="D751">
        <v>0</v>
      </c>
      <c r="E751">
        <v>0</v>
      </c>
      <c r="F751">
        <v>2400</v>
      </c>
      <c r="G751">
        <v>1387.8642577999999</v>
      </c>
      <c r="H751">
        <v>1373.8885498</v>
      </c>
      <c r="I751">
        <v>1286.1278076000001</v>
      </c>
      <c r="J751">
        <v>1266.8637695</v>
      </c>
      <c r="K751">
        <v>80</v>
      </c>
      <c r="L751">
        <v>79.933891295999999</v>
      </c>
      <c r="M751">
        <v>50</v>
      </c>
      <c r="N751">
        <v>46.770748138000002</v>
      </c>
    </row>
    <row r="752" spans="1:14" x14ac:dyDescent="0.25">
      <c r="A752">
        <v>395.10942699999998</v>
      </c>
      <c r="B752" s="1">
        <f>DATE(2011,5,31) + TIME(2,37,34)</f>
        <v>40694.1094212963</v>
      </c>
      <c r="C752">
        <v>2400</v>
      </c>
      <c r="D752">
        <v>0</v>
      </c>
      <c r="E752">
        <v>0</v>
      </c>
      <c r="F752">
        <v>2400</v>
      </c>
      <c r="G752">
        <v>1387.7893065999999</v>
      </c>
      <c r="H752">
        <v>1373.8162841999999</v>
      </c>
      <c r="I752">
        <v>1286.1032714999999</v>
      </c>
      <c r="J752">
        <v>1266.8306885</v>
      </c>
      <c r="K752">
        <v>80</v>
      </c>
      <c r="L752">
        <v>79.933937072999996</v>
      </c>
      <c r="M752">
        <v>50</v>
      </c>
      <c r="N752">
        <v>46.711444855000003</v>
      </c>
    </row>
    <row r="753" spans="1:14" x14ac:dyDescent="0.25">
      <c r="A753">
        <v>395.78401500000001</v>
      </c>
      <c r="B753" s="1">
        <f>DATE(2011,5,31) + TIME(18,48,58)</f>
        <v>40694.784004629626</v>
      </c>
      <c r="C753">
        <v>2400</v>
      </c>
      <c r="D753">
        <v>0</v>
      </c>
      <c r="E753">
        <v>0</v>
      </c>
      <c r="F753">
        <v>2400</v>
      </c>
      <c r="G753">
        <v>1387.7139893000001</v>
      </c>
      <c r="H753">
        <v>1373.7436522999999</v>
      </c>
      <c r="I753">
        <v>1286.078125</v>
      </c>
      <c r="J753">
        <v>1266.7965088000001</v>
      </c>
      <c r="K753">
        <v>80</v>
      </c>
      <c r="L753">
        <v>79.933975219999994</v>
      </c>
      <c r="M753">
        <v>50</v>
      </c>
      <c r="N753">
        <v>46.651050568000002</v>
      </c>
    </row>
    <row r="754" spans="1:14" x14ac:dyDescent="0.25">
      <c r="A754">
        <v>396</v>
      </c>
      <c r="B754" s="1">
        <f>DATE(2011,6,1) + TIME(0,0,0)</f>
        <v>40695</v>
      </c>
      <c r="C754">
        <v>2400</v>
      </c>
      <c r="D754">
        <v>0</v>
      </c>
      <c r="E754">
        <v>0</v>
      </c>
      <c r="F754">
        <v>2400</v>
      </c>
      <c r="G754">
        <v>1387.6385498</v>
      </c>
      <c r="H754">
        <v>1373.6707764</v>
      </c>
      <c r="I754">
        <v>1286.0482178</v>
      </c>
      <c r="J754">
        <v>1266.7648925999999</v>
      </c>
      <c r="K754">
        <v>80</v>
      </c>
      <c r="L754">
        <v>79.933982849000003</v>
      </c>
      <c r="M754">
        <v>50</v>
      </c>
      <c r="N754">
        <v>46.623493195000002</v>
      </c>
    </row>
    <row r="755" spans="1:14" x14ac:dyDescent="0.25">
      <c r="A755">
        <v>396.68444499999998</v>
      </c>
      <c r="B755" s="1">
        <f>DATE(2011,6,1) + TIME(16,25,36)</f>
        <v>40695.684444444443</v>
      </c>
      <c r="C755">
        <v>2400</v>
      </c>
      <c r="D755">
        <v>0</v>
      </c>
      <c r="E755">
        <v>0</v>
      </c>
      <c r="F755">
        <v>2400</v>
      </c>
      <c r="G755">
        <v>1387.6140137</v>
      </c>
      <c r="H755">
        <v>1373.6472168</v>
      </c>
      <c r="I755">
        <v>1286.0435791</v>
      </c>
      <c r="J755">
        <v>1266.7487793</v>
      </c>
      <c r="K755">
        <v>80</v>
      </c>
      <c r="L755">
        <v>79.934028624999996</v>
      </c>
      <c r="M755">
        <v>50</v>
      </c>
      <c r="N755">
        <v>46.565792084000002</v>
      </c>
    </row>
    <row r="756" spans="1:14" x14ac:dyDescent="0.25">
      <c r="A756">
        <v>397.37697100000003</v>
      </c>
      <c r="B756" s="1">
        <f>DATE(2011,6,2) + TIME(9,2,50)</f>
        <v>40696.376967592594</v>
      </c>
      <c r="C756">
        <v>2400</v>
      </c>
      <c r="D756">
        <v>0</v>
      </c>
      <c r="E756">
        <v>0</v>
      </c>
      <c r="F756">
        <v>2400</v>
      </c>
      <c r="G756">
        <v>1387.5393065999999</v>
      </c>
      <c r="H756">
        <v>1373.5749512</v>
      </c>
      <c r="I756">
        <v>1286.0166016000001</v>
      </c>
      <c r="J756">
        <v>1266.7127685999999</v>
      </c>
      <c r="K756">
        <v>80</v>
      </c>
      <c r="L756">
        <v>79.934074401999993</v>
      </c>
      <c r="M756">
        <v>50</v>
      </c>
      <c r="N756">
        <v>46.505939484000002</v>
      </c>
    </row>
    <row r="757" spans="1:14" x14ac:dyDescent="0.25">
      <c r="A757">
        <v>398.07730199999997</v>
      </c>
      <c r="B757" s="1">
        <f>DATE(2011,6,3) + TIME(1,51,18)</f>
        <v>40697.077291666668</v>
      </c>
      <c r="C757">
        <v>2400</v>
      </c>
      <c r="D757">
        <v>0</v>
      </c>
      <c r="E757">
        <v>0</v>
      </c>
      <c r="F757">
        <v>2400</v>
      </c>
      <c r="G757">
        <v>1387.4647216999999</v>
      </c>
      <c r="H757">
        <v>1373.5029297000001</v>
      </c>
      <c r="I757">
        <v>1285.9888916</v>
      </c>
      <c r="J757">
        <v>1266.6756591999999</v>
      </c>
      <c r="K757">
        <v>80</v>
      </c>
      <c r="L757">
        <v>79.934120178000001</v>
      </c>
      <c r="M757">
        <v>50</v>
      </c>
      <c r="N757">
        <v>46.444664001</v>
      </c>
    </row>
    <row r="758" spans="1:14" x14ac:dyDescent="0.25">
      <c r="A758">
        <v>398.78617600000001</v>
      </c>
      <c r="B758" s="1">
        <f>DATE(2011,6,3) + TIME(18,52,5)</f>
        <v>40697.786168981482</v>
      </c>
      <c r="C758">
        <v>2400</v>
      </c>
      <c r="D758">
        <v>0</v>
      </c>
      <c r="E758">
        <v>0</v>
      </c>
      <c r="F758">
        <v>2400</v>
      </c>
      <c r="G758">
        <v>1387.390625</v>
      </c>
      <c r="H758">
        <v>1373.4312743999999</v>
      </c>
      <c r="I758">
        <v>1285.9606934000001</v>
      </c>
      <c r="J758">
        <v>1266.6375731999999</v>
      </c>
      <c r="K758">
        <v>80</v>
      </c>
      <c r="L758">
        <v>79.934165954999997</v>
      </c>
      <c r="M758">
        <v>50</v>
      </c>
      <c r="N758">
        <v>46.382343292000002</v>
      </c>
    </row>
    <row r="759" spans="1:14" x14ac:dyDescent="0.25">
      <c r="A759">
        <v>399.50554499999998</v>
      </c>
      <c r="B759" s="1">
        <f>DATE(2011,6,4) + TIME(12,7,59)</f>
        <v>40698.505543981482</v>
      </c>
      <c r="C759">
        <v>2400</v>
      </c>
      <c r="D759">
        <v>0</v>
      </c>
      <c r="E759">
        <v>0</v>
      </c>
      <c r="F759">
        <v>2400</v>
      </c>
      <c r="G759">
        <v>1387.3168945</v>
      </c>
      <c r="H759">
        <v>1373.3599853999999</v>
      </c>
      <c r="I759">
        <v>1285.9317627</v>
      </c>
      <c r="J759">
        <v>1266.5983887</v>
      </c>
      <c r="K759">
        <v>80</v>
      </c>
      <c r="L759">
        <v>79.934211731000005</v>
      </c>
      <c r="M759">
        <v>50</v>
      </c>
      <c r="N759">
        <v>46.319099426000001</v>
      </c>
    </row>
    <row r="760" spans="1:14" x14ac:dyDescent="0.25">
      <c r="A760">
        <v>400.23744499999998</v>
      </c>
      <c r="B760" s="1">
        <f>DATE(2011,6,5) + TIME(5,41,55)</f>
        <v>40699.237442129626</v>
      </c>
      <c r="C760">
        <v>2400</v>
      </c>
      <c r="D760">
        <v>0</v>
      </c>
      <c r="E760">
        <v>0</v>
      </c>
      <c r="F760">
        <v>2400</v>
      </c>
      <c r="G760">
        <v>1387.2432861</v>
      </c>
      <c r="H760">
        <v>1373.2888184000001</v>
      </c>
      <c r="I760">
        <v>1285.9022216999999</v>
      </c>
      <c r="J760">
        <v>1266.5581055</v>
      </c>
      <c r="K760">
        <v>80</v>
      </c>
      <c r="L760">
        <v>79.934257506999998</v>
      </c>
      <c r="M760">
        <v>50</v>
      </c>
      <c r="N760">
        <v>46.254924774000003</v>
      </c>
    </row>
    <row r="761" spans="1:14" x14ac:dyDescent="0.25">
      <c r="A761">
        <v>400.98404399999998</v>
      </c>
      <c r="B761" s="1">
        <f>DATE(2011,6,5) + TIME(23,37,1)</f>
        <v>40699.984039351853</v>
      </c>
      <c r="C761">
        <v>2400</v>
      </c>
      <c r="D761">
        <v>0</v>
      </c>
      <c r="E761">
        <v>0</v>
      </c>
      <c r="F761">
        <v>2400</v>
      </c>
      <c r="G761">
        <v>1387.1697998</v>
      </c>
      <c r="H761">
        <v>1373.2176514</v>
      </c>
      <c r="I761">
        <v>1285.8717041</v>
      </c>
      <c r="J761">
        <v>1266.5166016000001</v>
      </c>
      <c r="K761">
        <v>80</v>
      </c>
      <c r="L761">
        <v>79.934303283999995</v>
      </c>
      <c r="M761">
        <v>50</v>
      </c>
      <c r="N761">
        <v>46.189727783000002</v>
      </c>
    </row>
    <row r="762" spans="1:14" x14ac:dyDescent="0.25">
      <c r="A762">
        <v>401.74767900000001</v>
      </c>
      <c r="B762" s="1">
        <f>DATE(2011,6,6) + TIME(17,56,39)</f>
        <v>40700.747673611113</v>
      </c>
      <c r="C762">
        <v>2400</v>
      </c>
      <c r="D762">
        <v>0</v>
      </c>
      <c r="E762">
        <v>0</v>
      </c>
      <c r="F762">
        <v>2400</v>
      </c>
      <c r="G762">
        <v>1387.0960693</v>
      </c>
      <c r="H762">
        <v>1373.1462402</v>
      </c>
      <c r="I762">
        <v>1285.8402100000001</v>
      </c>
      <c r="J762">
        <v>1266.4736327999999</v>
      </c>
      <c r="K762">
        <v>80</v>
      </c>
      <c r="L762">
        <v>79.934356688999998</v>
      </c>
      <c r="M762">
        <v>50</v>
      </c>
      <c r="N762">
        <v>46.123367309999999</v>
      </c>
    </row>
    <row r="763" spans="1:14" x14ac:dyDescent="0.25">
      <c r="A763">
        <v>402.52522900000002</v>
      </c>
      <c r="B763" s="1">
        <f>DATE(2011,6,7) + TIME(12,36,19)</f>
        <v>40701.525219907409</v>
      </c>
      <c r="C763">
        <v>2400</v>
      </c>
      <c r="D763">
        <v>0</v>
      </c>
      <c r="E763">
        <v>0</v>
      </c>
      <c r="F763">
        <v>2400</v>
      </c>
      <c r="G763">
        <v>1387.0219727000001</v>
      </c>
      <c r="H763">
        <v>1373.0743408000001</v>
      </c>
      <c r="I763">
        <v>1285.8074951000001</v>
      </c>
      <c r="J763">
        <v>1266.4290771000001</v>
      </c>
      <c r="K763">
        <v>80</v>
      </c>
      <c r="L763">
        <v>79.934402465999995</v>
      </c>
      <c r="M763">
        <v>50</v>
      </c>
      <c r="N763">
        <v>46.055923462000003</v>
      </c>
    </row>
    <row r="764" spans="1:14" x14ac:dyDescent="0.25">
      <c r="A764">
        <v>403.31428499999998</v>
      </c>
      <c r="B764" s="1">
        <f>DATE(2011,6,8) + TIME(7,32,34)</f>
        <v>40702.314282407409</v>
      </c>
      <c r="C764">
        <v>2400</v>
      </c>
      <c r="D764">
        <v>0</v>
      </c>
      <c r="E764">
        <v>0</v>
      </c>
      <c r="F764">
        <v>2400</v>
      </c>
      <c r="G764">
        <v>1386.9477539</v>
      </c>
      <c r="H764">
        <v>1373.0023193</v>
      </c>
      <c r="I764">
        <v>1285.7738036999999</v>
      </c>
      <c r="J764">
        <v>1266.3830565999999</v>
      </c>
      <c r="K764">
        <v>80</v>
      </c>
      <c r="L764">
        <v>79.934455872000001</v>
      </c>
      <c r="M764">
        <v>50</v>
      </c>
      <c r="N764">
        <v>45.987525939999998</v>
      </c>
    </row>
    <row r="765" spans="1:14" x14ac:dyDescent="0.25">
      <c r="A765">
        <v>404.11707999999999</v>
      </c>
      <c r="B765" s="1">
        <f>DATE(2011,6,9) + TIME(2,48,35)</f>
        <v>40703.117071759261</v>
      </c>
      <c r="C765">
        <v>2400</v>
      </c>
      <c r="D765">
        <v>0</v>
      </c>
      <c r="E765">
        <v>0</v>
      </c>
      <c r="F765">
        <v>2400</v>
      </c>
      <c r="G765">
        <v>1386.8736572</v>
      </c>
      <c r="H765">
        <v>1372.9305420000001</v>
      </c>
      <c r="I765">
        <v>1285.7392577999999</v>
      </c>
      <c r="J765">
        <v>1266.3356934000001</v>
      </c>
      <c r="K765">
        <v>80</v>
      </c>
      <c r="L765">
        <v>79.934509277000004</v>
      </c>
      <c r="M765">
        <v>50</v>
      </c>
      <c r="N765">
        <v>45.918132782000001</v>
      </c>
    </row>
    <row r="766" spans="1:14" x14ac:dyDescent="0.25">
      <c r="A766">
        <v>404.92247900000001</v>
      </c>
      <c r="B766" s="1">
        <f>DATE(2011,6,9) + TIME(22,8,22)</f>
        <v>40703.922476851854</v>
      </c>
      <c r="C766">
        <v>2400</v>
      </c>
      <c r="D766">
        <v>0</v>
      </c>
      <c r="E766">
        <v>0</v>
      </c>
      <c r="F766">
        <v>2400</v>
      </c>
      <c r="G766">
        <v>1386.7996826000001</v>
      </c>
      <c r="H766">
        <v>1372.8586425999999</v>
      </c>
      <c r="I766">
        <v>1285.7034911999999</v>
      </c>
      <c r="J766">
        <v>1266.2868652</v>
      </c>
      <c r="K766">
        <v>80</v>
      </c>
      <c r="L766">
        <v>79.934562682999996</v>
      </c>
      <c r="M766">
        <v>50</v>
      </c>
      <c r="N766">
        <v>45.848220824999999</v>
      </c>
    </row>
    <row r="767" spans="1:14" x14ac:dyDescent="0.25">
      <c r="A767">
        <v>405.73102899999998</v>
      </c>
      <c r="B767" s="1">
        <f>DATE(2011,6,10) + TIME(17,32,40)</f>
        <v>40704.73101851852</v>
      </c>
      <c r="C767">
        <v>2400</v>
      </c>
      <c r="D767">
        <v>0</v>
      </c>
      <c r="E767">
        <v>0</v>
      </c>
      <c r="F767">
        <v>2400</v>
      </c>
      <c r="G767">
        <v>1386.7265625</v>
      </c>
      <c r="H767">
        <v>1372.7875977000001</v>
      </c>
      <c r="I767">
        <v>1285.6671143000001</v>
      </c>
      <c r="J767">
        <v>1266.2369385</v>
      </c>
      <c r="K767">
        <v>80</v>
      </c>
      <c r="L767">
        <v>79.934616089000002</v>
      </c>
      <c r="M767">
        <v>50</v>
      </c>
      <c r="N767">
        <v>45.777976989999999</v>
      </c>
    </row>
    <row r="768" spans="1:14" x14ac:dyDescent="0.25">
      <c r="A768">
        <v>406.54521499999998</v>
      </c>
      <c r="B768" s="1">
        <f>DATE(2011,6,11) + TIME(13,5,6)</f>
        <v>40705.545208333337</v>
      </c>
      <c r="C768">
        <v>2400</v>
      </c>
      <c r="D768">
        <v>0</v>
      </c>
      <c r="E768">
        <v>0</v>
      </c>
      <c r="F768">
        <v>2400</v>
      </c>
      <c r="G768">
        <v>1386.6544189000001</v>
      </c>
      <c r="H768">
        <v>1372.7174072</v>
      </c>
      <c r="I768">
        <v>1285.6301269999999</v>
      </c>
      <c r="J768">
        <v>1266.1860352000001</v>
      </c>
      <c r="K768">
        <v>80</v>
      </c>
      <c r="L768">
        <v>79.934669494999994</v>
      </c>
      <c r="M768">
        <v>50</v>
      </c>
      <c r="N768">
        <v>45.707374573000003</v>
      </c>
    </row>
    <row r="769" spans="1:14" x14ac:dyDescent="0.25">
      <c r="A769">
        <v>407.36747100000002</v>
      </c>
      <c r="B769" s="1">
        <f>DATE(2011,6,12) + TIME(8,49,9)</f>
        <v>40706.367465277777</v>
      </c>
      <c r="C769">
        <v>2400</v>
      </c>
      <c r="D769">
        <v>0</v>
      </c>
      <c r="E769">
        <v>0</v>
      </c>
      <c r="F769">
        <v>2400</v>
      </c>
      <c r="G769">
        <v>1386.5828856999999</v>
      </c>
      <c r="H769">
        <v>1372.6479492000001</v>
      </c>
      <c r="I769">
        <v>1285.5922852000001</v>
      </c>
      <c r="J769">
        <v>1266.1340332</v>
      </c>
      <c r="K769">
        <v>80</v>
      </c>
      <c r="L769">
        <v>79.934730529999996</v>
      </c>
      <c r="M769">
        <v>50</v>
      </c>
      <c r="N769">
        <v>45.636291503999999</v>
      </c>
    </row>
    <row r="770" spans="1:14" x14ac:dyDescent="0.25">
      <c r="A770">
        <v>408.20000399999998</v>
      </c>
      <c r="B770" s="1">
        <f>DATE(2011,6,13) + TIME(4,48,0)</f>
        <v>40707.199999999997</v>
      </c>
      <c r="C770">
        <v>2400</v>
      </c>
      <c r="D770">
        <v>0</v>
      </c>
      <c r="E770">
        <v>0</v>
      </c>
      <c r="F770">
        <v>2400</v>
      </c>
      <c r="G770">
        <v>1386.5118408000001</v>
      </c>
      <c r="H770">
        <v>1372.5787353999999</v>
      </c>
      <c r="I770">
        <v>1285.5535889</v>
      </c>
      <c r="J770">
        <v>1266.0805664</v>
      </c>
      <c r="K770">
        <v>80</v>
      </c>
      <c r="L770">
        <v>79.934783936000002</v>
      </c>
      <c r="M770">
        <v>50</v>
      </c>
      <c r="N770">
        <v>45.564567566000001</v>
      </c>
    </row>
    <row r="771" spans="1:14" x14ac:dyDescent="0.25">
      <c r="A771">
        <v>409.04510199999999</v>
      </c>
      <c r="B771" s="1">
        <f>DATE(2011,6,14) + TIME(1,4,56)</f>
        <v>40708.045092592591</v>
      </c>
      <c r="C771">
        <v>2400</v>
      </c>
      <c r="D771">
        <v>0</v>
      </c>
      <c r="E771">
        <v>0</v>
      </c>
      <c r="F771">
        <v>2400</v>
      </c>
      <c r="G771">
        <v>1386.4410399999999</v>
      </c>
      <c r="H771">
        <v>1372.5097656</v>
      </c>
      <c r="I771">
        <v>1285.5137939000001</v>
      </c>
      <c r="J771">
        <v>1266.0255127</v>
      </c>
      <c r="K771">
        <v>80</v>
      </c>
      <c r="L771">
        <v>79.934844971000004</v>
      </c>
      <c r="M771">
        <v>50</v>
      </c>
      <c r="N771">
        <v>45.492019653</v>
      </c>
    </row>
    <row r="772" spans="1:14" x14ac:dyDescent="0.25">
      <c r="A772">
        <v>409.90517199999999</v>
      </c>
      <c r="B772" s="1">
        <f>DATE(2011,6,14) + TIME(21,43,26)</f>
        <v>40708.905162037037</v>
      </c>
      <c r="C772">
        <v>2400</v>
      </c>
      <c r="D772">
        <v>0</v>
      </c>
      <c r="E772">
        <v>0</v>
      </c>
      <c r="F772">
        <v>2400</v>
      </c>
      <c r="G772">
        <v>1386.3703613</v>
      </c>
      <c r="H772">
        <v>1372.440918</v>
      </c>
      <c r="I772">
        <v>1285.4729004000001</v>
      </c>
      <c r="J772">
        <v>1265.96875</v>
      </c>
      <c r="K772">
        <v>80</v>
      </c>
      <c r="L772">
        <v>79.934898376000007</v>
      </c>
      <c r="M772">
        <v>50</v>
      </c>
      <c r="N772">
        <v>45.418445587000001</v>
      </c>
    </row>
    <row r="773" spans="1:14" x14ac:dyDescent="0.25">
      <c r="A773">
        <v>410.78278599999999</v>
      </c>
      <c r="B773" s="1">
        <f>DATE(2011,6,15) + TIME(18,47,12)</f>
        <v>40709.782777777778</v>
      </c>
      <c r="C773">
        <v>2400</v>
      </c>
      <c r="D773">
        <v>0</v>
      </c>
      <c r="E773">
        <v>0</v>
      </c>
      <c r="F773">
        <v>2400</v>
      </c>
      <c r="G773">
        <v>1386.2994385</v>
      </c>
      <c r="H773">
        <v>1372.3718262</v>
      </c>
      <c r="I773">
        <v>1285.4305420000001</v>
      </c>
      <c r="J773">
        <v>1265.9100341999999</v>
      </c>
      <c r="K773">
        <v>80</v>
      </c>
      <c r="L773">
        <v>79.934959411999998</v>
      </c>
      <c r="M773">
        <v>50</v>
      </c>
      <c r="N773">
        <v>45.343620299999998</v>
      </c>
    </row>
    <row r="774" spans="1:14" x14ac:dyDescent="0.25">
      <c r="A774">
        <v>411.68073399999997</v>
      </c>
      <c r="B774" s="1">
        <f>DATE(2011,6,16) + TIME(16,20,15)</f>
        <v>40710.68072916667</v>
      </c>
      <c r="C774">
        <v>2400</v>
      </c>
      <c r="D774">
        <v>0</v>
      </c>
      <c r="E774">
        <v>0</v>
      </c>
      <c r="F774">
        <v>2400</v>
      </c>
      <c r="G774">
        <v>1386.2282714999999</v>
      </c>
      <c r="H774">
        <v>1372.3023682</v>
      </c>
      <c r="I774">
        <v>1285.3868408000001</v>
      </c>
      <c r="J774">
        <v>1265.8491211</v>
      </c>
      <c r="K774">
        <v>80</v>
      </c>
      <c r="L774">
        <v>79.935020446999999</v>
      </c>
      <c r="M774">
        <v>50</v>
      </c>
      <c r="N774">
        <v>45.267307281000001</v>
      </c>
    </row>
    <row r="775" spans="1:14" x14ac:dyDescent="0.25">
      <c r="A775">
        <v>412.60224699999998</v>
      </c>
      <c r="B775" s="1">
        <f>DATE(2011,6,17) + TIME(14,27,14)</f>
        <v>40711.60224537037</v>
      </c>
      <c r="C775">
        <v>2400</v>
      </c>
      <c r="D775">
        <v>0</v>
      </c>
      <c r="E775">
        <v>0</v>
      </c>
      <c r="F775">
        <v>2400</v>
      </c>
      <c r="G775">
        <v>1386.1566161999999</v>
      </c>
      <c r="H775">
        <v>1372.2322998</v>
      </c>
      <c r="I775">
        <v>1285.3413086</v>
      </c>
      <c r="J775">
        <v>1265.7856445</v>
      </c>
      <c r="K775">
        <v>80</v>
      </c>
      <c r="L775">
        <v>79.935089110999996</v>
      </c>
      <c r="M775">
        <v>50</v>
      </c>
      <c r="N775">
        <v>45.189231872999997</v>
      </c>
    </row>
    <row r="776" spans="1:14" x14ac:dyDescent="0.25">
      <c r="A776">
        <v>413.53514100000001</v>
      </c>
      <c r="B776" s="1">
        <f>DATE(2011,6,18) + TIME(12,50,36)</f>
        <v>40712.535138888888</v>
      </c>
      <c r="C776">
        <v>2400</v>
      </c>
      <c r="D776">
        <v>0</v>
      </c>
      <c r="E776">
        <v>0</v>
      </c>
      <c r="F776">
        <v>2400</v>
      </c>
      <c r="G776">
        <v>1386.0841064000001</v>
      </c>
      <c r="H776">
        <v>1372.161499</v>
      </c>
      <c r="I776">
        <v>1285.2938231999999</v>
      </c>
      <c r="J776">
        <v>1265.7194824000001</v>
      </c>
      <c r="K776">
        <v>80</v>
      </c>
      <c r="L776">
        <v>79.935150145999998</v>
      </c>
      <c r="M776">
        <v>50</v>
      </c>
      <c r="N776">
        <v>45.109752655000001</v>
      </c>
    </row>
    <row r="777" spans="1:14" x14ac:dyDescent="0.25">
      <c r="A777">
        <v>414.46842199999998</v>
      </c>
      <c r="B777" s="1">
        <f>DATE(2011,6,19) + TIME(11,14,31)</f>
        <v>40713.468414351853</v>
      </c>
      <c r="C777">
        <v>2400</v>
      </c>
      <c r="D777">
        <v>0</v>
      </c>
      <c r="E777">
        <v>0</v>
      </c>
      <c r="F777">
        <v>2400</v>
      </c>
      <c r="G777">
        <v>1386.0119629000001</v>
      </c>
      <c r="H777">
        <v>1372.0909423999999</v>
      </c>
      <c r="I777">
        <v>1285.2448730000001</v>
      </c>
      <c r="J777">
        <v>1265.6512451000001</v>
      </c>
      <c r="K777">
        <v>80</v>
      </c>
      <c r="L777">
        <v>79.935218810999999</v>
      </c>
      <c r="M777">
        <v>50</v>
      </c>
      <c r="N777">
        <v>45.029506683000001</v>
      </c>
    </row>
    <row r="778" spans="1:14" x14ac:dyDescent="0.25">
      <c r="A778">
        <v>415.40438699999999</v>
      </c>
      <c r="B778" s="1">
        <f>DATE(2011,6,20) + TIME(9,42,19)</f>
        <v>40714.404386574075</v>
      </c>
      <c r="C778">
        <v>2400</v>
      </c>
      <c r="D778">
        <v>0</v>
      </c>
      <c r="E778">
        <v>0</v>
      </c>
      <c r="F778">
        <v>2400</v>
      </c>
      <c r="G778">
        <v>1385.9407959</v>
      </c>
      <c r="H778">
        <v>1372.0213623</v>
      </c>
      <c r="I778">
        <v>1285.1951904</v>
      </c>
      <c r="J778">
        <v>1265.5816649999999</v>
      </c>
      <c r="K778">
        <v>80</v>
      </c>
      <c r="L778">
        <v>79.935279846</v>
      </c>
      <c r="M778">
        <v>50</v>
      </c>
      <c r="N778">
        <v>44.948730468999997</v>
      </c>
    </row>
    <row r="779" spans="1:14" x14ac:dyDescent="0.25">
      <c r="A779">
        <v>416.345461</v>
      </c>
      <c r="B779" s="1">
        <f>DATE(2011,6,21) + TIME(8,17,27)</f>
        <v>40715.345451388886</v>
      </c>
      <c r="C779">
        <v>2400</v>
      </c>
      <c r="D779">
        <v>0</v>
      </c>
      <c r="E779">
        <v>0</v>
      </c>
      <c r="F779">
        <v>2400</v>
      </c>
      <c r="G779">
        <v>1385.8706055</v>
      </c>
      <c r="H779">
        <v>1371.9526367000001</v>
      </c>
      <c r="I779">
        <v>1285.1445312000001</v>
      </c>
      <c r="J779">
        <v>1265.5104980000001</v>
      </c>
      <c r="K779">
        <v>80</v>
      </c>
      <c r="L779">
        <v>79.935348511000001</v>
      </c>
      <c r="M779">
        <v>50</v>
      </c>
      <c r="N779">
        <v>44.867408752000003</v>
      </c>
    </row>
    <row r="780" spans="1:14" x14ac:dyDescent="0.25">
      <c r="A780">
        <v>417.29411599999997</v>
      </c>
      <c r="B780" s="1">
        <f>DATE(2011,6,22) + TIME(7,3,31)</f>
        <v>40716.294108796297</v>
      </c>
      <c r="C780">
        <v>2400</v>
      </c>
      <c r="D780">
        <v>0</v>
      </c>
      <c r="E780">
        <v>0</v>
      </c>
      <c r="F780">
        <v>2400</v>
      </c>
      <c r="G780">
        <v>1385.8010254000001</v>
      </c>
      <c r="H780">
        <v>1371.8845214999999</v>
      </c>
      <c r="I780">
        <v>1285.0927733999999</v>
      </c>
      <c r="J780">
        <v>1265.4375</v>
      </c>
      <c r="K780">
        <v>80</v>
      </c>
      <c r="L780">
        <v>79.935409546000002</v>
      </c>
      <c r="M780">
        <v>50</v>
      </c>
      <c r="N780">
        <v>44.785419464</v>
      </c>
    </row>
    <row r="781" spans="1:14" x14ac:dyDescent="0.25">
      <c r="A781">
        <v>418.253219</v>
      </c>
      <c r="B781" s="1">
        <f>DATE(2011,6,23) + TIME(6,4,38)</f>
        <v>40717.253217592595</v>
      </c>
      <c r="C781">
        <v>2400</v>
      </c>
      <c r="D781">
        <v>0</v>
      </c>
      <c r="E781">
        <v>0</v>
      </c>
      <c r="F781">
        <v>2400</v>
      </c>
      <c r="G781">
        <v>1385.7319336</v>
      </c>
      <c r="H781">
        <v>1371.8167725000001</v>
      </c>
      <c r="I781">
        <v>1285.0397949000001</v>
      </c>
      <c r="J781">
        <v>1265.3626709</v>
      </c>
      <c r="K781">
        <v>80</v>
      </c>
      <c r="L781">
        <v>79.935478209999999</v>
      </c>
      <c r="M781">
        <v>50</v>
      </c>
      <c r="N781">
        <v>44.702560425000001</v>
      </c>
    </row>
    <row r="782" spans="1:14" x14ac:dyDescent="0.25">
      <c r="A782">
        <v>419.22603199999998</v>
      </c>
      <c r="B782" s="1">
        <f>DATE(2011,6,24) + TIME(5,25,29)</f>
        <v>40718.226030092592</v>
      </c>
      <c r="C782">
        <v>2400</v>
      </c>
      <c r="D782">
        <v>0</v>
      </c>
      <c r="E782">
        <v>0</v>
      </c>
      <c r="F782">
        <v>2400</v>
      </c>
      <c r="G782">
        <v>1385.6630858999999</v>
      </c>
      <c r="H782">
        <v>1371.7492675999999</v>
      </c>
      <c r="I782">
        <v>1284.9853516000001</v>
      </c>
      <c r="J782">
        <v>1265.2855225000001</v>
      </c>
      <c r="K782">
        <v>80</v>
      </c>
      <c r="L782">
        <v>79.935546875</v>
      </c>
      <c r="M782">
        <v>50</v>
      </c>
      <c r="N782">
        <v>44.618564606</v>
      </c>
    </row>
    <row r="783" spans="1:14" x14ac:dyDescent="0.25">
      <c r="A783">
        <v>420.215284</v>
      </c>
      <c r="B783" s="1">
        <f>DATE(2011,6,25) + TIME(5,10,0)</f>
        <v>40719.215277777781</v>
      </c>
      <c r="C783">
        <v>2400</v>
      </c>
      <c r="D783">
        <v>0</v>
      </c>
      <c r="E783">
        <v>0</v>
      </c>
      <c r="F783">
        <v>2400</v>
      </c>
      <c r="G783">
        <v>1385.5942382999999</v>
      </c>
      <c r="H783">
        <v>1371.6817627</v>
      </c>
      <c r="I783">
        <v>1284.9291992000001</v>
      </c>
      <c r="J783">
        <v>1265.2058105000001</v>
      </c>
      <c r="K783">
        <v>80</v>
      </c>
      <c r="L783">
        <v>79.935615540000001</v>
      </c>
      <c r="M783">
        <v>50</v>
      </c>
      <c r="N783">
        <v>44.533172606999997</v>
      </c>
    </row>
    <row r="784" spans="1:14" x14ac:dyDescent="0.25">
      <c r="A784">
        <v>421.22389600000002</v>
      </c>
      <c r="B784" s="1">
        <f>DATE(2011,6,26) + TIME(5,22,24)</f>
        <v>40720.22388888889</v>
      </c>
      <c r="C784">
        <v>2400</v>
      </c>
      <c r="D784">
        <v>0</v>
      </c>
      <c r="E784">
        <v>0</v>
      </c>
      <c r="F784">
        <v>2400</v>
      </c>
      <c r="G784">
        <v>1385.5253906</v>
      </c>
      <c r="H784">
        <v>1371.6140137</v>
      </c>
      <c r="I784">
        <v>1284.8710937999999</v>
      </c>
      <c r="J784">
        <v>1265.1231689000001</v>
      </c>
      <c r="K784">
        <v>80</v>
      </c>
      <c r="L784">
        <v>79.935684203999998</v>
      </c>
      <c r="M784">
        <v>50</v>
      </c>
      <c r="N784">
        <v>44.446094512999998</v>
      </c>
    </row>
    <row r="785" spans="1:14" x14ac:dyDescent="0.25">
      <c r="A785">
        <v>422.25233800000001</v>
      </c>
      <c r="B785" s="1">
        <f>DATE(2011,6,27) + TIME(6,3,22)</f>
        <v>40721.252337962964</v>
      </c>
      <c r="C785">
        <v>2400</v>
      </c>
      <c r="D785">
        <v>0</v>
      </c>
      <c r="E785">
        <v>0</v>
      </c>
      <c r="F785">
        <v>2400</v>
      </c>
      <c r="G785">
        <v>1385.4560547000001</v>
      </c>
      <c r="H785">
        <v>1371.5460204999999</v>
      </c>
      <c r="I785">
        <v>1284.8110352000001</v>
      </c>
      <c r="J785">
        <v>1265.0374756000001</v>
      </c>
      <c r="K785">
        <v>80</v>
      </c>
      <c r="L785">
        <v>79.935760497999993</v>
      </c>
      <c r="M785">
        <v>50</v>
      </c>
      <c r="N785">
        <v>44.357139586999999</v>
      </c>
    </row>
    <row r="786" spans="1:14" x14ac:dyDescent="0.25">
      <c r="A786">
        <v>423.30152600000002</v>
      </c>
      <c r="B786" s="1">
        <f>DATE(2011,6,28) + TIME(7,14,11)</f>
        <v>40722.301516203705</v>
      </c>
      <c r="C786">
        <v>2400</v>
      </c>
      <c r="D786">
        <v>0</v>
      </c>
      <c r="E786">
        <v>0</v>
      </c>
      <c r="F786">
        <v>2400</v>
      </c>
      <c r="G786">
        <v>1385.3864745999999</v>
      </c>
      <c r="H786">
        <v>1371.4775391000001</v>
      </c>
      <c r="I786">
        <v>1284.7486572</v>
      </c>
      <c r="J786">
        <v>1264.9482422000001</v>
      </c>
      <c r="K786">
        <v>80</v>
      </c>
      <c r="L786">
        <v>79.935829162999994</v>
      </c>
      <c r="M786">
        <v>50</v>
      </c>
      <c r="N786">
        <v>44.266151428000001</v>
      </c>
    </row>
    <row r="787" spans="1:14" x14ac:dyDescent="0.25">
      <c r="A787">
        <v>424.36987900000003</v>
      </c>
      <c r="B787" s="1">
        <f>DATE(2011,6,29) + TIME(8,52,37)</f>
        <v>40723.369872685187</v>
      </c>
      <c r="C787">
        <v>2400</v>
      </c>
      <c r="D787">
        <v>0</v>
      </c>
      <c r="E787">
        <v>0</v>
      </c>
      <c r="F787">
        <v>2400</v>
      </c>
      <c r="G787">
        <v>1385.3164062000001</v>
      </c>
      <c r="H787">
        <v>1371.4085693</v>
      </c>
      <c r="I787">
        <v>1284.6839600000001</v>
      </c>
      <c r="J787">
        <v>1264.8555908000001</v>
      </c>
      <c r="K787">
        <v>80</v>
      </c>
      <c r="L787">
        <v>79.935905457000004</v>
      </c>
      <c r="M787">
        <v>50</v>
      </c>
      <c r="N787">
        <v>44.173080444</v>
      </c>
    </row>
    <row r="788" spans="1:14" x14ac:dyDescent="0.25">
      <c r="A788">
        <v>425.43895600000002</v>
      </c>
      <c r="B788" s="1">
        <f>DATE(2011,6,30) + TIME(10,32,5)</f>
        <v>40724.438946759263</v>
      </c>
      <c r="C788">
        <v>2400</v>
      </c>
      <c r="D788">
        <v>0</v>
      </c>
      <c r="E788">
        <v>0</v>
      </c>
      <c r="F788">
        <v>2400</v>
      </c>
      <c r="G788">
        <v>1385.2460937999999</v>
      </c>
      <c r="H788">
        <v>1371.3393555</v>
      </c>
      <c r="I788">
        <v>1284.6169434000001</v>
      </c>
      <c r="J788">
        <v>1264.7595214999999</v>
      </c>
      <c r="K788">
        <v>80</v>
      </c>
      <c r="L788">
        <v>79.935981749999996</v>
      </c>
      <c r="M788">
        <v>50</v>
      </c>
      <c r="N788">
        <v>44.078617096000002</v>
      </c>
    </row>
    <row r="789" spans="1:14" x14ac:dyDescent="0.25">
      <c r="A789">
        <v>426</v>
      </c>
      <c r="B789" s="1">
        <f>DATE(2011,7,1) + TIME(0,0,0)</f>
        <v>40725</v>
      </c>
      <c r="C789">
        <v>2400</v>
      </c>
      <c r="D789">
        <v>0</v>
      </c>
      <c r="E789">
        <v>0</v>
      </c>
      <c r="F789">
        <v>2400</v>
      </c>
      <c r="G789">
        <v>1385.1766356999999</v>
      </c>
      <c r="H789">
        <v>1371.270874</v>
      </c>
      <c r="I789">
        <v>1284.5474853999999</v>
      </c>
      <c r="J789">
        <v>1264.6685791</v>
      </c>
      <c r="K789">
        <v>80</v>
      </c>
      <c r="L789">
        <v>79.936019896999994</v>
      </c>
      <c r="M789">
        <v>50</v>
      </c>
      <c r="N789">
        <v>44.011150360000002</v>
      </c>
    </row>
    <row r="790" spans="1:14" x14ac:dyDescent="0.25">
      <c r="A790">
        <v>427.072564</v>
      </c>
      <c r="B790" s="1">
        <f>DATE(2011,7,2) + TIME(1,44,29)</f>
        <v>40726.072557870371</v>
      </c>
      <c r="C790">
        <v>2400</v>
      </c>
      <c r="D790">
        <v>0</v>
      </c>
      <c r="E790">
        <v>0</v>
      </c>
      <c r="F790">
        <v>2400</v>
      </c>
      <c r="G790">
        <v>1385.140625</v>
      </c>
      <c r="H790">
        <v>1371.2353516000001</v>
      </c>
      <c r="I790">
        <v>1284.5114745999999</v>
      </c>
      <c r="J790">
        <v>1264.6049805</v>
      </c>
      <c r="K790">
        <v>80</v>
      </c>
      <c r="L790">
        <v>79.936096191000004</v>
      </c>
      <c r="M790">
        <v>50</v>
      </c>
      <c r="N790">
        <v>43.924724578999999</v>
      </c>
    </row>
    <row r="791" spans="1:14" x14ac:dyDescent="0.25">
      <c r="A791">
        <v>428.15603700000003</v>
      </c>
      <c r="B791" s="1">
        <f>DATE(2011,7,3) + TIME(3,44,41)</f>
        <v>40727.156030092592</v>
      </c>
      <c r="C791">
        <v>2400</v>
      </c>
      <c r="D791">
        <v>0</v>
      </c>
      <c r="E791">
        <v>0</v>
      </c>
      <c r="F791">
        <v>2400</v>
      </c>
      <c r="G791">
        <v>1385.0727539</v>
      </c>
      <c r="H791">
        <v>1371.168457</v>
      </c>
      <c r="I791">
        <v>1284.4417725000001</v>
      </c>
      <c r="J791">
        <v>1264.5054932</v>
      </c>
      <c r="K791">
        <v>80</v>
      </c>
      <c r="L791">
        <v>79.936172485</v>
      </c>
      <c r="M791">
        <v>50</v>
      </c>
      <c r="N791">
        <v>43.831970214999998</v>
      </c>
    </row>
    <row r="792" spans="1:14" x14ac:dyDescent="0.25">
      <c r="A792">
        <v>429.250001</v>
      </c>
      <c r="B792" s="1">
        <f>DATE(2011,7,4) + TIME(6,0,0)</f>
        <v>40728.25</v>
      </c>
      <c r="C792">
        <v>2400</v>
      </c>
      <c r="D792">
        <v>0</v>
      </c>
      <c r="E792">
        <v>0</v>
      </c>
      <c r="F792">
        <v>2400</v>
      </c>
      <c r="G792">
        <v>1385.0050048999999</v>
      </c>
      <c r="H792">
        <v>1371.1014404</v>
      </c>
      <c r="I792">
        <v>1284.369751</v>
      </c>
      <c r="J792">
        <v>1264.4017334</v>
      </c>
      <c r="K792">
        <v>80</v>
      </c>
      <c r="L792">
        <v>79.936256408999995</v>
      </c>
      <c r="M792">
        <v>50</v>
      </c>
      <c r="N792">
        <v>43.735473632999998</v>
      </c>
    </row>
    <row r="793" spans="1:14" x14ac:dyDescent="0.25">
      <c r="A793">
        <v>430.35740399999997</v>
      </c>
      <c r="B793" s="1">
        <f>DATE(2011,7,5) + TIME(8,34,39)</f>
        <v>40729.357395833336</v>
      </c>
      <c r="C793">
        <v>2400</v>
      </c>
      <c r="D793">
        <v>0</v>
      </c>
      <c r="E793">
        <v>0</v>
      </c>
      <c r="F793">
        <v>2400</v>
      </c>
      <c r="G793">
        <v>1384.9373779</v>
      </c>
      <c r="H793">
        <v>1371.0347899999999</v>
      </c>
      <c r="I793">
        <v>1284.2958983999999</v>
      </c>
      <c r="J793">
        <v>1264.2943115</v>
      </c>
      <c r="K793">
        <v>80</v>
      </c>
      <c r="L793">
        <v>79.936332703000005</v>
      </c>
      <c r="M793">
        <v>50</v>
      </c>
      <c r="N793">
        <v>43.636291503999999</v>
      </c>
    </row>
    <row r="794" spans="1:14" x14ac:dyDescent="0.25">
      <c r="A794">
        <v>431.48069400000003</v>
      </c>
      <c r="B794" s="1">
        <f>DATE(2011,7,6) + TIME(11,32,11)</f>
        <v>40730.480682870373</v>
      </c>
      <c r="C794">
        <v>2400</v>
      </c>
      <c r="D794">
        <v>0</v>
      </c>
      <c r="E794">
        <v>0</v>
      </c>
      <c r="F794">
        <v>2400</v>
      </c>
      <c r="G794">
        <v>1384.8699951000001</v>
      </c>
      <c r="H794">
        <v>1370.9681396000001</v>
      </c>
      <c r="I794">
        <v>1284.2197266000001</v>
      </c>
      <c r="J794">
        <v>1264.1833495999999</v>
      </c>
      <c r="K794">
        <v>80</v>
      </c>
      <c r="L794">
        <v>79.936408997000001</v>
      </c>
      <c r="M794">
        <v>50</v>
      </c>
      <c r="N794">
        <v>43.534744263</v>
      </c>
    </row>
    <row r="795" spans="1:14" x14ac:dyDescent="0.25">
      <c r="A795">
        <v>432.619415</v>
      </c>
      <c r="B795" s="1">
        <f>DATE(2011,7,7) + TIME(14,51,57)</f>
        <v>40731.619409722225</v>
      </c>
      <c r="C795">
        <v>2400</v>
      </c>
      <c r="D795">
        <v>0</v>
      </c>
      <c r="E795">
        <v>0</v>
      </c>
      <c r="F795">
        <v>2400</v>
      </c>
      <c r="G795">
        <v>1384.8024902</v>
      </c>
      <c r="H795">
        <v>1370.9013672000001</v>
      </c>
      <c r="I795">
        <v>1284.1412353999999</v>
      </c>
      <c r="J795">
        <v>1264.0686035000001</v>
      </c>
      <c r="K795">
        <v>80</v>
      </c>
      <c r="L795">
        <v>79.936492920000006</v>
      </c>
      <c r="M795">
        <v>50</v>
      </c>
      <c r="N795">
        <v>43.430950164999999</v>
      </c>
    </row>
    <row r="796" spans="1:14" x14ac:dyDescent="0.25">
      <c r="A796">
        <v>433.77701400000001</v>
      </c>
      <c r="B796" s="1">
        <f>DATE(2011,7,8) + TIME(18,38,54)</f>
        <v>40732.777013888888</v>
      </c>
      <c r="C796">
        <v>2400</v>
      </c>
      <c r="D796">
        <v>0</v>
      </c>
      <c r="E796">
        <v>0</v>
      </c>
      <c r="F796">
        <v>2400</v>
      </c>
      <c r="G796">
        <v>1384.7351074000001</v>
      </c>
      <c r="H796">
        <v>1370.8344727000001</v>
      </c>
      <c r="I796">
        <v>1284.0604248</v>
      </c>
      <c r="J796">
        <v>1263.9500731999999</v>
      </c>
      <c r="K796">
        <v>80</v>
      </c>
      <c r="L796">
        <v>79.936576842999997</v>
      </c>
      <c r="M796">
        <v>50</v>
      </c>
      <c r="N796">
        <v>43.324779509999999</v>
      </c>
    </row>
    <row r="797" spans="1:14" x14ac:dyDescent="0.25">
      <c r="A797">
        <v>434.95839100000001</v>
      </c>
      <c r="B797" s="1">
        <f>DATE(2011,7,9) + TIME(23,0,4)</f>
        <v>40733.958379629628</v>
      </c>
      <c r="C797">
        <v>2400</v>
      </c>
      <c r="D797">
        <v>0</v>
      </c>
      <c r="E797">
        <v>0</v>
      </c>
      <c r="F797">
        <v>2400</v>
      </c>
      <c r="G797">
        <v>1384.6673584</v>
      </c>
      <c r="H797">
        <v>1370.7674560999999</v>
      </c>
      <c r="I797">
        <v>1283.9769286999999</v>
      </c>
      <c r="J797">
        <v>1263.8271483999999</v>
      </c>
      <c r="K797">
        <v>80</v>
      </c>
      <c r="L797">
        <v>79.936660767000006</v>
      </c>
      <c r="M797">
        <v>50</v>
      </c>
      <c r="N797">
        <v>43.215915680000002</v>
      </c>
    </row>
    <row r="798" spans="1:14" x14ac:dyDescent="0.25">
      <c r="A798">
        <v>436.16721899999999</v>
      </c>
      <c r="B798" s="1">
        <f>DATE(2011,7,11) + TIME(4,0,47)</f>
        <v>40735.167210648149</v>
      </c>
      <c r="C798">
        <v>2400</v>
      </c>
      <c r="D798">
        <v>0</v>
      </c>
      <c r="E798">
        <v>0</v>
      </c>
      <c r="F798">
        <v>2400</v>
      </c>
      <c r="G798">
        <v>1384.5992432</v>
      </c>
      <c r="H798">
        <v>1370.6999512</v>
      </c>
      <c r="I798">
        <v>1283.8903809000001</v>
      </c>
      <c r="J798">
        <v>1263.6992187999999</v>
      </c>
      <c r="K798">
        <v>80</v>
      </c>
      <c r="L798">
        <v>79.936744689999998</v>
      </c>
      <c r="M798">
        <v>50</v>
      </c>
      <c r="N798">
        <v>43.103954315000003</v>
      </c>
    </row>
    <row r="799" spans="1:14" x14ac:dyDescent="0.25">
      <c r="A799">
        <v>437.378241</v>
      </c>
      <c r="B799" s="1">
        <f>DATE(2011,7,12) + TIME(9,4,40)</f>
        <v>40736.378240740742</v>
      </c>
      <c r="C799">
        <v>2400</v>
      </c>
      <c r="D799">
        <v>0</v>
      </c>
      <c r="E799">
        <v>0</v>
      </c>
      <c r="F799">
        <v>2400</v>
      </c>
      <c r="G799">
        <v>1384.5303954999999</v>
      </c>
      <c r="H799">
        <v>1370.6315918</v>
      </c>
      <c r="I799">
        <v>1283.800293</v>
      </c>
      <c r="J799">
        <v>1263.5664062000001</v>
      </c>
      <c r="K799">
        <v>80</v>
      </c>
      <c r="L799">
        <v>79.936828613000003</v>
      </c>
      <c r="M799">
        <v>50</v>
      </c>
      <c r="N799">
        <v>42.989627837999997</v>
      </c>
    </row>
    <row r="800" spans="1:14" x14ac:dyDescent="0.25">
      <c r="A800">
        <v>438.59378500000003</v>
      </c>
      <c r="B800" s="1">
        <f>DATE(2011,7,13) + TIME(14,15,3)</f>
        <v>40737.593784722223</v>
      </c>
      <c r="C800">
        <v>2400</v>
      </c>
      <c r="D800">
        <v>0</v>
      </c>
      <c r="E800">
        <v>0</v>
      </c>
      <c r="F800">
        <v>2400</v>
      </c>
      <c r="G800">
        <v>1384.4624022999999</v>
      </c>
      <c r="H800">
        <v>1370.5640868999999</v>
      </c>
      <c r="I800">
        <v>1283.7086182</v>
      </c>
      <c r="J800">
        <v>1263.4302978999999</v>
      </c>
      <c r="K800">
        <v>80</v>
      </c>
      <c r="L800">
        <v>79.936912536999998</v>
      </c>
      <c r="M800">
        <v>50</v>
      </c>
      <c r="N800">
        <v>42.873500823999997</v>
      </c>
    </row>
    <row r="801" spans="1:14" x14ac:dyDescent="0.25">
      <c r="A801">
        <v>439.81686300000001</v>
      </c>
      <c r="B801" s="1">
        <f>DATE(2011,7,14) + TIME(19,36,16)</f>
        <v>40738.816851851851</v>
      </c>
      <c r="C801">
        <v>2400</v>
      </c>
      <c r="D801">
        <v>0</v>
      </c>
      <c r="E801">
        <v>0</v>
      </c>
      <c r="F801">
        <v>2400</v>
      </c>
      <c r="G801">
        <v>1384.3950195</v>
      </c>
      <c r="H801">
        <v>1370.4970702999999</v>
      </c>
      <c r="I801">
        <v>1283.6151123</v>
      </c>
      <c r="J801">
        <v>1263.2911377</v>
      </c>
      <c r="K801">
        <v>80</v>
      </c>
      <c r="L801">
        <v>79.937004088999998</v>
      </c>
      <c r="M801">
        <v>50</v>
      </c>
      <c r="N801">
        <v>42.755630492999998</v>
      </c>
    </row>
    <row r="802" spans="1:14" x14ac:dyDescent="0.25">
      <c r="A802">
        <v>441.05073900000002</v>
      </c>
      <c r="B802" s="1">
        <f>DATE(2011,7,16) + TIME(1,13,3)</f>
        <v>40740.050729166665</v>
      </c>
      <c r="C802">
        <v>2400</v>
      </c>
      <c r="D802">
        <v>0</v>
      </c>
      <c r="E802">
        <v>0</v>
      </c>
      <c r="F802">
        <v>2400</v>
      </c>
      <c r="G802">
        <v>1384.328125</v>
      </c>
      <c r="H802">
        <v>1370.4305420000001</v>
      </c>
      <c r="I802">
        <v>1283.5195312000001</v>
      </c>
      <c r="J802">
        <v>1263.1484375</v>
      </c>
      <c r="K802">
        <v>80</v>
      </c>
      <c r="L802">
        <v>79.937088012999993</v>
      </c>
      <c r="M802">
        <v>50</v>
      </c>
      <c r="N802">
        <v>42.635837555000002</v>
      </c>
    </row>
    <row r="803" spans="1:14" x14ac:dyDescent="0.25">
      <c r="A803">
        <v>442.294962</v>
      </c>
      <c r="B803" s="1">
        <f>DATE(2011,7,17) + TIME(7,4,44)</f>
        <v>40741.294953703706</v>
      </c>
      <c r="C803">
        <v>2400</v>
      </c>
      <c r="D803">
        <v>0</v>
      </c>
      <c r="E803">
        <v>0</v>
      </c>
      <c r="F803">
        <v>2400</v>
      </c>
      <c r="G803">
        <v>1384.2614745999999</v>
      </c>
      <c r="H803">
        <v>1370.3641356999999</v>
      </c>
      <c r="I803">
        <v>1283.4217529</v>
      </c>
      <c r="J803">
        <v>1263.0019531</v>
      </c>
      <c r="K803">
        <v>80</v>
      </c>
      <c r="L803">
        <v>79.937171935999999</v>
      </c>
      <c r="M803">
        <v>50</v>
      </c>
      <c r="N803">
        <v>42.513992309999999</v>
      </c>
    </row>
    <row r="804" spans="1:14" x14ac:dyDescent="0.25">
      <c r="A804">
        <v>443.55258300000003</v>
      </c>
      <c r="B804" s="1">
        <f>DATE(2011,7,18) + TIME(13,15,43)</f>
        <v>40742.552581018521</v>
      </c>
      <c r="C804">
        <v>2400</v>
      </c>
      <c r="D804">
        <v>0</v>
      </c>
      <c r="E804">
        <v>0</v>
      </c>
      <c r="F804">
        <v>2400</v>
      </c>
      <c r="G804">
        <v>1384.1950684000001</v>
      </c>
      <c r="H804">
        <v>1370.2980957</v>
      </c>
      <c r="I804">
        <v>1283.3216553</v>
      </c>
      <c r="J804">
        <v>1262.8514404</v>
      </c>
      <c r="K804">
        <v>80</v>
      </c>
      <c r="L804">
        <v>79.937263489000003</v>
      </c>
      <c r="M804">
        <v>50</v>
      </c>
      <c r="N804">
        <v>42.389881133999999</v>
      </c>
    </row>
    <row r="805" spans="1:14" x14ac:dyDescent="0.25">
      <c r="A805">
        <v>444.82694400000003</v>
      </c>
      <c r="B805" s="1">
        <f>DATE(2011,7,19) + TIME(19,50,47)</f>
        <v>40743.826932870368</v>
      </c>
      <c r="C805">
        <v>2400</v>
      </c>
      <c r="D805">
        <v>0</v>
      </c>
      <c r="E805">
        <v>0</v>
      </c>
      <c r="F805">
        <v>2400</v>
      </c>
      <c r="G805">
        <v>1384.1289062000001</v>
      </c>
      <c r="H805">
        <v>1370.2320557</v>
      </c>
      <c r="I805">
        <v>1283.2189940999999</v>
      </c>
      <c r="J805">
        <v>1262.6967772999999</v>
      </c>
      <c r="K805">
        <v>80</v>
      </c>
      <c r="L805">
        <v>79.937355041999993</v>
      </c>
      <c r="M805">
        <v>50</v>
      </c>
      <c r="N805">
        <v>42.263202667000002</v>
      </c>
    </row>
    <row r="806" spans="1:14" x14ac:dyDescent="0.25">
      <c r="A806">
        <v>446.12155100000001</v>
      </c>
      <c r="B806" s="1">
        <f>DATE(2011,7,21) + TIME(2,55,1)</f>
        <v>40745.121539351851</v>
      </c>
      <c r="C806">
        <v>2400</v>
      </c>
      <c r="D806">
        <v>0</v>
      </c>
      <c r="E806">
        <v>0</v>
      </c>
      <c r="F806">
        <v>2400</v>
      </c>
      <c r="G806">
        <v>1384.0626221</v>
      </c>
      <c r="H806">
        <v>1370.1658935999999</v>
      </c>
      <c r="I806">
        <v>1283.1135254000001</v>
      </c>
      <c r="J806">
        <v>1262.5372314000001</v>
      </c>
      <c r="K806">
        <v>80</v>
      </c>
      <c r="L806">
        <v>79.937446593999994</v>
      </c>
      <c r="M806">
        <v>50</v>
      </c>
      <c r="N806">
        <v>42.133583068999997</v>
      </c>
    </row>
    <row r="807" spans="1:14" x14ac:dyDescent="0.25">
      <c r="A807">
        <v>447.44010900000001</v>
      </c>
      <c r="B807" s="1">
        <f>DATE(2011,7,22) + TIME(10,33,45)</f>
        <v>40746.440104166664</v>
      </c>
      <c r="C807">
        <v>2400</v>
      </c>
      <c r="D807">
        <v>0</v>
      </c>
      <c r="E807">
        <v>0</v>
      </c>
      <c r="F807">
        <v>2400</v>
      </c>
      <c r="G807">
        <v>1383.9960937999999</v>
      </c>
      <c r="H807">
        <v>1370.0994873</v>
      </c>
      <c r="I807">
        <v>1283.0050048999999</v>
      </c>
      <c r="J807">
        <v>1262.3725586</v>
      </c>
      <c r="K807">
        <v>80</v>
      </c>
      <c r="L807">
        <v>79.937538146999998</v>
      </c>
      <c r="M807">
        <v>50</v>
      </c>
      <c r="N807">
        <v>42.000617980999998</v>
      </c>
    </row>
    <row r="808" spans="1:14" x14ac:dyDescent="0.25">
      <c r="A808">
        <v>448.788411</v>
      </c>
      <c r="B808" s="1">
        <f>DATE(2011,7,23) + TIME(18,55,18)</f>
        <v>40747.788402777776</v>
      </c>
      <c r="C808">
        <v>2400</v>
      </c>
      <c r="D808">
        <v>0</v>
      </c>
      <c r="E808">
        <v>0</v>
      </c>
      <c r="F808">
        <v>2400</v>
      </c>
      <c r="G808">
        <v>1383.9293213000001</v>
      </c>
      <c r="H808">
        <v>1370.0327147999999</v>
      </c>
      <c r="I808">
        <v>1282.8928223</v>
      </c>
      <c r="J808">
        <v>1262.2019043</v>
      </c>
      <c r="K808">
        <v>80</v>
      </c>
      <c r="L808">
        <v>79.937629700000002</v>
      </c>
      <c r="M808">
        <v>50</v>
      </c>
      <c r="N808">
        <v>41.863773346000002</v>
      </c>
    </row>
    <row r="809" spans="1:14" x14ac:dyDescent="0.25">
      <c r="A809">
        <v>450.144881</v>
      </c>
      <c r="B809" s="1">
        <f>DATE(2011,7,25) + TIME(3,28,37)</f>
        <v>40749.144872685189</v>
      </c>
      <c r="C809">
        <v>2400</v>
      </c>
      <c r="D809">
        <v>0</v>
      </c>
      <c r="E809">
        <v>0</v>
      </c>
      <c r="F809">
        <v>2400</v>
      </c>
      <c r="G809">
        <v>1383.8616943</v>
      </c>
      <c r="H809">
        <v>1369.9650879000001</v>
      </c>
      <c r="I809">
        <v>1282.7767334</v>
      </c>
      <c r="J809">
        <v>1262.0249022999999</v>
      </c>
      <c r="K809">
        <v>80</v>
      </c>
      <c r="L809">
        <v>79.937728882000002</v>
      </c>
      <c r="M809">
        <v>50</v>
      </c>
      <c r="N809">
        <v>41.723541259999998</v>
      </c>
    </row>
    <row r="810" spans="1:14" x14ac:dyDescent="0.25">
      <c r="A810">
        <v>451.50740000000002</v>
      </c>
      <c r="B810" s="1">
        <f>DATE(2011,7,26) + TIME(12,10,39)</f>
        <v>40750.507395833331</v>
      </c>
      <c r="C810">
        <v>2400</v>
      </c>
      <c r="D810">
        <v>0</v>
      </c>
      <c r="E810">
        <v>0</v>
      </c>
      <c r="F810">
        <v>2400</v>
      </c>
      <c r="G810">
        <v>1383.7945557</v>
      </c>
      <c r="H810">
        <v>1369.8979492000001</v>
      </c>
      <c r="I810">
        <v>1282.6582031</v>
      </c>
      <c r="J810">
        <v>1261.8436279</v>
      </c>
      <c r="K810">
        <v>80</v>
      </c>
      <c r="L810">
        <v>79.937820435000006</v>
      </c>
      <c r="M810">
        <v>50</v>
      </c>
      <c r="N810">
        <v>41.580650329999997</v>
      </c>
    </row>
    <row r="811" spans="1:14" x14ac:dyDescent="0.25">
      <c r="A811">
        <v>452.876643</v>
      </c>
      <c r="B811" s="1">
        <f>DATE(2011,7,27) + TIME(21,2,21)</f>
        <v>40751.876631944448</v>
      </c>
      <c r="C811">
        <v>2400</v>
      </c>
      <c r="D811">
        <v>0</v>
      </c>
      <c r="E811">
        <v>0</v>
      </c>
      <c r="F811">
        <v>2400</v>
      </c>
      <c r="G811">
        <v>1383.7279053</v>
      </c>
      <c r="H811">
        <v>1369.8311768000001</v>
      </c>
      <c r="I811">
        <v>1282.5377197</v>
      </c>
      <c r="J811">
        <v>1261.6585693</v>
      </c>
      <c r="K811">
        <v>80</v>
      </c>
      <c r="L811">
        <v>79.937919617000006</v>
      </c>
      <c r="M811">
        <v>50</v>
      </c>
      <c r="N811">
        <v>41.435398102000001</v>
      </c>
    </row>
    <row r="812" spans="1:14" x14ac:dyDescent="0.25">
      <c r="A812">
        <v>454.25581799999998</v>
      </c>
      <c r="B812" s="1">
        <f>DATE(2011,7,29) + TIME(6,8,22)</f>
        <v>40753.255810185183</v>
      </c>
      <c r="C812">
        <v>2400</v>
      </c>
      <c r="D812">
        <v>0</v>
      </c>
      <c r="E812">
        <v>0</v>
      </c>
      <c r="F812">
        <v>2400</v>
      </c>
      <c r="G812">
        <v>1383.6618652</v>
      </c>
      <c r="H812">
        <v>1369.7648925999999</v>
      </c>
      <c r="I812">
        <v>1282.4150391000001</v>
      </c>
      <c r="J812">
        <v>1261.4694824000001</v>
      </c>
      <c r="K812">
        <v>80</v>
      </c>
      <c r="L812">
        <v>79.938018799000005</v>
      </c>
      <c r="M812">
        <v>50</v>
      </c>
      <c r="N812">
        <v>41.287746429000002</v>
      </c>
    </row>
    <row r="813" spans="1:14" x14ac:dyDescent="0.25">
      <c r="A813">
        <v>455.64684399999999</v>
      </c>
      <c r="B813" s="1">
        <f>DATE(2011,7,30) + TIME(15,31,27)</f>
        <v>40754.646840277775</v>
      </c>
      <c r="C813">
        <v>2400</v>
      </c>
      <c r="D813">
        <v>0</v>
      </c>
      <c r="E813">
        <v>0</v>
      </c>
      <c r="F813">
        <v>2400</v>
      </c>
      <c r="G813">
        <v>1383.5959473</v>
      </c>
      <c r="H813">
        <v>1369.6987305</v>
      </c>
      <c r="I813">
        <v>1282.2899170000001</v>
      </c>
      <c r="J813">
        <v>1261.2761230000001</v>
      </c>
      <c r="K813">
        <v>80</v>
      </c>
      <c r="L813">
        <v>79.938110351999995</v>
      </c>
      <c r="M813">
        <v>50</v>
      </c>
      <c r="N813">
        <v>41.137531281000001</v>
      </c>
    </row>
    <row r="814" spans="1:14" x14ac:dyDescent="0.25">
      <c r="A814">
        <v>457</v>
      </c>
      <c r="B814" s="1">
        <f>DATE(2011,8,1) + TIME(0,0,0)</f>
        <v>40756</v>
      </c>
      <c r="C814">
        <v>2400</v>
      </c>
      <c r="D814">
        <v>0</v>
      </c>
      <c r="E814">
        <v>0</v>
      </c>
      <c r="F814">
        <v>2400</v>
      </c>
      <c r="G814">
        <v>1383.5302733999999</v>
      </c>
      <c r="H814">
        <v>1369.6328125</v>
      </c>
      <c r="I814">
        <v>1282.1624756000001</v>
      </c>
      <c r="J814">
        <v>1261.0791016000001</v>
      </c>
      <c r="K814">
        <v>80</v>
      </c>
      <c r="L814">
        <v>79.938209533999995</v>
      </c>
      <c r="M814">
        <v>50</v>
      </c>
      <c r="N814">
        <v>40.986801147000001</v>
      </c>
    </row>
    <row r="815" spans="1:14" x14ac:dyDescent="0.25">
      <c r="A815">
        <v>458.40660500000001</v>
      </c>
      <c r="B815" s="1">
        <f>DATE(2011,8,2) + TIME(9,45,30)</f>
        <v>40757.406597222223</v>
      </c>
      <c r="C815">
        <v>2400</v>
      </c>
      <c r="D815">
        <v>0</v>
      </c>
      <c r="E815">
        <v>0</v>
      </c>
      <c r="F815">
        <v>2400</v>
      </c>
      <c r="G815">
        <v>1383.4671631000001</v>
      </c>
      <c r="H815">
        <v>1369.5693358999999</v>
      </c>
      <c r="I815">
        <v>1282.0367432</v>
      </c>
      <c r="J815">
        <v>1260.8823242000001</v>
      </c>
      <c r="K815">
        <v>80</v>
      </c>
      <c r="L815">
        <v>79.938308715999995</v>
      </c>
      <c r="M815">
        <v>50</v>
      </c>
      <c r="N815">
        <v>40.833572388</v>
      </c>
    </row>
    <row r="816" spans="1:14" x14ac:dyDescent="0.25">
      <c r="A816">
        <v>459.85507799999999</v>
      </c>
      <c r="B816" s="1">
        <f>DATE(2011,8,3) + TIME(20,31,18)</f>
        <v>40758.855069444442</v>
      </c>
      <c r="C816">
        <v>2400</v>
      </c>
      <c r="D816">
        <v>0</v>
      </c>
      <c r="E816">
        <v>0</v>
      </c>
      <c r="F816">
        <v>2400</v>
      </c>
      <c r="G816">
        <v>1383.4022216999999</v>
      </c>
      <c r="H816">
        <v>1369.5041504000001</v>
      </c>
      <c r="I816">
        <v>1281.9052733999999</v>
      </c>
      <c r="J816">
        <v>1260.6766356999999</v>
      </c>
      <c r="K816">
        <v>80</v>
      </c>
      <c r="L816">
        <v>79.938407897999994</v>
      </c>
      <c r="M816">
        <v>50</v>
      </c>
      <c r="N816">
        <v>40.675403594999999</v>
      </c>
    </row>
    <row r="817" spans="1:14" x14ac:dyDescent="0.25">
      <c r="A817">
        <v>461.33067999999997</v>
      </c>
      <c r="B817" s="1">
        <f>DATE(2011,8,5) + TIME(7,56,10)</f>
        <v>40760.330671296295</v>
      </c>
      <c r="C817">
        <v>2400</v>
      </c>
      <c r="D817">
        <v>0</v>
      </c>
      <c r="E817">
        <v>0</v>
      </c>
      <c r="F817">
        <v>2400</v>
      </c>
      <c r="G817">
        <v>1383.3361815999999</v>
      </c>
      <c r="H817">
        <v>1369.4376221</v>
      </c>
      <c r="I817">
        <v>1281.7685547000001</v>
      </c>
      <c r="J817">
        <v>1260.4625243999999</v>
      </c>
      <c r="K817">
        <v>80</v>
      </c>
      <c r="L817">
        <v>79.938507079999994</v>
      </c>
      <c r="M817">
        <v>50</v>
      </c>
      <c r="N817">
        <v>40.512104033999996</v>
      </c>
    </row>
    <row r="818" spans="1:14" x14ac:dyDescent="0.25">
      <c r="A818">
        <v>462.82695100000001</v>
      </c>
      <c r="B818" s="1">
        <f>DATE(2011,8,6) + TIME(19,50,48)</f>
        <v>40761.826944444445</v>
      </c>
      <c r="C818">
        <v>2400</v>
      </c>
      <c r="D818">
        <v>0</v>
      </c>
      <c r="E818">
        <v>0</v>
      </c>
      <c r="F818">
        <v>2400</v>
      </c>
      <c r="G818">
        <v>1383.2696533000001</v>
      </c>
      <c r="H818">
        <v>1369.3706055</v>
      </c>
      <c r="I818">
        <v>1281.6279297000001</v>
      </c>
      <c r="J818">
        <v>1260.2414550999999</v>
      </c>
      <c r="K818">
        <v>80</v>
      </c>
      <c r="L818">
        <v>79.938613892000006</v>
      </c>
      <c r="M818">
        <v>50</v>
      </c>
      <c r="N818">
        <v>40.344219207999998</v>
      </c>
    </row>
    <row r="819" spans="1:14" x14ac:dyDescent="0.25">
      <c r="A819">
        <v>464.33219000000003</v>
      </c>
      <c r="B819" s="1">
        <f>DATE(2011,8,8) + TIME(7,58,21)</f>
        <v>40763.332187499997</v>
      </c>
      <c r="C819">
        <v>2400</v>
      </c>
      <c r="D819">
        <v>0</v>
      </c>
      <c r="E819">
        <v>0</v>
      </c>
      <c r="F819">
        <v>2400</v>
      </c>
      <c r="G819">
        <v>1383.2028809000001</v>
      </c>
      <c r="H819">
        <v>1369.3032227000001</v>
      </c>
      <c r="I819">
        <v>1281.4838867000001</v>
      </c>
      <c r="J819">
        <v>1260.0145264</v>
      </c>
      <c r="K819">
        <v>80</v>
      </c>
      <c r="L819">
        <v>79.938713074000006</v>
      </c>
      <c r="M819">
        <v>50</v>
      </c>
      <c r="N819">
        <v>40.172634125000002</v>
      </c>
    </row>
    <row r="820" spans="1:14" x14ac:dyDescent="0.25">
      <c r="A820">
        <v>465.83742999999998</v>
      </c>
      <c r="B820" s="1">
        <f>DATE(2011,8,9) + TIME(20,5,53)</f>
        <v>40764.837418981479</v>
      </c>
      <c r="C820">
        <v>2400</v>
      </c>
      <c r="D820">
        <v>0</v>
      </c>
      <c r="E820">
        <v>0</v>
      </c>
      <c r="F820">
        <v>2400</v>
      </c>
      <c r="G820">
        <v>1383.1363524999999</v>
      </c>
      <c r="H820">
        <v>1369.2362060999999</v>
      </c>
      <c r="I820">
        <v>1281.3377685999999</v>
      </c>
      <c r="J820">
        <v>1259.7833252</v>
      </c>
      <c r="K820">
        <v>80</v>
      </c>
      <c r="L820">
        <v>79.938819885000001</v>
      </c>
      <c r="M820">
        <v>50</v>
      </c>
      <c r="N820">
        <v>39.998432158999996</v>
      </c>
    </row>
    <row r="821" spans="1:14" x14ac:dyDescent="0.25">
      <c r="A821">
        <v>467.360546</v>
      </c>
      <c r="B821" s="1">
        <f>DATE(2011,8,11) + TIME(8,39,11)</f>
        <v>40766.360543981478</v>
      </c>
      <c r="C821">
        <v>2400</v>
      </c>
      <c r="D821">
        <v>0</v>
      </c>
      <c r="E821">
        <v>0</v>
      </c>
      <c r="F821">
        <v>2400</v>
      </c>
      <c r="G821">
        <v>1383.0706786999999</v>
      </c>
      <c r="H821">
        <v>1369.1699219</v>
      </c>
      <c r="I821">
        <v>1281.1903076000001</v>
      </c>
      <c r="J821">
        <v>1259.5487060999999</v>
      </c>
      <c r="K821">
        <v>80</v>
      </c>
      <c r="L821">
        <v>79.938919067</v>
      </c>
      <c r="M821">
        <v>50</v>
      </c>
      <c r="N821">
        <v>39.821613311999997</v>
      </c>
    </row>
    <row r="822" spans="1:14" x14ac:dyDescent="0.25">
      <c r="A822">
        <v>468.89673499999998</v>
      </c>
      <c r="B822" s="1">
        <f>DATE(2011,8,12) + TIME(21,31,17)</f>
        <v>40767.896724537037</v>
      </c>
      <c r="C822">
        <v>2400</v>
      </c>
      <c r="D822">
        <v>0</v>
      </c>
      <c r="E822">
        <v>0</v>
      </c>
      <c r="F822">
        <v>2400</v>
      </c>
      <c r="G822">
        <v>1383.0048827999999</v>
      </c>
      <c r="H822">
        <v>1369.1033935999999</v>
      </c>
      <c r="I822">
        <v>1281.0400391000001</v>
      </c>
      <c r="J822">
        <v>1259.3092041</v>
      </c>
      <c r="K822">
        <v>80</v>
      </c>
      <c r="L822">
        <v>79.939025878999999</v>
      </c>
      <c r="M822">
        <v>50</v>
      </c>
      <c r="N822">
        <v>39.641780853</v>
      </c>
    </row>
    <row r="823" spans="1:14" x14ac:dyDescent="0.25">
      <c r="A823">
        <v>470.44909000000001</v>
      </c>
      <c r="B823" s="1">
        <f>DATE(2011,8,14) + TIME(10,46,41)</f>
        <v>40769.44908564815</v>
      </c>
      <c r="C823">
        <v>2400</v>
      </c>
      <c r="D823">
        <v>0</v>
      </c>
      <c r="E823">
        <v>0</v>
      </c>
      <c r="F823">
        <v>2400</v>
      </c>
      <c r="G823">
        <v>1382.9392089999999</v>
      </c>
      <c r="H823">
        <v>1369.0369873</v>
      </c>
      <c r="I823">
        <v>1280.8875731999999</v>
      </c>
      <c r="J823">
        <v>1259.0650635</v>
      </c>
      <c r="K823">
        <v>80</v>
      </c>
      <c r="L823">
        <v>79.939132689999994</v>
      </c>
      <c r="M823">
        <v>50</v>
      </c>
      <c r="N823">
        <v>39.458835602000001</v>
      </c>
    </row>
    <row r="824" spans="1:14" x14ac:dyDescent="0.25">
      <c r="A824">
        <v>472.02070900000001</v>
      </c>
      <c r="B824" s="1">
        <f>DATE(2011,8,16) + TIME(0,29,49)</f>
        <v>40771.02070601852</v>
      </c>
      <c r="C824">
        <v>2400</v>
      </c>
      <c r="D824">
        <v>0</v>
      </c>
      <c r="E824">
        <v>0</v>
      </c>
      <c r="F824">
        <v>2400</v>
      </c>
      <c r="G824">
        <v>1382.8735352000001</v>
      </c>
      <c r="H824">
        <v>1368.9705810999999</v>
      </c>
      <c r="I824">
        <v>1280.7325439000001</v>
      </c>
      <c r="J824">
        <v>1258.815918</v>
      </c>
      <c r="K824">
        <v>80</v>
      </c>
      <c r="L824">
        <v>79.939239502000007</v>
      </c>
      <c r="M824">
        <v>50</v>
      </c>
      <c r="N824">
        <v>39.272525786999999</v>
      </c>
    </row>
    <row r="825" spans="1:14" x14ac:dyDescent="0.25">
      <c r="A825">
        <v>473.61604599999998</v>
      </c>
      <c r="B825" s="1">
        <f>DATE(2011,8,17) + TIME(14,47,6)</f>
        <v>40772.616041666668</v>
      </c>
      <c r="C825">
        <v>2400</v>
      </c>
      <c r="D825">
        <v>0</v>
      </c>
      <c r="E825">
        <v>0</v>
      </c>
      <c r="F825">
        <v>2400</v>
      </c>
      <c r="G825">
        <v>1382.8077393000001</v>
      </c>
      <c r="H825">
        <v>1368.9039307</v>
      </c>
      <c r="I825">
        <v>1280.5749512</v>
      </c>
      <c r="J825">
        <v>1258.5614014</v>
      </c>
      <c r="K825">
        <v>80</v>
      </c>
      <c r="L825">
        <v>79.939346313000001</v>
      </c>
      <c r="M825">
        <v>50</v>
      </c>
      <c r="N825">
        <v>39.082496642999999</v>
      </c>
    </row>
    <row r="826" spans="1:14" x14ac:dyDescent="0.25">
      <c r="A826">
        <v>475.21138300000001</v>
      </c>
      <c r="B826" s="1">
        <f>DATE(2011,8,19) + TIME(5,4,23)</f>
        <v>40774.211377314816</v>
      </c>
      <c r="C826">
        <v>2400</v>
      </c>
      <c r="D826">
        <v>0</v>
      </c>
      <c r="E826">
        <v>0</v>
      </c>
      <c r="F826">
        <v>2400</v>
      </c>
      <c r="G826">
        <v>1382.7415771000001</v>
      </c>
      <c r="H826">
        <v>1368.8369141000001</v>
      </c>
      <c r="I826">
        <v>1280.4141846</v>
      </c>
      <c r="J826">
        <v>1258.3013916</v>
      </c>
      <c r="K826">
        <v>80</v>
      </c>
      <c r="L826">
        <v>79.939453125</v>
      </c>
      <c r="M826">
        <v>50</v>
      </c>
      <c r="N826">
        <v>38.889522552000003</v>
      </c>
    </row>
    <row r="827" spans="1:14" x14ac:dyDescent="0.25">
      <c r="A827">
        <v>476.82975299999998</v>
      </c>
      <c r="B827" s="1">
        <f>DATE(2011,8,20) + TIME(19,54,50)</f>
        <v>40775.829745370371</v>
      </c>
      <c r="C827">
        <v>2400</v>
      </c>
      <c r="D827">
        <v>0</v>
      </c>
      <c r="E827">
        <v>0</v>
      </c>
      <c r="F827">
        <v>2400</v>
      </c>
      <c r="G827">
        <v>1382.6760254000001</v>
      </c>
      <c r="H827">
        <v>1368.7703856999999</v>
      </c>
      <c r="I827">
        <v>1280.2526855000001</v>
      </c>
      <c r="J827">
        <v>1258.0385742000001</v>
      </c>
      <c r="K827">
        <v>80</v>
      </c>
      <c r="L827">
        <v>79.939567565999994</v>
      </c>
      <c r="M827">
        <v>50</v>
      </c>
      <c r="N827">
        <v>38.693775176999999</v>
      </c>
    </row>
    <row r="828" spans="1:14" x14ac:dyDescent="0.25">
      <c r="A828">
        <v>478.45907</v>
      </c>
      <c r="B828" s="1">
        <f>DATE(2011,8,22) + TIME(11,1,3)</f>
        <v>40777.459062499998</v>
      </c>
      <c r="C828">
        <v>2400</v>
      </c>
      <c r="D828">
        <v>0</v>
      </c>
      <c r="E828">
        <v>0</v>
      </c>
      <c r="F828">
        <v>2400</v>
      </c>
      <c r="G828">
        <v>1382.6101074000001</v>
      </c>
      <c r="H828">
        <v>1368.7036132999999</v>
      </c>
      <c r="I828">
        <v>1280.088501</v>
      </c>
      <c r="J828">
        <v>1257.7706298999999</v>
      </c>
      <c r="K828">
        <v>80</v>
      </c>
      <c r="L828">
        <v>79.939674377000003</v>
      </c>
      <c r="M828">
        <v>50</v>
      </c>
      <c r="N828">
        <v>38.495082855</v>
      </c>
    </row>
    <row r="829" spans="1:14" x14ac:dyDescent="0.25">
      <c r="A829">
        <v>480.10377899999997</v>
      </c>
      <c r="B829" s="1">
        <f>DATE(2011,8,24) + TIME(2,29,26)</f>
        <v>40779.103773148148</v>
      </c>
      <c r="C829">
        <v>2400</v>
      </c>
      <c r="D829">
        <v>0</v>
      </c>
      <c r="E829">
        <v>0</v>
      </c>
      <c r="F829">
        <v>2400</v>
      </c>
      <c r="G829">
        <v>1382.5444336</v>
      </c>
      <c r="H829">
        <v>1368.6369629000001</v>
      </c>
      <c r="I829">
        <v>1279.9228516000001</v>
      </c>
      <c r="J829">
        <v>1257.4990233999999</v>
      </c>
      <c r="K829">
        <v>80</v>
      </c>
      <c r="L829">
        <v>79.939788817999997</v>
      </c>
      <c r="M829">
        <v>50</v>
      </c>
      <c r="N829">
        <v>38.293708801000001</v>
      </c>
    </row>
    <row r="830" spans="1:14" x14ac:dyDescent="0.25">
      <c r="A830">
        <v>481.76141999999999</v>
      </c>
      <c r="B830" s="1">
        <f>DATE(2011,8,25) + TIME(18,16,26)</f>
        <v>40780.761412037034</v>
      </c>
      <c r="C830">
        <v>2400</v>
      </c>
      <c r="D830">
        <v>0</v>
      </c>
      <c r="E830">
        <v>0</v>
      </c>
      <c r="F830">
        <v>2400</v>
      </c>
      <c r="G830">
        <v>1382.4787598</v>
      </c>
      <c r="H830">
        <v>1368.5701904</v>
      </c>
      <c r="I830">
        <v>1279.7554932</v>
      </c>
      <c r="J830">
        <v>1257.2235106999999</v>
      </c>
      <c r="K830">
        <v>80</v>
      </c>
      <c r="L830">
        <v>79.939895629999995</v>
      </c>
      <c r="M830">
        <v>50</v>
      </c>
      <c r="N830">
        <v>38.089775084999999</v>
      </c>
    </row>
    <row r="831" spans="1:14" x14ac:dyDescent="0.25">
      <c r="A831">
        <v>483.43654700000002</v>
      </c>
      <c r="B831" s="1">
        <f>DATE(2011,8,27) + TIME(10,28,37)</f>
        <v>40782.436539351853</v>
      </c>
      <c r="C831">
        <v>2400</v>
      </c>
      <c r="D831">
        <v>0</v>
      </c>
      <c r="E831">
        <v>0</v>
      </c>
      <c r="F831">
        <v>2400</v>
      </c>
      <c r="G831">
        <v>1382.4130858999999</v>
      </c>
      <c r="H831">
        <v>1368.503418</v>
      </c>
      <c r="I831">
        <v>1279.5867920000001</v>
      </c>
      <c r="J831">
        <v>1256.9444579999999</v>
      </c>
      <c r="K831">
        <v>80</v>
      </c>
      <c r="L831">
        <v>79.940010071000003</v>
      </c>
      <c r="M831">
        <v>50</v>
      </c>
      <c r="N831">
        <v>37.883323668999999</v>
      </c>
    </row>
    <row r="832" spans="1:14" x14ac:dyDescent="0.25">
      <c r="A832">
        <v>485.13257700000003</v>
      </c>
      <c r="B832" s="1">
        <f>DATE(2011,8,29) + TIME(3,10,54)</f>
        <v>40784.132569444446</v>
      </c>
      <c r="C832">
        <v>2400</v>
      </c>
      <c r="D832">
        <v>0</v>
      </c>
      <c r="E832">
        <v>0</v>
      </c>
      <c r="F832">
        <v>2400</v>
      </c>
      <c r="G832">
        <v>1382.3474120999999</v>
      </c>
      <c r="H832">
        <v>1368.4365233999999</v>
      </c>
      <c r="I832">
        <v>1279.4165039</v>
      </c>
      <c r="J832">
        <v>1256.6616211</v>
      </c>
      <c r="K832">
        <v>80</v>
      </c>
      <c r="L832">
        <v>79.940116881999998</v>
      </c>
      <c r="M832">
        <v>50</v>
      </c>
      <c r="N832">
        <v>37.674167633000003</v>
      </c>
    </row>
    <row r="833" spans="1:14" x14ac:dyDescent="0.25">
      <c r="A833">
        <v>486.85403600000001</v>
      </c>
      <c r="B833" s="1">
        <f>DATE(2011,8,30) + TIME(20,29,48)</f>
        <v>40785.854027777779</v>
      </c>
      <c r="C833">
        <v>2400</v>
      </c>
      <c r="D833">
        <v>0</v>
      </c>
      <c r="E833">
        <v>0</v>
      </c>
      <c r="F833">
        <v>2400</v>
      </c>
      <c r="G833">
        <v>1382.2813721</v>
      </c>
      <c r="H833">
        <v>1368.3693848</v>
      </c>
      <c r="I833">
        <v>1279.2445068</v>
      </c>
      <c r="J833">
        <v>1256.3745117000001</v>
      </c>
      <c r="K833">
        <v>80</v>
      </c>
      <c r="L833">
        <v>79.940231323000006</v>
      </c>
      <c r="M833">
        <v>50</v>
      </c>
      <c r="N833">
        <v>37.462059021000002</v>
      </c>
    </row>
    <row r="834" spans="1:14" x14ac:dyDescent="0.25">
      <c r="A834">
        <v>488</v>
      </c>
      <c r="B834" s="1">
        <f>DATE(2011,9,1) + TIME(0,0,0)</f>
        <v>40787</v>
      </c>
      <c r="C834">
        <v>2400</v>
      </c>
      <c r="D834">
        <v>0</v>
      </c>
      <c r="E834">
        <v>0</v>
      </c>
      <c r="F834">
        <v>2400</v>
      </c>
      <c r="G834">
        <v>1382.2147216999999</v>
      </c>
      <c r="H834">
        <v>1368.3015137</v>
      </c>
      <c r="I834">
        <v>1279.0714111</v>
      </c>
      <c r="J834">
        <v>1256.0988769999999</v>
      </c>
      <c r="K834">
        <v>80</v>
      </c>
      <c r="L834">
        <v>79.940307617000002</v>
      </c>
      <c r="M834">
        <v>50</v>
      </c>
      <c r="N834">
        <v>37.279178619</v>
      </c>
    </row>
    <row r="835" spans="1:14" x14ac:dyDescent="0.25">
      <c r="A835">
        <v>489.72145899999998</v>
      </c>
      <c r="B835" s="1">
        <f>DATE(2011,9,2) + TIME(17,18,54)</f>
        <v>40788.721458333333</v>
      </c>
      <c r="C835">
        <v>2400</v>
      </c>
      <c r="D835">
        <v>0</v>
      </c>
      <c r="E835">
        <v>0</v>
      </c>
      <c r="F835">
        <v>2400</v>
      </c>
      <c r="G835">
        <v>1382.1707764</v>
      </c>
      <c r="H835">
        <v>1368.2565918</v>
      </c>
      <c r="I835">
        <v>1278.9516602000001</v>
      </c>
      <c r="J835">
        <v>1255.8778076000001</v>
      </c>
      <c r="K835">
        <v>80</v>
      </c>
      <c r="L835">
        <v>79.940422057999996</v>
      </c>
      <c r="M835">
        <v>50</v>
      </c>
      <c r="N835">
        <v>37.091293335000003</v>
      </c>
    </row>
    <row r="836" spans="1:14" x14ac:dyDescent="0.25">
      <c r="A836">
        <v>491.466049</v>
      </c>
      <c r="B836" s="1">
        <f>DATE(2011,9,4) + TIME(11,11,6)</f>
        <v>40790.466041666667</v>
      </c>
      <c r="C836">
        <v>2400</v>
      </c>
      <c r="D836">
        <v>0</v>
      </c>
      <c r="E836">
        <v>0</v>
      </c>
      <c r="F836">
        <v>2400</v>
      </c>
      <c r="G836">
        <v>1382.1053466999999</v>
      </c>
      <c r="H836">
        <v>1368.1899414</v>
      </c>
      <c r="I836">
        <v>1278.7813721</v>
      </c>
      <c r="J836">
        <v>1255.5933838000001</v>
      </c>
      <c r="K836">
        <v>80</v>
      </c>
      <c r="L836">
        <v>79.940536499000004</v>
      </c>
      <c r="M836">
        <v>50</v>
      </c>
      <c r="N836">
        <v>36.884914397999999</v>
      </c>
    </row>
    <row r="837" spans="1:14" x14ac:dyDescent="0.25">
      <c r="A837">
        <v>493.22384799999998</v>
      </c>
      <c r="B837" s="1">
        <f>DATE(2011,9,6) + TIME(5,22,20)</f>
        <v>40792.22384259259</v>
      </c>
      <c r="C837">
        <v>2400</v>
      </c>
      <c r="D837">
        <v>0</v>
      </c>
      <c r="E837">
        <v>0</v>
      </c>
      <c r="F837">
        <v>2400</v>
      </c>
      <c r="G837">
        <v>1382.0394286999999</v>
      </c>
      <c r="H837">
        <v>1368.1226807</v>
      </c>
      <c r="I837">
        <v>1278.6085204999999</v>
      </c>
      <c r="J837">
        <v>1255.3011475000001</v>
      </c>
      <c r="K837">
        <v>80</v>
      </c>
      <c r="L837">
        <v>79.940650939999998</v>
      </c>
      <c r="M837">
        <v>50</v>
      </c>
      <c r="N837">
        <v>36.671257019000002</v>
      </c>
    </row>
    <row r="838" spans="1:14" x14ac:dyDescent="0.25">
      <c r="A838">
        <v>494.99262700000003</v>
      </c>
      <c r="B838" s="1">
        <f>DATE(2011,9,7) + TIME(23,49,22)</f>
        <v>40793.992615740739</v>
      </c>
      <c r="C838">
        <v>2400</v>
      </c>
      <c r="D838">
        <v>0</v>
      </c>
      <c r="E838">
        <v>0</v>
      </c>
      <c r="F838">
        <v>2400</v>
      </c>
      <c r="G838">
        <v>1381.9733887</v>
      </c>
      <c r="H838">
        <v>1368.0554199000001</v>
      </c>
      <c r="I838">
        <v>1278.4351807</v>
      </c>
      <c r="J838">
        <v>1255.0058594</v>
      </c>
      <c r="K838">
        <v>80</v>
      </c>
      <c r="L838">
        <v>79.940765381000006</v>
      </c>
      <c r="M838">
        <v>50</v>
      </c>
      <c r="N838">
        <v>36.454910278</v>
      </c>
    </row>
    <row r="839" spans="1:14" x14ac:dyDescent="0.25">
      <c r="A839">
        <v>496.77721100000002</v>
      </c>
      <c r="B839" s="1">
        <f>DATE(2011,9,9) + TIME(18,39,11)</f>
        <v>40795.77721064815</v>
      </c>
      <c r="C839">
        <v>2400</v>
      </c>
      <c r="D839">
        <v>0</v>
      </c>
      <c r="E839">
        <v>0</v>
      </c>
      <c r="F839">
        <v>2400</v>
      </c>
      <c r="G839">
        <v>1381.9074707</v>
      </c>
      <c r="H839">
        <v>1367.9880370999999</v>
      </c>
      <c r="I839">
        <v>1278.2623291</v>
      </c>
      <c r="J839">
        <v>1254.7094727000001</v>
      </c>
      <c r="K839">
        <v>80</v>
      </c>
      <c r="L839">
        <v>79.940879821999999</v>
      </c>
      <c r="M839">
        <v>50</v>
      </c>
      <c r="N839">
        <v>36.23758316</v>
      </c>
    </row>
    <row r="840" spans="1:14" x14ac:dyDescent="0.25">
      <c r="A840">
        <v>498.58255700000001</v>
      </c>
      <c r="B840" s="1">
        <f>DATE(2011,9,11) + TIME(13,58,52)</f>
        <v>40797.582546296297</v>
      </c>
      <c r="C840">
        <v>2400</v>
      </c>
      <c r="D840">
        <v>0</v>
      </c>
      <c r="E840">
        <v>0</v>
      </c>
      <c r="F840">
        <v>2400</v>
      </c>
      <c r="G840">
        <v>1381.8414307</v>
      </c>
      <c r="H840">
        <v>1367.9205322</v>
      </c>
      <c r="I840">
        <v>1278.0898437999999</v>
      </c>
      <c r="J840">
        <v>1254.4119873</v>
      </c>
      <c r="K840">
        <v>80</v>
      </c>
      <c r="L840">
        <v>79.940994262999993</v>
      </c>
      <c r="M840">
        <v>50</v>
      </c>
      <c r="N840">
        <v>36.019737243999998</v>
      </c>
    </row>
    <row r="841" spans="1:14" x14ac:dyDescent="0.25">
      <c r="A841">
        <v>500.38790299999999</v>
      </c>
      <c r="B841" s="1">
        <f>DATE(2011,9,13) + TIME(9,18,34)</f>
        <v>40799.38789351852</v>
      </c>
      <c r="C841">
        <v>2400</v>
      </c>
      <c r="D841">
        <v>0</v>
      </c>
      <c r="E841">
        <v>0</v>
      </c>
      <c r="F841">
        <v>2400</v>
      </c>
      <c r="G841">
        <v>1381.7750243999999</v>
      </c>
      <c r="H841">
        <v>1367.8526611</v>
      </c>
      <c r="I841">
        <v>1277.9177245999999</v>
      </c>
      <c r="J841">
        <v>1254.1140137</v>
      </c>
      <c r="K841">
        <v>80</v>
      </c>
      <c r="L841">
        <v>79.941116332999997</v>
      </c>
      <c r="M841">
        <v>50</v>
      </c>
      <c r="N841">
        <v>35.802463531000001</v>
      </c>
    </row>
    <row r="842" spans="1:14" x14ac:dyDescent="0.25">
      <c r="A842">
        <v>502.20756899999998</v>
      </c>
      <c r="B842" s="1">
        <f>DATE(2011,9,15) + TIME(4,58,53)</f>
        <v>40801.207557870373</v>
      </c>
      <c r="C842">
        <v>2400</v>
      </c>
      <c r="D842">
        <v>0</v>
      </c>
      <c r="E842">
        <v>0</v>
      </c>
      <c r="F842">
        <v>2400</v>
      </c>
      <c r="G842">
        <v>1381.7091064000001</v>
      </c>
      <c r="H842">
        <v>1367.7851562000001</v>
      </c>
      <c r="I842">
        <v>1277.7480469</v>
      </c>
      <c r="J842">
        <v>1253.8183594</v>
      </c>
      <c r="K842">
        <v>80</v>
      </c>
      <c r="L842">
        <v>79.941230774000005</v>
      </c>
      <c r="M842">
        <v>50</v>
      </c>
      <c r="N842">
        <v>35.586750031000001</v>
      </c>
    </row>
    <row r="843" spans="1:14" x14ac:dyDescent="0.25">
      <c r="A843">
        <v>504.02807100000001</v>
      </c>
      <c r="B843" s="1">
        <f>DATE(2011,9,17) + TIME(0,40,25)</f>
        <v>40803.028067129628</v>
      </c>
      <c r="C843">
        <v>2400</v>
      </c>
      <c r="D843">
        <v>0</v>
      </c>
      <c r="E843">
        <v>0</v>
      </c>
      <c r="F843">
        <v>2400</v>
      </c>
      <c r="G843">
        <v>1381.6429443</v>
      </c>
      <c r="H843">
        <v>1367.7175293</v>
      </c>
      <c r="I843">
        <v>1277.5802002</v>
      </c>
      <c r="J843">
        <v>1253.5241699000001</v>
      </c>
      <c r="K843">
        <v>80</v>
      </c>
      <c r="L843">
        <v>79.941345214999998</v>
      </c>
      <c r="M843">
        <v>50</v>
      </c>
      <c r="N843">
        <v>35.373210907000001</v>
      </c>
    </row>
    <row r="844" spans="1:14" x14ac:dyDescent="0.25">
      <c r="A844">
        <v>505.85439700000001</v>
      </c>
      <c r="B844" s="1">
        <f>DATE(2011,9,18) + TIME(20,30,19)</f>
        <v>40804.854386574072</v>
      </c>
      <c r="C844">
        <v>2400</v>
      </c>
      <c r="D844">
        <v>0</v>
      </c>
      <c r="E844">
        <v>0</v>
      </c>
      <c r="F844">
        <v>2400</v>
      </c>
      <c r="G844">
        <v>1381.5772704999999</v>
      </c>
      <c r="H844">
        <v>1367.6501464999999</v>
      </c>
      <c r="I844">
        <v>1277.4154053</v>
      </c>
      <c r="J844">
        <v>1253.2336425999999</v>
      </c>
      <c r="K844">
        <v>80</v>
      </c>
      <c r="L844">
        <v>79.941459656000006</v>
      </c>
      <c r="M844">
        <v>50</v>
      </c>
      <c r="N844">
        <v>35.162784576</v>
      </c>
    </row>
    <row r="845" spans="1:14" x14ac:dyDescent="0.25">
      <c r="A845">
        <v>507.69194499999998</v>
      </c>
      <c r="B845" s="1">
        <f>DATE(2011,9,20) + TIME(16,36,24)</f>
        <v>40806.691944444443</v>
      </c>
      <c r="C845">
        <v>2400</v>
      </c>
      <c r="D845">
        <v>0</v>
      </c>
      <c r="E845">
        <v>0</v>
      </c>
      <c r="F845">
        <v>2400</v>
      </c>
      <c r="G845">
        <v>1381.5115966999999</v>
      </c>
      <c r="H845">
        <v>1367.5828856999999</v>
      </c>
      <c r="I845">
        <v>1277.2536620999999</v>
      </c>
      <c r="J845">
        <v>1252.9468993999999</v>
      </c>
      <c r="K845">
        <v>80</v>
      </c>
      <c r="L845">
        <v>79.941574097</v>
      </c>
      <c r="M845">
        <v>50</v>
      </c>
      <c r="N845">
        <v>34.955768585000001</v>
      </c>
    </row>
    <row r="846" spans="1:14" x14ac:dyDescent="0.25">
      <c r="A846">
        <v>509.55588</v>
      </c>
      <c r="B846" s="1">
        <f>DATE(2011,9,22) + TIME(13,20,28)</f>
        <v>40808.555879629632</v>
      </c>
      <c r="C846">
        <v>2400</v>
      </c>
      <c r="D846">
        <v>0</v>
      </c>
      <c r="E846">
        <v>0</v>
      </c>
      <c r="F846">
        <v>2400</v>
      </c>
      <c r="G846">
        <v>1381.4460449000001</v>
      </c>
      <c r="H846">
        <v>1367.515625</v>
      </c>
      <c r="I846">
        <v>1277.0948486</v>
      </c>
      <c r="J846">
        <v>1252.6634521000001</v>
      </c>
      <c r="K846">
        <v>80</v>
      </c>
      <c r="L846">
        <v>79.941696167000003</v>
      </c>
      <c r="M846">
        <v>50</v>
      </c>
      <c r="N846">
        <v>34.751956939999999</v>
      </c>
    </row>
    <row r="847" spans="1:14" x14ac:dyDescent="0.25">
      <c r="A847">
        <v>511.41981399999997</v>
      </c>
      <c r="B847" s="1">
        <f>DATE(2011,9,24) + TIME(10,4,31)</f>
        <v>40810.419803240744</v>
      </c>
      <c r="C847">
        <v>2400</v>
      </c>
      <c r="D847">
        <v>0</v>
      </c>
      <c r="E847">
        <v>0</v>
      </c>
      <c r="F847">
        <v>2400</v>
      </c>
      <c r="G847">
        <v>1381.3797606999999</v>
      </c>
      <c r="H847">
        <v>1367.4476318</v>
      </c>
      <c r="I847">
        <v>1276.9383545000001</v>
      </c>
      <c r="J847">
        <v>1252.3829346</v>
      </c>
      <c r="K847">
        <v>80</v>
      </c>
      <c r="L847">
        <v>79.941810607999997</v>
      </c>
      <c r="M847">
        <v>50</v>
      </c>
      <c r="N847">
        <v>34.552158356</v>
      </c>
    </row>
    <row r="848" spans="1:14" x14ac:dyDescent="0.25">
      <c r="A848">
        <v>513.341274</v>
      </c>
      <c r="B848" s="1">
        <f>DATE(2011,9,26) + TIME(8,11,26)</f>
        <v>40812.341273148151</v>
      </c>
      <c r="C848">
        <v>2400</v>
      </c>
      <c r="D848">
        <v>0</v>
      </c>
      <c r="E848">
        <v>0</v>
      </c>
      <c r="F848">
        <v>2400</v>
      </c>
      <c r="G848">
        <v>1381.3138428</v>
      </c>
      <c r="H848">
        <v>1367.3800048999999</v>
      </c>
      <c r="I848">
        <v>1276.7862548999999</v>
      </c>
      <c r="J848">
        <v>1252.1077881000001</v>
      </c>
      <c r="K848">
        <v>80</v>
      </c>
      <c r="L848">
        <v>79.941932678000001</v>
      </c>
      <c r="M848">
        <v>50</v>
      </c>
      <c r="N848">
        <v>34.356250762999998</v>
      </c>
    </row>
    <row r="849" spans="1:14" x14ac:dyDescent="0.25">
      <c r="A849">
        <v>515.26609900000005</v>
      </c>
      <c r="B849" s="1">
        <f>DATE(2011,9,28) + TIME(6,23,10)</f>
        <v>40814.266087962962</v>
      </c>
      <c r="C849">
        <v>2400</v>
      </c>
      <c r="D849">
        <v>0</v>
      </c>
      <c r="E849">
        <v>0</v>
      </c>
      <c r="F849">
        <v>2400</v>
      </c>
      <c r="G849">
        <v>1381.2462158000001</v>
      </c>
      <c r="H849">
        <v>1367.3105469</v>
      </c>
      <c r="I849">
        <v>1276.6350098</v>
      </c>
      <c r="J849">
        <v>1251.8339844</v>
      </c>
      <c r="K849">
        <v>80</v>
      </c>
      <c r="L849">
        <v>79.942047118999994</v>
      </c>
      <c r="M849">
        <v>50</v>
      </c>
      <c r="N849">
        <v>34.164516448999997</v>
      </c>
    </row>
    <row r="850" spans="1:14" x14ac:dyDescent="0.25">
      <c r="A850">
        <v>517.190924</v>
      </c>
      <c r="B850" s="1">
        <f>DATE(2011,9,30) + TIME(4,34,55)</f>
        <v>40816.19091435185</v>
      </c>
      <c r="C850">
        <v>2400</v>
      </c>
      <c r="D850">
        <v>0</v>
      </c>
      <c r="E850">
        <v>0</v>
      </c>
      <c r="F850">
        <v>2400</v>
      </c>
      <c r="G850">
        <v>1381.1787108999999</v>
      </c>
      <c r="H850">
        <v>1367.2412108999999</v>
      </c>
      <c r="I850">
        <v>1276.4890137</v>
      </c>
      <c r="J850">
        <v>1251.5676269999999</v>
      </c>
      <c r="K850">
        <v>80</v>
      </c>
      <c r="L850">
        <v>79.942169188999998</v>
      </c>
      <c r="M850">
        <v>50</v>
      </c>
      <c r="N850">
        <v>33.979820251</v>
      </c>
    </row>
    <row r="851" spans="1:14" x14ac:dyDescent="0.25">
      <c r="A851">
        <v>518</v>
      </c>
      <c r="B851" s="1">
        <f>DATE(2011,10,1) + TIME(0,0,0)</f>
        <v>40817</v>
      </c>
      <c r="C851">
        <v>2400</v>
      </c>
      <c r="D851">
        <v>0</v>
      </c>
      <c r="E851">
        <v>0</v>
      </c>
      <c r="F851">
        <v>2400</v>
      </c>
      <c r="G851">
        <v>1381.1114502</v>
      </c>
      <c r="H851">
        <v>1367.1723632999999</v>
      </c>
      <c r="I851">
        <v>1276.3529053</v>
      </c>
      <c r="J851">
        <v>1251.34375</v>
      </c>
      <c r="K851">
        <v>80</v>
      </c>
      <c r="L851">
        <v>79.942222595000004</v>
      </c>
      <c r="M851">
        <v>50</v>
      </c>
      <c r="N851">
        <v>33.856758118000002</v>
      </c>
    </row>
    <row r="852" spans="1:14" x14ac:dyDescent="0.25">
      <c r="A852">
        <v>519.92482500000006</v>
      </c>
      <c r="B852" s="1">
        <f>DATE(2011,10,2) + TIME(22,11,44)</f>
        <v>40818.924814814818</v>
      </c>
      <c r="C852">
        <v>2400</v>
      </c>
      <c r="D852">
        <v>0</v>
      </c>
      <c r="E852">
        <v>0</v>
      </c>
      <c r="F852">
        <v>2400</v>
      </c>
      <c r="G852">
        <v>1381.0831298999999</v>
      </c>
      <c r="H852">
        <v>1367.1428223</v>
      </c>
      <c r="I852">
        <v>1276.2879639</v>
      </c>
      <c r="J852">
        <v>1251.1916504000001</v>
      </c>
      <c r="K852">
        <v>80</v>
      </c>
      <c r="L852">
        <v>79.942337035999998</v>
      </c>
      <c r="M852">
        <v>50</v>
      </c>
      <c r="N852">
        <v>33.718338013</v>
      </c>
    </row>
    <row r="853" spans="1:14" x14ac:dyDescent="0.25">
      <c r="A853">
        <v>521.87483299999997</v>
      </c>
      <c r="B853" s="1">
        <f>DATE(2011,10,4) + TIME(20,59,45)</f>
        <v>40820.874826388892</v>
      </c>
      <c r="C853">
        <v>2400</v>
      </c>
      <c r="D853">
        <v>0</v>
      </c>
      <c r="E853">
        <v>0</v>
      </c>
      <c r="F853">
        <v>2400</v>
      </c>
      <c r="G853">
        <v>1381.0166016000001</v>
      </c>
      <c r="H853">
        <v>1367.0744629000001</v>
      </c>
      <c r="I853">
        <v>1276.1602783000001</v>
      </c>
      <c r="J853">
        <v>1250.9591064000001</v>
      </c>
      <c r="K853">
        <v>80</v>
      </c>
      <c r="L853">
        <v>79.942459106000001</v>
      </c>
      <c r="M853">
        <v>50</v>
      </c>
      <c r="N853">
        <v>33.566135406000001</v>
      </c>
    </row>
    <row r="854" spans="1:14" x14ac:dyDescent="0.25">
      <c r="A854">
        <v>523.82761900000003</v>
      </c>
      <c r="B854" s="1">
        <f>DATE(2011,10,6) + TIME(19,51,46)</f>
        <v>40822.827615740738</v>
      </c>
      <c r="C854">
        <v>2400</v>
      </c>
      <c r="D854">
        <v>0</v>
      </c>
      <c r="E854">
        <v>0</v>
      </c>
      <c r="F854">
        <v>2400</v>
      </c>
      <c r="G854">
        <v>1380.9493408000001</v>
      </c>
      <c r="H854">
        <v>1367.005249</v>
      </c>
      <c r="I854">
        <v>1276.0352783000001</v>
      </c>
      <c r="J854">
        <v>1250.7282714999999</v>
      </c>
      <c r="K854">
        <v>80</v>
      </c>
      <c r="L854">
        <v>79.942573546999995</v>
      </c>
      <c r="M854">
        <v>50</v>
      </c>
      <c r="N854">
        <v>33.416625977000002</v>
      </c>
    </row>
    <row r="855" spans="1:14" x14ac:dyDescent="0.25">
      <c r="A855">
        <v>525.79524300000003</v>
      </c>
      <c r="B855" s="1">
        <f>DATE(2011,10,8) + TIME(19,5,8)</f>
        <v>40824.795231481483</v>
      </c>
      <c r="C855">
        <v>2400</v>
      </c>
      <c r="D855">
        <v>0</v>
      </c>
      <c r="E855">
        <v>0</v>
      </c>
      <c r="F855">
        <v>2400</v>
      </c>
      <c r="G855">
        <v>1380.8822021000001</v>
      </c>
      <c r="H855">
        <v>1366.9360352000001</v>
      </c>
      <c r="I855">
        <v>1275.9165039</v>
      </c>
      <c r="J855">
        <v>1250.5065918</v>
      </c>
      <c r="K855">
        <v>80</v>
      </c>
      <c r="L855">
        <v>79.942695618000002</v>
      </c>
      <c r="M855">
        <v>50</v>
      </c>
      <c r="N855">
        <v>33.276065826</v>
      </c>
    </row>
    <row r="856" spans="1:14" x14ac:dyDescent="0.25">
      <c r="A856">
        <v>527.76286700000003</v>
      </c>
      <c r="B856" s="1">
        <f>DATE(2011,10,10) + TIME(18,18,31)</f>
        <v>40826.762858796297</v>
      </c>
      <c r="C856">
        <v>2400</v>
      </c>
      <c r="D856">
        <v>0</v>
      </c>
      <c r="E856">
        <v>0</v>
      </c>
      <c r="F856">
        <v>2400</v>
      </c>
      <c r="G856">
        <v>1380.8148193</v>
      </c>
      <c r="H856">
        <v>1366.8666992000001</v>
      </c>
      <c r="I856">
        <v>1275.8039550999999</v>
      </c>
      <c r="J856">
        <v>1250.2957764</v>
      </c>
      <c r="K856">
        <v>80</v>
      </c>
      <c r="L856">
        <v>79.942817688000005</v>
      </c>
      <c r="M856">
        <v>50</v>
      </c>
      <c r="N856">
        <v>33.147022247000002</v>
      </c>
    </row>
    <row r="857" spans="1:14" x14ac:dyDescent="0.25">
      <c r="A857">
        <v>529.78218700000002</v>
      </c>
      <c r="B857" s="1">
        <f>DATE(2011,10,12) + TIME(18,46,20)</f>
        <v>40828.782175925924</v>
      </c>
      <c r="C857">
        <v>2400</v>
      </c>
      <c r="D857">
        <v>0</v>
      </c>
      <c r="E857">
        <v>0</v>
      </c>
      <c r="F857">
        <v>2400</v>
      </c>
      <c r="G857">
        <v>1380.7478027</v>
      </c>
      <c r="H857">
        <v>1366.7976074000001</v>
      </c>
      <c r="I857">
        <v>1275.6987305</v>
      </c>
      <c r="J857">
        <v>1250.0975341999999</v>
      </c>
      <c r="K857">
        <v>80</v>
      </c>
      <c r="L857">
        <v>79.942939757999994</v>
      </c>
      <c r="M857">
        <v>50</v>
      </c>
      <c r="N857">
        <v>33.030296325999998</v>
      </c>
    </row>
    <row r="858" spans="1:14" x14ac:dyDescent="0.25">
      <c r="A858">
        <v>531.83491400000003</v>
      </c>
      <c r="B858" s="1">
        <f>DATE(2011,10,14) + TIME(20,2,16)</f>
        <v>40830.834907407407</v>
      </c>
      <c r="C858">
        <v>2400</v>
      </c>
      <c r="D858">
        <v>0</v>
      </c>
      <c r="E858">
        <v>0</v>
      </c>
      <c r="F858">
        <v>2400</v>
      </c>
      <c r="G858">
        <v>1380.6793213000001</v>
      </c>
      <c r="H858">
        <v>1366.7269286999999</v>
      </c>
      <c r="I858">
        <v>1275.5988769999999</v>
      </c>
      <c r="J858">
        <v>1249.9094238</v>
      </c>
      <c r="K858">
        <v>80</v>
      </c>
      <c r="L858">
        <v>79.943061829000001</v>
      </c>
      <c r="M858">
        <v>50</v>
      </c>
      <c r="N858">
        <v>32.926303863999998</v>
      </c>
    </row>
    <row r="859" spans="1:14" x14ac:dyDescent="0.25">
      <c r="A859">
        <v>533.88764200000003</v>
      </c>
      <c r="B859" s="1">
        <f>DATE(2011,10,16) + TIME(21,18,12)</f>
        <v>40832.887638888889</v>
      </c>
      <c r="C859">
        <v>2400</v>
      </c>
      <c r="D859">
        <v>0</v>
      </c>
      <c r="E859">
        <v>0</v>
      </c>
      <c r="F859">
        <v>2400</v>
      </c>
      <c r="G859">
        <v>1380.6099853999999</v>
      </c>
      <c r="H859">
        <v>1366.6553954999999</v>
      </c>
      <c r="I859">
        <v>1275.5057373</v>
      </c>
      <c r="J859">
        <v>1249.7340088000001</v>
      </c>
      <c r="K859">
        <v>80</v>
      </c>
      <c r="L859">
        <v>79.943183899000005</v>
      </c>
      <c r="M859">
        <v>50</v>
      </c>
      <c r="N859">
        <v>32.836990356000001</v>
      </c>
    </row>
    <row r="860" spans="1:14" x14ac:dyDescent="0.25">
      <c r="A860">
        <v>535.94036900000003</v>
      </c>
      <c r="B860" s="1">
        <f>DATE(2011,10,18) + TIME(22,34,7)</f>
        <v>40834.940358796295</v>
      </c>
      <c r="C860">
        <v>2400</v>
      </c>
      <c r="D860">
        <v>0</v>
      </c>
      <c r="E860">
        <v>0</v>
      </c>
      <c r="F860">
        <v>2400</v>
      </c>
      <c r="G860">
        <v>1380.5410156</v>
      </c>
      <c r="H860">
        <v>1366.5843506000001</v>
      </c>
      <c r="I860">
        <v>1275.4208983999999</v>
      </c>
      <c r="J860">
        <v>1249.5743408000001</v>
      </c>
      <c r="K860">
        <v>80</v>
      </c>
      <c r="L860">
        <v>79.943305968999994</v>
      </c>
      <c r="M860">
        <v>50</v>
      </c>
      <c r="N860">
        <v>32.764041900999999</v>
      </c>
    </row>
    <row r="861" spans="1:14" x14ac:dyDescent="0.25">
      <c r="A861">
        <v>538.02481899999998</v>
      </c>
      <c r="B861" s="1">
        <f>DATE(2011,10,21) + TIME(0,35,44)</f>
        <v>40837.024814814817</v>
      </c>
      <c r="C861">
        <v>2400</v>
      </c>
      <c r="D861">
        <v>0</v>
      </c>
      <c r="E861">
        <v>0</v>
      </c>
      <c r="F861">
        <v>2400</v>
      </c>
      <c r="G861">
        <v>1380.4725341999999</v>
      </c>
      <c r="H861">
        <v>1366.5135498</v>
      </c>
      <c r="I861">
        <v>1275.3442382999999</v>
      </c>
      <c r="J861">
        <v>1249.4305420000001</v>
      </c>
      <c r="K861">
        <v>80</v>
      </c>
      <c r="L861">
        <v>79.943428040000001</v>
      </c>
      <c r="M861">
        <v>50</v>
      </c>
      <c r="N861">
        <v>32.707935333000002</v>
      </c>
    </row>
    <row r="862" spans="1:14" x14ac:dyDescent="0.25">
      <c r="A862">
        <v>540.12781199999995</v>
      </c>
      <c r="B862" s="1">
        <f>DATE(2011,10,23) + TIME(3,4,2)</f>
        <v>40839.127800925926</v>
      </c>
      <c r="C862">
        <v>2400</v>
      </c>
      <c r="D862">
        <v>0</v>
      </c>
      <c r="E862">
        <v>0</v>
      </c>
      <c r="F862">
        <v>2400</v>
      </c>
      <c r="G862">
        <v>1380.4033202999999</v>
      </c>
      <c r="H862">
        <v>1366.4421387</v>
      </c>
      <c r="I862">
        <v>1275.2750243999999</v>
      </c>
      <c r="J862">
        <v>1249.3018798999999</v>
      </c>
      <c r="K862">
        <v>80</v>
      </c>
      <c r="L862">
        <v>79.943550110000004</v>
      </c>
      <c r="M862">
        <v>50</v>
      </c>
      <c r="N862">
        <v>32.669109343999999</v>
      </c>
    </row>
    <row r="863" spans="1:14" x14ac:dyDescent="0.25">
      <c r="A863">
        <v>542.25494000000003</v>
      </c>
      <c r="B863" s="1">
        <f>DATE(2011,10,25) + TIME(6,7,6)</f>
        <v>40841.254930555559</v>
      </c>
      <c r="C863">
        <v>2400</v>
      </c>
      <c r="D863">
        <v>0</v>
      </c>
      <c r="E863">
        <v>0</v>
      </c>
      <c r="F863">
        <v>2400</v>
      </c>
      <c r="G863">
        <v>1380.3339844</v>
      </c>
      <c r="H863">
        <v>1366.3704834</v>
      </c>
      <c r="I863">
        <v>1275.2136230000001</v>
      </c>
      <c r="J863">
        <v>1249.1889647999999</v>
      </c>
      <c r="K863">
        <v>80</v>
      </c>
      <c r="L863">
        <v>79.943672179999993</v>
      </c>
      <c r="M863">
        <v>50</v>
      </c>
      <c r="N863">
        <v>32.648174286</v>
      </c>
    </row>
    <row r="864" spans="1:14" x14ac:dyDescent="0.25">
      <c r="A864">
        <v>544.382068</v>
      </c>
      <c r="B864" s="1">
        <f>DATE(2011,10,27) + TIME(9,10,10)</f>
        <v>40843.382060185184</v>
      </c>
      <c r="C864">
        <v>2400</v>
      </c>
      <c r="D864">
        <v>0</v>
      </c>
      <c r="E864">
        <v>0</v>
      </c>
      <c r="F864">
        <v>2400</v>
      </c>
      <c r="G864">
        <v>1380.2642822</v>
      </c>
      <c r="H864">
        <v>1366.2985839999999</v>
      </c>
      <c r="I864">
        <v>1275.1599120999999</v>
      </c>
      <c r="J864">
        <v>1249.0924072</v>
      </c>
      <c r="K864">
        <v>80</v>
      </c>
      <c r="L864">
        <v>79.943794249999996</v>
      </c>
      <c r="M864">
        <v>50</v>
      </c>
      <c r="N864">
        <v>32.645576476999999</v>
      </c>
    </row>
    <row r="865" spans="1:14" x14ac:dyDescent="0.25">
      <c r="A865">
        <v>546.50919599999997</v>
      </c>
      <c r="B865" s="1">
        <f>DATE(2011,10,29) + TIME(12,13,14)</f>
        <v>40845.509189814817</v>
      </c>
      <c r="C865">
        <v>2400</v>
      </c>
      <c r="D865">
        <v>0</v>
      </c>
      <c r="E865">
        <v>0</v>
      </c>
      <c r="F865">
        <v>2400</v>
      </c>
      <c r="G865">
        <v>1380.1950684000001</v>
      </c>
      <c r="H865">
        <v>1366.2271728999999</v>
      </c>
      <c r="I865">
        <v>1275.1143798999999</v>
      </c>
      <c r="J865">
        <v>1249.0128173999999</v>
      </c>
      <c r="K865">
        <v>80</v>
      </c>
      <c r="L865">
        <v>79.943916321000003</v>
      </c>
      <c r="M865">
        <v>50</v>
      </c>
      <c r="N865">
        <v>32.661239623999997</v>
      </c>
    </row>
    <row r="866" spans="1:14" x14ac:dyDescent="0.25">
      <c r="A866">
        <v>548.68605400000001</v>
      </c>
      <c r="B866" s="1">
        <f>DATE(2011,10,31) + TIME(16,27,55)</f>
        <v>40847.686053240737</v>
      </c>
      <c r="C866">
        <v>2400</v>
      </c>
      <c r="D866">
        <v>0</v>
      </c>
      <c r="E866">
        <v>0</v>
      </c>
      <c r="F866">
        <v>2400</v>
      </c>
      <c r="G866">
        <v>1380.1265868999999</v>
      </c>
      <c r="H866">
        <v>1366.1563721</v>
      </c>
      <c r="I866">
        <v>1275.0766602000001</v>
      </c>
      <c r="J866">
        <v>1248.949707</v>
      </c>
      <c r="K866">
        <v>80</v>
      </c>
      <c r="L866">
        <v>79.944046021000005</v>
      </c>
      <c r="M866">
        <v>50</v>
      </c>
      <c r="N866">
        <v>32.694869994999998</v>
      </c>
    </row>
    <row r="867" spans="1:14" x14ac:dyDescent="0.25">
      <c r="A867">
        <v>549</v>
      </c>
      <c r="B867" s="1">
        <f>DATE(2011,11,1) + TIME(0,0,0)</f>
        <v>40848</v>
      </c>
      <c r="C867">
        <v>2400</v>
      </c>
      <c r="D867">
        <v>0</v>
      </c>
      <c r="E867">
        <v>0</v>
      </c>
      <c r="F867">
        <v>2400</v>
      </c>
      <c r="G867">
        <v>1380.059082</v>
      </c>
      <c r="H867">
        <v>1366.0872803</v>
      </c>
      <c r="I867">
        <v>1275.0666504000001</v>
      </c>
      <c r="J867">
        <v>1248.9191894999999</v>
      </c>
      <c r="K867">
        <v>80</v>
      </c>
      <c r="L867">
        <v>79.944053650000001</v>
      </c>
      <c r="M867">
        <v>50</v>
      </c>
      <c r="N867">
        <v>32.714191436999997</v>
      </c>
    </row>
    <row r="868" spans="1:14" x14ac:dyDescent="0.25">
      <c r="A868">
        <v>549.000001</v>
      </c>
      <c r="B868" s="1">
        <f>DATE(2011,11,1) + TIME(0,0,0)</f>
        <v>40848</v>
      </c>
      <c r="C868">
        <v>0</v>
      </c>
      <c r="D868">
        <v>2400</v>
      </c>
      <c r="E868">
        <v>2400</v>
      </c>
      <c r="F868">
        <v>0</v>
      </c>
      <c r="G868">
        <v>1365.2155762</v>
      </c>
      <c r="H868">
        <v>1353.8723144999999</v>
      </c>
      <c r="I868">
        <v>1301.9313964999999</v>
      </c>
      <c r="J868">
        <v>1275.9390868999999</v>
      </c>
      <c r="K868">
        <v>80</v>
      </c>
      <c r="L868">
        <v>79.943931579999997</v>
      </c>
      <c r="M868">
        <v>50</v>
      </c>
      <c r="N868">
        <v>32.714309692</v>
      </c>
    </row>
    <row r="869" spans="1:14" x14ac:dyDescent="0.25">
      <c r="A869">
        <v>549.00000399999999</v>
      </c>
      <c r="B869" s="1">
        <f>DATE(2011,11,1) + TIME(0,0,0)</f>
        <v>40848</v>
      </c>
      <c r="C869">
        <v>0</v>
      </c>
      <c r="D869">
        <v>2400</v>
      </c>
      <c r="E869">
        <v>2400</v>
      </c>
      <c r="F869">
        <v>0</v>
      </c>
      <c r="G869">
        <v>1363.0131836</v>
      </c>
      <c r="H869">
        <v>1351.6693115</v>
      </c>
      <c r="I869">
        <v>1304.3472899999999</v>
      </c>
      <c r="J869">
        <v>1278.3397216999999</v>
      </c>
      <c r="K869">
        <v>80</v>
      </c>
      <c r="L869">
        <v>79.943618774000001</v>
      </c>
      <c r="M869">
        <v>50</v>
      </c>
      <c r="N869">
        <v>32.714649199999997</v>
      </c>
    </row>
    <row r="870" spans="1:14" x14ac:dyDescent="0.25">
      <c r="A870">
        <v>549.00001299999997</v>
      </c>
      <c r="B870" s="1">
        <f>DATE(2011,11,1) + TIME(0,0,1)</f>
        <v>40848.000011574077</v>
      </c>
      <c r="C870">
        <v>0</v>
      </c>
      <c r="D870">
        <v>2400</v>
      </c>
      <c r="E870">
        <v>2400</v>
      </c>
      <c r="F870">
        <v>0</v>
      </c>
      <c r="G870">
        <v>1358.5670166</v>
      </c>
      <c r="H870">
        <v>1347.2225341999999</v>
      </c>
      <c r="I870">
        <v>1310.1270752</v>
      </c>
      <c r="J870">
        <v>1284.0991211</v>
      </c>
      <c r="K870">
        <v>80</v>
      </c>
      <c r="L870">
        <v>79.942985535000005</v>
      </c>
      <c r="M870">
        <v>50</v>
      </c>
      <c r="N870">
        <v>32.715492249</v>
      </c>
    </row>
    <row r="871" spans="1:14" x14ac:dyDescent="0.25">
      <c r="A871">
        <v>549.00004000000001</v>
      </c>
      <c r="B871" s="1">
        <f>DATE(2011,11,1) + TIME(0,0,3)</f>
        <v>40848.000034722223</v>
      </c>
      <c r="C871">
        <v>0</v>
      </c>
      <c r="D871">
        <v>2400</v>
      </c>
      <c r="E871">
        <v>2400</v>
      </c>
      <c r="F871">
        <v>0</v>
      </c>
      <c r="G871">
        <v>1352.0727539</v>
      </c>
      <c r="H871">
        <v>1340.7287598</v>
      </c>
      <c r="I871">
        <v>1320.7816161999999</v>
      </c>
      <c r="J871">
        <v>1294.7487793</v>
      </c>
      <c r="K871">
        <v>80</v>
      </c>
      <c r="L871">
        <v>79.942062378000003</v>
      </c>
      <c r="M871">
        <v>50</v>
      </c>
      <c r="N871">
        <v>32.717269897000001</v>
      </c>
    </row>
    <row r="872" spans="1:14" x14ac:dyDescent="0.25">
      <c r="A872">
        <v>549.00012100000004</v>
      </c>
      <c r="B872" s="1">
        <f>DATE(2011,11,1) + TIME(0,0,10)</f>
        <v>40848.000115740739</v>
      </c>
      <c r="C872">
        <v>0</v>
      </c>
      <c r="D872">
        <v>2400</v>
      </c>
      <c r="E872">
        <v>2400</v>
      </c>
      <c r="F872">
        <v>0</v>
      </c>
      <c r="G872">
        <v>1344.8392334</v>
      </c>
      <c r="H872">
        <v>1333.5035399999999</v>
      </c>
      <c r="I872">
        <v>1334.8824463000001</v>
      </c>
      <c r="J872">
        <v>1308.8688964999999</v>
      </c>
      <c r="K872">
        <v>80</v>
      </c>
      <c r="L872">
        <v>79.941017150999997</v>
      </c>
      <c r="M872">
        <v>50</v>
      </c>
      <c r="N872">
        <v>32.720520020000002</v>
      </c>
    </row>
    <row r="873" spans="1:14" x14ac:dyDescent="0.25">
      <c r="A873">
        <v>549.00036399999999</v>
      </c>
      <c r="B873" s="1">
        <f>DATE(2011,11,1) + TIME(0,0,31)</f>
        <v>40848.000358796293</v>
      </c>
      <c r="C873">
        <v>0</v>
      </c>
      <c r="D873">
        <v>2400</v>
      </c>
      <c r="E873">
        <v>2400</v>
      </c>
      <c r="F873">
        <v>0</v>
      </c>
      <c r="G873">
        <v>1337.5656738</v>
      </c>
      <c r="H873">
        <v>1326.2401123</v>
      </c>
      <c r="I873">
        <v>1349.989624</v>
      </c>
      <c r="J873">
        <v>1324.003418</v>
      </c>
      <c r="K873">
        <v>80</v>
      </c>
      <c r="L873">
        <v>79.939926146999994</v>
      </c>
      <c r="M873">
        <v>50</v>
      </c>
      <c r="N873">
        <v>32.727127074999999</v>
      </c>
    </row>
    <row r="874" spans="1:14" x14ac:dyDescent="0.25">
      <c r="A874">
        <v>549.00109299999997</v>
      </c>
      <c r="B874" s="1">
        <f>DATE(2011,11,1) + TIME(0,1,34)</f>
        <v>40848.001087962963</v>
      </c>
      <c r="C874">
        <v>0</v>
      </c>
      <c r="D874">
        <v>2400</v>
      </c>
      <c r="E874">
        <v>2400</v>
      </c>
      <c r="F874">
        <v>0</v>
      </c>
      <c r="G874">
        <v>1330.2233887</v>
      </c>
      <c r="H874">
        <v>1318.8947754000001</v>
      </c>
      <c r="I874">
        <v>1365.3774414</v>
      </c>
      <c r="J874">
        <v>1339.4149170000001</v>
      </c>
      <c r="K874">
        <v>80</v>
      </c>
      <c r="L874">
        <v>79.938697814999998</v>
      </c>
      <c r="M874">
        <v>50</v>
      </c>
      <c r="N874">
        <v>32.743469238000003</v>
      </c>
    </row>
    <row r="875" spans="1:14" x14ac:dyDescent="0.25">
      <c r="A875">
        <v>549.00328000000002</v>
      </c>
      <c r="B875" s="1">
        <f>DATE(2011,11,1) + TIME(0,4,43)</f>
        <v>40848.003275462965</v>
      </c>
      <c r="C875">
        <v>0</v>
      </c>
      <c r="D875">
        <v>2400</v>
      </c>
      <c r="E875">
        <v>2400</v>
      </c>
      <c r="F875">
        <v>0</v>
      </c>
      <c r="G875">
        <v>1322.4307861</v>
      </c>
      <c r="H875">
        <v>1311.0349120999999</v>
      </c>
      <c r="I875">
        <v>1381.0385742000001</v>
      </c>
      <c r="J875">
        <v>1355.0920410000001</v>
      </c>
      <c r="K875">
        <v>80</v>
      </c>
      <c r="L875">
        <v>79.937026978000006</v>
      </c>
      <c r="M875">
        <v>50</v>
      </c>
      <c r="N875">
        <v>32.788871765000003</v>
      </c>
    </row>
    <row r="876" spans="1:14" x14ac:dyDescent="0.25">
      <c r="A876">
        <v>549.00984100000005</v>
      </c>
      <c r="B876" s="1">
        <f>DATE(2011,11,1) + TIME(0,14,10)</f>
        <v>40848.009837962964</v>
      </c>
      <c r="C876">
        <v>0</v>
      </c>
      <c r="D876">
        <v>2400</v>
      </c>
      <c r="E876">
        <v>2400</v>
      </c>
      <c r="F876">
        <v>0</v>
      </c>
      <c r="G876">
        <v>1314.1279297000001</v>
      </c>
      <c r="H876">
        <v>1302.5939940999999</v>
      </c>
      <c r="I876">
        <v>1395.7185059000001</v>
      </c>
      <c r="J876">
        <v>1369.8120117000001</v>
      </c>
      <c r="K876">
        <v>80</v>
      </c>
      <c r="L876">
        <v>79.934165954999997</v>
      </c>
      <c r="M876">
        <v>50</v>
      </c>
      <c r="N876">
        <v>32.920505523999999</v>
      </c>
    </row>
    <row r="877" spans="1:14" x14ac:dyDescent="0.25">
      <c r="A877">
        <v>549.02952400000004</v>
      </c>
      <c r="B877" s="1">
        <f>DATE(2011,11,1) + TIME(0,42,30)</f>
        <v>40848.029513888891</v>
      </c>
      <c r="C877">
        <v>0</v>
      </c>
      <c r="D877">
        <v>2400</v>
      </c>
      <c r="E877">
        <v>2400</v>
      </c>
      <c r="F877">
        <v>0</v>
      </c>
      <c r="G877">
        <v>1306.9112548999999</v>
      </c>
      <c r="H877">
        <v>1295.2501221</v>
      </c>
      <c r="I877">
        <v>1406.199707</v>
      </c>
      <c r="J877">
        <v>1380.4611815999999</v>
      </c>
      <c r="K877">
        <v>80</v>
      </c>
      <c r="L877">
        <v>79.928115844999994</v>
      </c>
      <c r="M877">
        <v>50</v>
      </c>
      <c r="N877">
        <v>33.303337096999996</v>
      </c>
    </row>
    <row r="878" spans="1:14" x14ac:dyDescent="0.25">
      <c r="A878">
        <v>549.07260900000006</v>
      </c>
      <c r="B878" s="1">
        <f>DATE(2011,11,1) + TIME(1,44,33)</f>
        <v>40848.072604166664</v>
      </c>
      <c r="C878">
        <v>0</v>
      </c>
      <c r="D878">
        <v>2400</v>
      </c>
      <c r="E878">
        <v>2400</v>
      </c>
      <c r="F878">
        <v>0</v>
      </c>
      <c r="G878">
        <v>1303.284668</v>
      </c>
      <c r="H878">
        <v>1291.5617675999999</v>
      </c>
      <c r="I878">
        <v>1409.9812012</v>
      </c>
      <c r="J878">
        <v>1384.6179199000001</v>
      </c>
      <c r="K878">
        <v>80</v>
      </c>
      <c r="L878">
        <v>79.916900635000005</v>
      </c>
      <c r="M878">
        <v>50</v>
      </c>
      <c r="N878">
        <v>34.100696564000003</v>
      </c>
    </row>
    <row r="879" spans="1:14" x14ac:dyDescent="0.25">
      <c r="A879">
        <v>549.117524</v>
      </c>
      <c r="B879" s="1">
        <f>DATE(2011,11,1) + TIME(2,49,14)</f>
        <v>40848.117523148147</v>
      </c>
      <c r="C879">
        <v>0</v>
      </c>
      <c r="D879">
        <v>2400</v>
      </c>
      <c r="E879">
        <v>2400</v>
      </c>
      <c r="F879">
        <v>0</v>
      </c>
      <c r="G879">
        <v>1302.269043</v>
      </c>
      <c r="H879">
        <v>1290.5280762</v>
      </c>
      <c r="I879">
        <v>1410.3613281</v>
      </c>
      <c r="J879">
        <v>1385.3557129000001</v>
      </c>
      <c r="K879">
        <v>80</v>
      </c>
      <c r="L879">
        <v>79.905746460000003</v>
      </c>
      <c r="M879">
        <v>50</v>
      </c>
      <c r="N879">
        <v>34.892009735000002</v>
      </c>
    </row>
    <row r="880" spans="1:14" x14ac:dyDescent="0.25">
      <c r="A880">
        <v>549.16436199999998</v>
      </c>
      <c r="B880" s="1">
        <f>DATE(2011,11,1) + TIME(3,56,40)</f>
        <v>40848.164351851854</v>
      </c>
      <c r="C880">
        <v>0</v>
      </c>
      <c r="D880">
        <v>2400</v>
      </c>
      <c r="E880">
        <v>2400</v>
      </c>
      <c r="F880">
        <v>0</v>
      </c>
      <c r="G880">
        <v>1301.9573975000001</v>
      </c>
      <c r="H880">
        <v>1290.2099608999999</v>
      </c>
      <c r="I880">
        <v>1410.0155029</v>
      </c>
      <c r="J880">
        <v>1385.3562012</v>
      </c>
      <c r="K880">
        <v>80</v>
      </c>
      <c r="L880">
        <v>79.894378661999994</v>
      </c>
      <c r="M880">
        <v>50</v>
      </c>
      <c r="N880">
        <v>35.676063538000001</v>
      </c>
    </row>
    <row r="881" spans="1:14" x14ac:dyDescent="0.25">
      <c r="A881">
        <v>549.21329700000001</v>
      </c>
      <c r="B881" s="1">
        <f>DATE(2011,11,1) + TIME(5,7,8)</f>
        <v>40848.213287037041</v>
      </c>
      <c r="C881">
        <v>0</v>
      </c>
      <c r="D881">
        <v>2400</v>
      </c>
      <c r="E881">
        <v>2400</v>
      </c>
      <c r="F881">
        <v>0</v>
      </c>
      <c r="G881">
        <v>1301.8538818</v>
      </c>
      <c r="H881">
        <v>1290.1035156</v>
      </c>
      <c r="I881">
        <v>1409.5327147999999</v>
      </c>
      <c r="J881">
        <v>1385.2072754000001</v>
      </c>
      <c r="K881">
        <v>80</v>
      </c>
      <c r="L881">
        <v>79.882720946999996</v>
      </c>
      <c r="M881">
        <v>50</v>
      </c>
      <c r="N881">
        <v>36.452507019000002</v>
      </c>
    </row>
    <row r="882" spans="1:14" x14ac:dyDescent="0.25">
      <c r="A882">
        <v>549.26454100000001</v>
      </c>
      <c r="B882" s="1">
        <f>DATE(2011,11,1) + TIME(6,20,56)</f>
        <v>40848.264537037037</v>
      </c>
      <c r="C882">
        <v>0</v>
      </c>
      <c r="D882">
        <v>2400</v>
      </c>
      <c r="E882">
        <v>2400</v>
      </c>
      <c r="F882">
        <v>0</v>
      </c>
      <c r="G882">
        <v>1301.8166504000001</v>
      </c>
      <c r="H882">
        <v>1290.0643310999999</v>
      </c>
      <c r="I882">
        <v>1409.0418701000001</v>
      </c>
      <c r="J882">
        <v>1385.0383300999999</v>
      </c>
      <c r="K882">
        <v>80</v>
      </c>
      <c r="L882">
        <v>79.870712280000006</v>
      </c>
      <c r="M882">
        <v>50</v>
      </c>
      <c r="N882">
        <v>37.221111297999997</v>
      </c>
    </row>
    <row r="883" spans="1:14" x14ac:dyDescent="0.25">
      <c r="A883">
        <v>549.31835000000001</v>
      </c>
      <c r="B883" s="1">
        <f>DATE(2011,11,1) + TIME(7,38,25)</f>
        <v>40848.318344907406</v>
      </c>
      <c r="C883">
        <v>0</v>
      </c>
      <c r="D883">
        <v>2400</v>
      </c>
      <c r="E883">
        <v>2400</v>
      </c>
      <c r="F883">
        <v>0</v>
      </c>
      <c r="G883">
        <v>1301.8020019999999</v>
      </c>
      <c r="H883">
        <v>1290.0482178</v>
      </c>
      <c r="I883">
        <v>1408.5675048999999</v>
      </c>
      <c r="J883">
        <v>1384.8740233999999</v>
      </c>
      <c r="K883">
        <v>80</v>
      </c>
      <c r="L883">
        <v>79.858306885000005</v>
      </c>
      <c r="M883">
        <v>50</v>
      </c>
      <c r="N883">
        <v>37.981735229000002</v>
      </c>
    </row>
    <row r="884" spans="1:14" x14ac:dyDescent="0.25">
      <c r="A884">
        <v>549.37501299999997</v>
      </c>
      <c r="B884" s="1">
        <f>DATE(2011,11,1) + TIME(9,0,1)</f>
        <v>40848.375011574077</v>
      </c>
      <c r="C884">
        <v>0</v>
      </c>
      <c r="D884">
        <v>2400</v>
      </c>
      <c r="E884">
        <v>2400</v>
      </c>
      <c r="F884">
        <v>0</v>
      </c>
      <c r="G884">
        <v>1301.7955322</v>
      </c>
      <c r="H884">
        <v>1290.0402832</v>
      </c>
      <c r="I884">
        <v>1408.1110839999999</v>
      </c>
      <c r="J884">
        <v>1384.7165527</v>
      </c>
      <c r="K884">
        <v>80</v>
      </c>
      <c r="L884">
        <v>79.845458984000004</v>
      </c>
      <c r="M884">
        <v>50</v>
      </c>
      <c r="N884">
        <v>38.734100341999998</v>
      </c>
    </row>
    <row r="885" spans="1:14" x14ac:dyDescent="0.25">
      <c r="A885">
        <v>549.43486800000005</v>
      </c>
      <c r="B885" s="1">
        <f>DATE(2011,11,1) + TIME(10,26,12)</f>
        <v>40848.434861111113</v>
      </c>
      <c r="C885">
        <v>0</v>
      </c>
      <c r="D885">
        <v>2400</v>
      </c>
      <c r="E885">
        <v>2400</v>
      </c>
      <c r="F885">
        <v>0</v>
      </c>
      <c r="G885">
        <v>1301.7922363</v>
      </c>
      <c r="H885">
        <v>1290.0354004000001</v>
      </c>
      <c r="I885">
        <v>1407.6710204999999</v>
      </c>
      <c r="J885">
        <v>1384.5645752</v>
      </c>
      <c r="K885">
        <v>80</v>
      </c>
      <c r="L885">
        <v>79.832107543999996</v>
      </c>
      <c r="M885">
        <v>50</v>
      </c>
      <c r="N885">
        <v>39.477863311999997</v>
      </c>
    </row>
    <row r="886" spans="1:14" x14ac:dyDescent="0.25">
      <c r="A886">
        <v>549.49831800000004</v>
      </c>
      <c r="B886" s="1">
        <f>DATE(2011,11,1) + TIME(11,57,34)</f>
        <v>40848.498310185183</v>
      </c>
      <c r="C886">
        <v>0</v>
      </c>
      <c r="D886">
        <v>2400</v>
      </c>
      <c r="E886">
        <v>2400</v>
      </c>
      <c r="F886">
        <v>0</v>
      </c>
      <c r="G886">
        <v>1301.7899170000001</v>
      </c>
      <c r="H886">
        <v>1290.0314940999999</v>
      </c>
      <c r="I886">
        <v>1407.2454834</v>
      </c>
      <c r="J886">
        <v>1384.416626</v>
      </c>
      <c r="K886">
        <v>80</v>
      </c>
      <c r="L886">
        <v>79.818199157999999</v>
      </c>
      <c r="M886">
        <v>50</v>
      </c>
      <c r="N886">
        <v>40.212665557999998</v>
      </c>
    </row>
    <row r="887" spans="1:14" x14ac:dyDescent="0.25">
      <c r="A887">
        <v>549.56583799999999</v>
      </c>
      <c r="B887" s="1">
        <f>DATE(2011,11,1) + TIME(13,34,48)</f>
        <v>40848.565833333334</v>
      </c>
      <c r="C887">
        <v>0</v>
      </c>
      <c r="D887">
        <v>2400</v>
      </c>
      <c r="E887">
        <v>2400</v>
      </c>
      <c r="F887">
        <v>0</v>
      </c>
      <c r="G887">
        <v>1301.7879639</v>
      </c>
      <c r="H887">
        <v>1290.0279541</v>
      </c>
      <c r="I887">
        <v>1406.8330077999999</v>
      </c>
      <c r="J887">
        <v>1384.2717285000001</v>
      </c>
      <c r="K887">
        <v>80</v>
      </c>
      <c r="L887">
        <v>79.803657532000003</v>
      </c>
      <c r="M887">
        <v>50</v>
      </c>
      <c r="N887">
        <v>40.938106537000003</v>
      </c>
    </row>
    <row r="888" spans="1:14" x14ac:dyDescent="0.25">
      <c r="A888">
        <v>549.63800600000002</v>
      </c>
      <c r="B888" s="1">
        <f>DATE(2011,11,1) + TIME(15,18,43)</f>
        <v>40848.637997685182</v>
      </c>
      <c r="C888">
        <v>0</v>
      </c>
      <c r="D888">
        <v>2400</v>
      </c>
      <c r="E888">
        <v>2400</v>
      </c>
      <c r="F888">
        <v>0</v>
      </c>
      <c r="G888">
        <v>1301.7858887</v>
      </c>
      <c r="H888">
        <v>1290.0242920000001</v>
      </c>
      <c r="I888">
        <v>1406.4328613</v>
      </c>
      <c r="J888">
        <v>1384.1291504000001</v>
      </c>
      <c r="K888">
        <v>80</v>
      </c>
      <c r="L888">
        <v>79.788391113000003</v>
      </c>
      <c r="M888">
        <v>50</v>
      </c>
      <c r="N888">
        <v>41.653495788999997</v>
      </c>
    </row>
    <row r="889" spans="1:14" x14ac:dyDescent="0.25">
      <c r="A889">
        <v>549.71552199999996</v>
      </c>
      <c r="B889" s="1">
        <f>DATE(2011,11,1) + TIME(17,10,21)</f>
        <v>40848.715520833335</v>
      </c>
      <c r="C889">
        <v>0</v>
      </c>
      <c r="D889">
        <v>2400</v>
      </c>
      <c r="E889">
        <v>2400</v>
      </c>
      <c r="F889">
        <v>0</v>
      </c>
      <c r="G889">
        <v>1301.7838135</v>
      </c>
      <c r="H889">
        <v>1290.0203856999999</v>
      </c>
      <c r="I889">
        <v>1406.0440673999999</v>
      </c>
      <c r="J889">
        <v>1383.9882812000001</v>
      </c>
      <c r="K889">
        <v>80</v>
      </c>
      <c r="L889">
        <v>79.772300720000004</v>
      </c>
      <c r="M889">
        <v>50</v>
      </c>
      <c r="N889">
        <v>42.358165741000001</v>
      </c>
    </row>
    <row r="890" spans="1:14" x14ac:dyDescent="0.25">
      <c r="A890">
        <v>549.79925500000002</v>
      </c>
      <c r="B890" s="1">
        <f>DATE(2011,11,1) + TIME(19,10,55)</f>
        <v>40848.799247685187</v>
      </c>
      <c r="C890">
        <v>0</v>
      </c>
      <c r="D890">
        <v>2400</v>
      </c>
      <c r="E890">
        <v>2400</v>
      </c>
      <c r="F890">
        <v>0</v>
      </c>
      <c r="G890">
        <v>1301.7813721</v>
      </c>
      <c r="H890">
        <v>1290.0161132999999</v>
      </c>
      <c r="I890">
        <v>1405.6657714999999</v>
      </c>
      <c r="J890">
        <v>1383.8483887</v>
      </c>
      <c r="K890">
        <v>80</v>
      </c>
      <c r="L890">
        <v>79.755249023000005</v>
      </c>
      <c r="M890">
        <v>50</v>
      </c>
      <c r="N890">
        <v>43.051307678000001</v>
      </c>
    </row>
    <row r="891" spans="1:14" x14ac:dyDescent="0.25">
      <c r="A891">
        <v>549.89029200000004</v>
      </c>
      <c r="B891" s="1">
        <f>DATE(2011,11,1) + TIME(21,22,1)</f>
        <v>40848.890289351853</v>
      </c>
      <c r="C891">
        <v>0</v>
      </c>
      <c r="D891">
        <v>2400</v>
      </c>
      <c r="E891">
        <v>2400</v>
      </c>
      <c r="F891">
        <v>0</v>
      </c>
      <c r="G891">
        <v>1301.7786865</v>
      </c>
      <c r="H891">
        <v>1290.0115966999999</v>
      </c>
      <c r="I891">
        <v>1405.2972411999999</v>
      </c>
      <c r="J891">
        <v>1383.7088623</v>
      </c>
      <c r="K891">
        <v>80</v>
      </c>
      <c r="L891">
        <v>79.737083435000002</v>
      </c>
      <c r="M891">
        <v>50</v>
      </c>
      <c r="N891">
        <v>43.731945037999999</v>
      </c>
    </row>
    <row r="892" spans="1:14" x14ac:dyDescent="0.25">
      <c r="A892">
        <v>549.990004</v>
      </c>
      <c r="B892" s="1">
        <f>DATE(2011,11,1) + TIME(23,45,36)</f>
        <v>40848.99</v>
      </c>
      <c r="C892">
        <v>0</v>
      </c>
      <c r="D892">
        <v>2400</v>
      </c>
      <c r="E892">
        <v>2400</v>
      </c>
      <c r="F892">
        <v>0</v>
      </c>
      <c r="G892">
        <v>1301.7757568</v>
      </c>
      <c r="H892">
        <v>1290.0067139</v>
      </c>
      <c r="I892">
        <v>1404.9377440999999</v>
      </c>
      <c r="J892">
        <v>1383.5689697</v>
      </c>
      <c r="K892">
        <v>80</v>
      </c>
      <c r="L892">
        <v>79.717597960999996</v>
      </c>
      <c r="M892">
        <v>50</v>
      </c>
      <c r="N892">
        <v>44.398799896</v>
      </c>
    </row>
    <row r="893" spans="1:14" x14ac:dyDescent="0.25">
      <c r="A893">
        <v>550.10020399999996</v>
      </c>
      <c r="B893" s="1">
        <f>DATE(2011,11,2) + TIME(2,24,17)</f>
        <v>40849.10019675926</v>
      </c>
      <c r="C893">
        <v>0</v>
      </c>
      <c r="D893">
        <v>2400</v>
      </c>
      <c r="E893">
        <v>2400</v>
      </c>
      <c r="F893">
        <v>0</v>
      </c>
      <c r="G893">
        <v>1301.7723389</v>
      </c>
      <c r="H893">
        <v>1290.0012207</v>
      </c>
      <c r="I893">
        <v>1404.5865478999999</v>
      </c>
      <c r="J893">
        <v>1383.4279785000001</v>
      </c>
      <c r="K893">
        <v>80</v>
      </c>
      <c r="L893">
        <v>79.696533203000001</v>
      </c>
      <c r="M893">
        <v>50</v>
      </c>
      <c r="N893">
        <v>45.050498961999999</v>
      </c>
    </row>
    <row r="894" spans="1:14" x14ac:dyDescent="0.25">
      <c r="A894">
        <v>550.22330299999999</v>
      </c>
      <c r="B894" s="1">
        <f>DATE(2011,11,2) + TIME(5,21,33)</f>
        <v>40849.223298611112</v>
      </c>
      <c r="C894">
        <v>0</v>
      </c>
      <c r="D894">
        <v>2400</v>
      </c>
      <c r="E894">
        <v>2400</v>
      </c>
      <c r="F894">
        <v>0</v>
      </c>
      <c r="G894">
        <v>1301.7684326000001</v>
      </c>
      <c r="H894">
        <v>1289.9952393000001</v>
      </c>
      <c r="I894">
        <v>1404.2426757999999</v>
      </c>
      <c r="J894">
        <v>1383.284668</v>
      </c>
      <c r="K894">
        <v>80</v>
      </c>
      <c r="L894">
        <v>79.673561096</v>
      </c>
      <c r="M894">
        <v>50</v>
      </c>
      <c r="N894">
        <v>45.685295105000002</v>
      </c>
    </row>
    <row r="895" spans="1:14" x14ac:dyDescent="0.25">
      <c r="A895">
        <v>550.36259900000005</v>
      </c>
      <c r="B895" s="1">
        <f>DATE(2011,11,2) + TIME(8,42,8)</f>
        <v>40849.362592592595</v>
      </c>
      <c r="C895">
        <v>0</v>
      </c>
      <c r="D895">
        <v>2400</v>
      </c>
      <c r="E895">
        <v>2400</v>
      </c>
      <c r="F895">
        <v>0</v>
      </c>
      <c r="G895">
        <v>1301.7640381000001</v>
      </c>
      <c r="H895">
        <v>1289.9885254000001</v>
      </c>
      <c r="I895">
        <v>1403.9051514</v>
      </c>
      <c r="J895">
        <v>1383.1379394999999</v>
      </c>
      <c r="K895">
        <v>80</v>
      </c>
      <c r="L895">
        <v>79.648223877000007</v>
      </c>
      <c r="M895">
        <v>50</v>
      </c>
      <c r="N895">
        <v>46.300933837999999</v>
      </c>
    </row>
    <row r="896" spans="1:14" x14ac:dyDescent="0.25">
      <c r="A896">
        <v>550.52275399999996</v>
      </c>
      <c r="B896" s="1">
        <f>DATE(2011,11,2) + TIME(12,32,45)</f>
        <v>40849.522743055553</v>
      </c>
      <c r="C896">
        <v>0</v>
      </c>
      <c r="D896">
        <v>2400</v>
      </c>
      <c r="E896">
        <v>2400</v>
      </c>
      <c r="F896">
        <v>0</v>
      </c>
      <c r="G896">
        <v>1301.7587891000001</v>
      </c>
      <c r="H896">
        <v>1289.9810791</v>
      </c>
      <c r="I896">
        <v>1403.572876</v>
      </c>
      <c r="J896">
        <v>1382.9863281</v>
      </c>
      <c r="K896">
        <v>80</v>
      </c>
      <c r="L896">
        <v>79.619911193999997</v>
      </c>
      <c r="M896">
        <v>50</v>
      </c>
      <c r="N896">
        <v>46.894523620999998</v>
      </c>
    </row>
    <row r="897" spans="1:14" x14ac:dyDescent="0.25">
      <c r="A897">
        <v>550.70390499999996</v>
      </c>
      <c r="B897" s="1">
        <f>DATE(2011,11,2) + TIME(16,53,37)</f>
        <v>40849.703900462962</v>
      </c>
      <c r="C897">
        <v>0</v>
      </c>
      <c r="D897">
        <v>2400</v>
      </c>
      <c r="E897">
        <v>2400</v>
      </c>
      <c r="F897">
        <v>0</v>
      </c>
      <c r="G897">
        <v>1301.7526855000001</v>
      </c>
      <c r="H897">
        <v>1289.9724120999999</v>
      </c>
      <c r="I897">
        <v>1403.2531738</v>
      </c>
      <c r="J897">
        <v>1382.8309326000001</v>
      </c>
      <c r="K897">
        <v>80</v>
      </c>
      <c r="L897">
        <v>79.588691710999996</v>
      </c>
      <c r="M897">
        <v>50</v>
      </c>
      <c r="N897">
        <v>47.445575714</v>
      </c>
    </row>
    <row r="898" spans="1:14" x14ac:dyDescent="0.25">
      <c r="A898">
        <v>550.88551700000005</v>
      </c>
      <c r="B898" s="1">
        <f>DATE(2011,11,2) + TIME(21,15,8)</f>
        <v>40849.885509259257</v>
      </c>
      <c r="C898">
        <v>0</v>
      </c>
      <c r="D898">
        <v>2400</v>
      </c>
      <c r="E898">
        <v>2400</v>
      </c>
      <c r="F898">
        <v>0</v>
      </c>
      <c r="G898">
        <v>1301.7453613</v>
      </c>
      <c r="H898">
        <v>1289.9627685999999</v>
      </c>
      <c r="I898">
        <v>1402.9720459</v>
      </c>
      <c r="J898">
        <v>1382.6810303</v>
      </c>
      <c r="K898">
        <v>80</v>
      </c>
      <c r="L898">
        <v>79.557487488000007</v>
      </c>
      <c r="M898">
        <v>50</v>
      </c>
      <c r="N898">
        <v>47.898601532000001</v>
      </c>
    </row>
    <row r="899" spans="1:14" x14ac:dyDescent="0.25">
      <c r="A899">
        <v>551.07094800000004</v>
      </c>
      <c r="B899" s="1">
        <f>DATE(2011,11,3) + TIME(1,42,9)</f>
        <v>40850.070937500001</v>
      </c>
      <c r="C899">
        <v>0</v>
      </c>
      <c r="D899">
        <v>2400</v>
      </c>
      <c r="E899">
        <v>2400</v>
      </c>
      <c r="F899">
        <v>0</v>
      </c>
      <c r="G899">
        <v>1301.7379149999999</v>
      </c>
      <c r="H899">
        <v>1289.953125</v>
      </c>
      <c r="I899">
        <v>1402.7236327999999</v>
      </c>
      <c r="J899">
        <v>1382.5411377</v>
      </c>
      <c r="K899">
        <v>80</v>
      </c>
      <c r="L899">
        <v>79.525840759000005</v>
      </c>
      <c r="M899">
        <v>50</v>
      </c>
      <c r="N899">
        <v>48.276287078999999</v>
      </c>
    </row>
    <row r="900" spans="1:14" x14ac:dyDescent="0.25">
      <c r="A900">
        <v>551.26165500000002</v>
      </c>
      <c r="B900" s="1">
        <f>DATE(2011,11,3) + TIME(6,16,46)</f>
        <v>40850.261643518519</v>
      </c>
      <c r="C900">
        <v>0</v>
      </c>
      <c r="D900">
        <v>2400</v>
      </c>
      <c r="E900">
        <v>2400</v>
      </c>
      <c r="F900">
        <v>0</v>
      </c>
      <c r="G900">
        <v>1301.7301024999999</v>
      </c>
      <c r="H900">
        <v>1289.9432373</v>
      </c>
      <c r="I900">
        <v>1402.5009766000001</v>
      </c>
      <c r="J900">
        <v>1382.4082031</v>
      </c>
      <c r="K900">
        <v>80</v>
      </c>
      <c r="L900">
        <v>79.493560790999993</v>
      </c>
      <c r="M900">
        <v>50</v>
      </c>
      <c r="N900">
        <v>48.591697693</v>
      </c>
    </row>
    <row r="901" spans="1:14" x14ac:dyDescent="0.25">
      <c r="A901">
        <v>551.45925399999999</v>
      </c>
      <c r="B901" s="1">
        <f>DATE(2011,11,3) + TIME(11,1,19)</f>
        <v>40850.459247685183</v>
      </c>
      <c r="C901">
        <v>0</v>
      </c>
      <c r="D901">
        <v>2400</v>
      </c>
      <c r="E901">
        <v>2400</v>
      </c>
      <c r="F901">
        <v>0</v>
      </c>
      <c r="G901">
        <v>1301.722168</v>
      </c>
      <c r="H901">
        <v>1289.9331055</v>
      </c>
      <c r="I901">
        <v>1402.2990723</v>
      </c>
      <c r="J901">
        <v>1382.2808838000001</v>
      </c>
      <c r="K901">
        <v>80</v>
      </c>
      <c r="L901">
        <v>79.460418700999995</v>
      </c>
      <c r="M901">
        <v>50</v>
      </c>
      <c r="N901">
        <v>48.855209350999999</v>
      </c>
    </row>
    <row r="902" spans="1:14" x14ac:dyDescent="0.25">
      <c r="A902">
        <v>551.66546000000005</v>
      </c>
      <c r="B902" s="1">
        <f>DATE(2011,11,3) + TIME(15,58,15)</f>
        <v>40850.665451388886</v>
      </c>
      <c r="C902">
        <v>0</v>
      </c>
      <c r="D902">
        <v>2400</v>
      </c>
      <c r="E902">
        <v>2400</v>
      </c>
      <c r="F902">
        <v>0</v>
      </c>
      <c r="G902">
        <v>1301.7137451000001</v>
      </c>
      <c r="H902">
        <v>1289.9226074000001</v>
      </c>
      <c r="I902">
        <v>1402.1138916</v>
      </c>
      <c r="J902">
        <v>1382.1577147999999</v>
      </c>
      <c r="K902">
        <v>80</v>
      </c>
      <c r="L902">
        <v>79.426185607999997</v>
      </c>
      <c r="M902">
        <v>50</v>
      </c>
      <c r="N902">
        <v>49.075046538999999</v>
      </c>
    </row>
    <row r="903" spans="1:14" x14ac:dyDescent="0.25">
      <c r="A903">
        <v>551.88218600000005</v>
      </c>
      <c r="B903" s="1">
        <f>DATE(2011,11,3) + TIME(21,10,20)</f>
        <v>40850.882175925923</v>
      </c>
      <c r="C903">
        <v>0</v>
      </c>
      <c r="D903">
        <v>2400</v>
      </c>
      <c r="E903">
        <v>2400</v>
      </c>
      <c r="F903">
        <v>0</v>
      </c>
      <c r="G903">
        <v>1301.7048339999999</v>
      </c>
      <c r="H903">
        <v>1289.9117432</v>
      </c>
      <c r="I903">
        <v>1401.9423827999999</v>
      </c>
      <c r="J903">
        <v>1382.0374756000001</v>
      </c>
      <c r="K903">
        <v>80</v>
      </c>
      <c r="L903">
        <v>79.390594481999997</v>
      </c>
      <c r="M903">
        <v>50</v>
      </c>
      <c r="N903">
        <v>49.257877350000001</v>
      </c>
    </row>
    <row r="904" spans="1:14" x14ac:dyDescent="0.25">
      <c r="A904">
        <v>552.11165000000005</v>
      </c>
      <c r="B904" s="1">
        <f>DATE(2011,11,4) + TIME(2,40,46)</f>
        <v>40851.111643518518</v>
      </c>
      <c r="C904">
        <v>0</v>
      </c>
      <c r="D904">
        <v>2400</v>
      </c>
      <c r="E904">
        <v>2400</v>
      </c>
      <c r="F904">
        <v>0</v>
      </c>
      <c r="G904">
        <v>1301.6955565999999</v>
      </c>
      <c r="H904">
        <v>1289.9002685999999</v>
      </c>
      <c r="I904">
        <v>1401.7816161999999</v>
      </c>
      <c r="J904">
        <v>1381.9191894999999</v>
      </c>
      <c r="K904">
        <v>80</v>
      </c>
      <c r="L904">
        <v>79.353363036999994</v>
      </c>
      <c r="M904">
        <v>50</v>
      </c>
      <c r="N904">
        <v>49.409206390000001</v>
      </c>
    </row>
    <row r="905" spans="1:14" x14ac:dyDescent="0.25">
      <c r="A905">
        <v>552.35649799999999</v>
      </c>
      <c r="B905" s="1">
        <f>DATE(2011,11,4) + TIME(8,33,21)</f>
        <v>40851.356493055559</v>
      </c>
      <c r="C905">
        <v>0</v>
      </c>
      <c r="D905">
        <v>2400</v>
      </c>
      <c r="E905">
        <v>2400</v>
      </c>
      <c r="F905">
        <v>0</v>
      </c>
      <c r="G905">
        <v>1301.6855469</v>
      </c>
      <c r="H905">
        <v>1289.8881836</v>
      </c>
      <c r="I905">
        <v>1401.6293945</v>
      </c>
      <c r="J905">
        <v>1381.8020019999999</v>
      </c>
      <c r="K905">
        <v>80</v>
      </c>
      <c r="L905">
        <v>79.314155579000001</v>
      </c>
      <c r="M905">
        <v>50</v>
      </c>
      <c r="N905">
        <v>49.533641815000003</v>
      </c>
    </row>
    <row r="906" spans="1:14" x14ac:dyDescent="0.25">
      <c r="A906">
        <v>552.61994400000003</v>
      </c>
      <c r="B906" s="1">
        <f>DATE(2011,11,4) + TIME(14,52,43)</f>
        <v>40851.619942129626</v>
      </c>
      <c r="C906">
        <v>0</v>
      </c>
      <c r="D906">
        <v>2400</v>
      </c>
      <c r="E906">
        <v>2400</v>
      </c>
      <c r="F906">
        <v>0</v>
      </c>
      <c r="G906">
        <v>1301.6749268000001</v>
      </c>
      <c r="H906">
        <v>1289.8752440999999</v>
      </c>
      <c r="I906">
        <v>1401.4835204999999</v>
      </c>
      <c r="J906">
        <v>1381.6846923999999</v>
      </c>
      <c r="K906">
        <v>80</v>
      </c>
      <c r="L906">
        <v>79.272544861</v>
      </c>
      <c r="M906">
        <v>50</v>
      </c>
      <c r="N906">
        <v>49.635089874000002</v>
      </c>
    </row>
    <row r="907" spans="1:14" x14ac:dyDescent="0.25">
      <c r="A907">
        <v>552.90575699999999</v>
      </c>
      <c r="B907" s="1">
        <f>DATE(2011,11,4) + TIME(21,44,17)</f>
        <v>40851.905752314815</v>
      </c>
      <c r="C907">
        <v>0</v>
      </c>
      <c r="D907">
        <v>2400</v>
      </c>
      <c r="E907">
        <v>2400</v>
      </c>
      <c r="F907">
        <v>0</v>
      </c>
      <c r="G907">
        <v>1301.6634521000001</v>
      </c>
      <c r="H907">
        <v>1289.8614502</v>
      </c>
      <c r="I907">
        <v>1401.3420410000001</v>
      </c>
      <c r="J907">
        <v>1381.5666504000001</v>
      </c>
      <c r="K907">
        <v>80</v>
      </c>
      <c r="L907">
        <v>79.228080750000004</v>
      </c>
      <c r="M907">
        <v>50</v>
      </c>
      <c r="N907">
        <v>49.716854095000002</v>
      </c>
    </row>
    <row r="908" spans="1:14" x14ac:dyDescent="0.25">
      <c r="A908">
        <v>553.21276399999999</v>
      </c>
      <c r="B908" s="1">
        <f>DATE(2011,11,5) + TIME(5,6,22)</f>
        <v>40852.212754629632</v>
      </c>
      <c r="C908">
        <v>0</v>
      </c>
      <c r="D908">
        <v>2400</v>
      </c>
      <c r="E908">
        <v>2400</v>
      </c>
      <c r="F908">
        <v>0</v>
      </c>
      <c r="G908">
        <v>1301.651001</v>
      </c>
      <c r="H908">
        <v>1289.8464355000001</v>
      </c>
      <c r="I908">
        <v>1401.2037353999999</v>
      </c>
      <c r="J908">
        <v>1381.4468993999999</v>
      </c>
      <c r="K908">
        <v>80</v>
      </c>
      <c r="L908">
        <v>79.180854796999995</v>
      </c>
      <c r="M908">
        <v>50</v>
      </c>
      <c r="N908">
        <v>49.780929565000001</v>
      </c>
    </row>
    <row r="909" spans="1:14" x14ac:dyDescent="0.25">
      <c r="A909">
        <v>553.54580299999998</v>
      </c>
      <c r="B909" s="1">
        <f>DATE(2011,11,5) + TIME(13,5,57)</f>
        <v>40852.545798611114</v>
      </c>
      <c r="C909">
        <v>0</v>
      </c>
      <c r="D909">
        <v>2400</v>
      </c>
      <c r="E909">
        <v>2400</v>
      </c>
      <c r="F909">
        <v>0</v>
      </c>
      <c r="G909">
        <v>1301.6375731999999</v>
      </c>
      <c r="H909">
        <v>1289.8303223</v>
      </c>
      <c r="I909">
        <v>1401.0686035000001</v>
      </c>
      <c r="J909">
        <v>1381.3264160000001</v>
      </c>
      <c r="K909">
        <v>80</v>
      </c>
      <c r="L909">
        <v>79.130294800000001</v>
      </c>
      <c r="M909">
        <v>50</v>
      </c>
      <c r="N909">
        <v>49.830574036000002</v>
      </c>
    </row>
    <row r="910" spans="1:14" x14ac:dyDescent="0.25">
      <c r="A910">
        <v>553.91060300000004</v>
      </c>
      <c r="B910" s="1">
        <f>DATE(2011,11,5) + TIME(21,51,16)</f>
        <v>40852.910601851851</v>
      </c>
      <c r="C910">
        <v>0</v>
      </c>
      <c r="D910">
        <v>2400</v>
      </c>
      <c r="E910">
        <v>2400</v>
      </c>
      <c r="F910">
        <v>0</v>
      </c>
      <c r="G910">
        <v>1301.6230469</v>
      </c>
      <c r="H910">
        <v>1289.8129882999999</v>
      </c>
      <c r="I910">
        <v>1400.9346923999999</v>
      </c>
      <c r="J910">
        <v>1381.2042236</v>
      </c>
      <c r="K910">
        <v>80</v>
      </c>
      <c r="L910">
        <v>79.075744628999999</v>
      </c>
      <c r="M910">
        <v>50</v>
      </c>
      <c r="N910">
        <v>49.868450164999999</v>
      </c>
    </row>
    <row r="911" spans="1:14" x14ac:dyDescent="0.25">
      <c r="A911">
        <v>554.28865800000005</v>
      </c>
      <c r="B911" s="1">
        <f>DATE(2011,11,6) + TIME(6,55,40)</f>
        <v>40853.288657407407</v>
      </c>
      <c r="C911">
        <v>0</v>
      </c>
      <c r="D911">
        <v>2400</v>
      </c>
      <c r="E911">
        <v>2400</v>
      </c>
      <c r="F911">
        <v>0</v>
      </c>
      <c r="G911">
        <v>1301.6070557</v>
      </c>
      <c r="H911">
        <v>1289.7939452999999</v>
      </c>
      <c r="I911">
        <v>1400.8009033000001</v>
      </c>
      <c r="J911">
        <v>1381.0792236</v>
      </c>
      <c r="K911">
        <v>80</v>
      </c>
      <c r="L911">
        <v>79.019035338999998</v>
      </c>
      <c r="M911">
        <v>50</v>
      </c>
      <c r="N911">
        <v>49.895561217999997</v>
      </c>
    </row>
    <row r="912" spans="1:14" x14ac:dyDescent="0.25">
      <c r="A912">
        <v>554.67308200000002</v>
      </c>
      <c r="B912" s="1">
        <f>DATE(2011,11,6) + TIME(16,9,14)</f>
        <v>40853.673078703701</v>
      </c>
      <c r="C912">
        <v>0</v>
      </c>
      <c r="D912">
        <v>2400</v>
      </c>
      <c r="E912">
        <v>2400</v>
      </c>
      <c r="F912">
        <v>0</v>
      </c>
      <c r="G912">
        <v>1301.590332</v>
      </c>
      <c r="H912">
        <v>1289.7742920000001</v>
      </c>
      <c r="I912">
        <v>1400.6732178</v>
      </c>
      <c r="J912">
        <v>1380.9582519999999</v>
      </c>
      <c r="K912">
        <v>80</v>
      </c>
      <c r="L912">
        <v>78.961029053000004</v>
      </c>
      <c r="M912">
        <v>50</v>
      </c>
      <c r="N912">
        <v>49.914554596000002</v>
      </c>
    </row>
    <row r="913" spans="1:14" x14ac:dyDescent="0.25">
      <c r="A913">
        <v>555.06816700000002</v>
      </c>
      <c r="B913" s="1">
        <f>DATE(2011,11,7) + TIME(1,38,9)</f>
        <v>40854.068159722221</v>
      </c>
      <c r="C913">
        <v>0</v>
      </c>
      <c r="D913">
        <v>2400</v>
      </c>
      <c r="E913">
        <v>2400</v>
      </c>
      <c r="F913">
        <v>0</v>
      </c>
      <c r="G913">
        <v>1301.5733643000001</v>
      </c>
      <c r="H913">
        <v>1289.7542725000001</v>
      </c>
      <c r="I913">
        <v>1400.5527344</v>
      </c>
      <c r="J913">
        <v>1380.8430175999999</v>
      </c>
      <c r="K913">
        <v>80</v>
      </c>
      <c r="L913">
        <v>78.901504517000006</v>
      </c>
      <c r="M913">
        <v>50</v>
      </c>
      <c r="N913">
        <v>49.927944183000001</v>
      </c>
    </row>
    <row r="914" spans="1:14" x14ac:dyDescent="0.25">
      <c r="A914">
        <v>555.47809600000005</v>
      </c>
      <c r="B914" s="1">
        <f>DATE(2011,11,7) + TIME(11,28,27)</f>
        <v>40854.478090277778</v>
      </c>
      <c r="C914">
        <v>0</v>
      </c>
      <c r="D914">
        <v>2400</v>
      </c>
      <c r="E914">
        <v>2400</v>
      </c>
      <c r="F914">
        <v>0</v>
      </c>
      <c r="G914">
        <v>1301.5560303</v>
      </c>
      <c r="H914">
        <v>1289.7337646000001</v>
      </c>
      <c r="I914">
        <v>1400.4371338000001</v>
      </c>
      <c r="J914">
        <v>1380.7316894999999</v>
      </c>
      <c r="K914">
        <v>80</v>
      </c>
      <c r="L914">
        <v>78.840133667000003</v>
      </c>
      <c r="M914">
        <v>50</v>
      </c>
      <c r="N914">
        <v>49.937408447000003</v>
      </c>
    </row>
    <row r="915" spans="1:14" x14ac:dyDescent="0.25">
      <c r="A915">
        <v>555.90734399999997</v>
      </c>
      <c r="B915" s="1">
        <f>DATE(2011,11,7) + TIME(21,46,34)</f>
        <v>40854.907337962963</v>
      </c>
      <c r="C915">
        <v>0</v>
      </c>
      <c r="D915">
        <v>2400</v>
      </c>
      <c r="E915">
        <v>2400</v>
      </c>
      <c r="F915">
        <v>0</v>
      </c>
      <c r="G915">
        <v>1301.5382079999999</v>
      </c>
      <c r="H915">
        <v>1289.7124022999999</v>
      </c>
      <c r="I915">
        <v>1400.3249512</v>
      </c>
      <c r="J915">
        <v>1380.6231689000001</v>
      </c>
      <c r="K915">
        <v>80</v>
      </c>
      <c r="L915">
        <v>78.776489257999998</v>
      </c>
      <c r="M915">
        <v>50</v>
      </c>
      <c r="N915">
        <v>49.944103241000001</v>
      </c>
    </row>
    <row r="916" spans="1:14" x14ac:dyDescent="0.25">
      <c r="A916">
        <v>556.35545100000002</v>
      </c>
      <c r="B916" s="1">
        <f>DATE(2011,11,8) + TIME(8,31,50)</f>
        <v>40855.355439814812</v>
      </c>
      <c r="C916">
        <v>0</v>
      </c>
      <c r="D916">
        <v>2400</v>
      </c>
      <c r="E916">
        <v>2400</v>
      </c>
      <c r="F916">
        <v>0</v>
      </c>
      <c r="G916">
        <v>1301.5194091999999</v>
      </c>
      <c r="H916">
        <v>1289.6900635</v>
      </c>
      <c r="I916">
        <v>1400.2147216999999</v>
      </c>
      <c r="J916">
        <v>1380.5161132999999</v>
      </c>
      <c r="K916">
        <v>80</v>
      </c>
      <c r="L916">
        <v>78.710594177000004</v>
      </c>
      <c r="M916">
        <v>50</v>
      </c>
      <c r="N916">
        <v>49.948799133000001</v>
      </c>
    </row>
    <row r="917" spans="1:14" x14ac:dyDescent="0.25">
      <c r="A917">
        <v>556.82288800000003</v>
      </c>
      <c r="B917" s="1">
        <f>DATE(2011,11,8) + TIME(19,44,57)</f>
        <v>40855.822881944441</v>
      </c>
      <c r="C917">
        <v>0</v>
      </c>
      <c r="D917">
        <v>2400</v>
      </c>
      <c r="E917">
        <v>2400</v>
      </c>
      <c r="F917">
        <v>0</v>
      </c>
      <c r="G917">
        <v>1301.4997559000001</v>
      </c>
      <c r="H917">
        <v>1289.6667480000001</v>
      </c>
      <c r="I917">
        <v>1400.1064452999999</v>
      </c>
      <c r="J917">
        <v>1380.4107666</v>
      </c>
      <c r="K917">
        <v>80</v>
      </c>
      <c r="L917">
        <v>78.642379761000001</v>
      </c>
      <c r="M917">
        <v>50</v>
      </c>
      <c r="N917">
        <v>49.952079773000001</v>
      </c>
    </row>
    <row r="918" spans="1:14" x14ac:dyDescent="0.25">
      <c r="A918">
        <v>557.31443300000001</v>
      </c>
      <c r="B918" s="1">
        <f>DATE(2011,11,9) + TIME(7,32,47)</f>
        <v>40856.314432870371</v>
      </c>
      <c r="C918">
        <v>0</v>
      </c>
      <c r="D918">
        <v>2400</v>
      </c>
      <c r="E918">
        <v>2400</v>
      </c>
      <c r="F918">
        <v>0</v>
      </c>
      <c r="G918">
        <v>1301.4793701000001</v>
      </c>
      <c r="H918">
        <v>1289.6424560999999</v>
      </c>
      <c r="I918">
        <v>1400.0002440999999</v>
      </c>
      <c r="J918">
        <v>1380.307251</v>
      </c>
      <c r="K918">
        <v>80</v>
      </c>
      <c r="L918">
        <v>78.571411132999998</v>
      </c>
      <c r="M918">
        <v>50</v>
      </c>
      <c r="N918">
        <v>49.954380035</v>
      </c>
    </row>
    <row r="919" spans="1:14" x14ac:dyDescent="0.25">
      <c r="A919">
        <v>557.83555200000001</v>
      </c>
      <c r="B919" s="1">
        <f>DATE(2011,11,9) + TIME(20,3,11)</f>
        <v>40856.835543981484</v>
      </c>
      <c r="C919">
        <v>0</v>
      </c>
      <c r="D919">
        <v>2400</v>
      </c>
      <c r="E919">
        <v>2400</v>
      </c>
      <c r="F919">
        <v>0</v>
      </c>
      <c r="G919">
        <v>1301.4580077999999</v>
      </c>
      <c r="H919">
        <v>1289.6169434000001</v>
      </c>
      <c r="I919">
        <v>1399.8948975000001</v>
      </c>
      <c r="J919">
        <v>1380.2044678</v>
      </c>
      <c r="K919">
        <v>80</v>
      </c>
      <c r="L919">
        <v>78.497131347999996</v>
      </c>
      <c r="M919">
        <v>50</v>
      </c>
      <c r="N919">
        <v>49.956005095999998</v>
      </c>
    </row>
    <row r="920" spans="1:14" x14ac:dyDescent="0.25">
      <c r="A920">
        <v>558.39282600000001</v>
      </c>
      <c r="B920" s="1">
        <f>DATE(2011,11,10) + TIME(9,25,40)</f>
        <v>40857.392824074072</v>
      </c>
      <c r="C920">
        <v>0</v>
      </c>
      <c r="D920">
        <v>2400</v>
      </c>
      <c r="E920">
        <v>2400</v>
      </c>
      <c r="F920">
        <v>0</v>
      </c>
      <c r="G920">
        <v>1301.4351807</v>
      </c>
      <c r="H920">
        <v>1289.5898437999999</v>
      </c>
      <c r="I920">
        <v>1399.7895507999999</v>
      </c>
      <c r="J920">
        <v>1380.1016846</v>
      </c>
      <c r="K920">
        <v>80</v>
      </c>
      <c r="L920">
        <v>78.418838500999996</v>
      </c>
      <c r="M920">
        <v>50</v>
      </c>
      <c r="N920">
        <v>49.957157135000003</v>
      </c>
    </row>
    <row r="921" spans="1:14" x14ac:dyDescent="0.25">
      <c r="A921">
        <v>558.99038599999994</v>
      </c>
      <c r="B921" s="1">
        <f>DATE(2011,11,10) + TIME(23,46,9)</f>
        <v>40857.990381944444</v>
      </c>
      <c r="C921">
        <v>0</v>
      </c>
      <c r="D921">
        <v>2400</v>
      </c>
      <c r="E921">
        <v>2400</v>
      </c>
      <c r="F921">
        <v>0</v>
      </c>
      <c r="G921">
        <v>1301.4108887</v>
      </c>
      <c r="H921">
        <v>1289.5607910000001</v>
      </c>
      <c r="I921">
        <v>1399.6833495999999</v>
      </c>
      <c r="J921">
        <v>1379.9980469</v>
      </c>
      <c r="K921">
        <v>80</v>
      </c>
      <c r="L921">
        <v>78.336021423000005</v>
      </c>
      <c r="M921">
        <v>50</v>
      </c>
      <c r="N921">
        <v>49.957981109999999</v>
      </c>
    </row>
    <row r="922" spans="1:14" x14ac:dyDescent="0.25">
      <c r="A922">
        <v>559.59445000000005</v>
      </c>
      <c r="B922" s="1">
        <f>DATE(2011,11,11) + TIME(14,16,0)</f>
        <v>40858.594444444447</v>
      </c>
      <c r="C922">
        <v>0</v>
      </c>
      <c r="D922">
        <v>2400</v>
      </c>
      <c r="E922">
        <v>2400</v>
      </c>
      <c r="F922">
        <v>0</v>
      </c>
      <c r="G922">
        <v>1301.3846435999999</v>
      </c>
      <c r="H922">
        <v>1289.5297852000001</v>
      </c>
      <c r="I922">
        <v>1399.5758057</v>
      </c>
      <c r="J922">
        <v>1379.8931885</v>
      </c>
      <c r="K922">
        <v>80</v>
      </c>
      <c r="L922">
        <v>78.251243591000005</v>
      </c>
      <c r="M922">
        <v>50</v>
      </c>
      <c r="N922">
        <v>49.958545684999997</v>
      </c>
    </row>
    <row r="923" spans="1:14" x14ac:dyDescent="0.25">
      <c r="A923">
        <v>560.21142799999996</v>
      </c>
      <c r="B923" s="1">
        <f>DATE(2011,11,12) + TIME(5,4,27)</f>
        <v>40859.211423611108</v>
      </c>
      <c r="C923">
        <v>0</v>
      </c>
      <c r="D923">
        <v>2400</v>
      </c>
      <c r="E923">
        <v>2400</v>
      </c>
      <c r="F923">
        <v>0</v>
      </c>
      <c r="G923">
        <v>1301.3581543</v>
      </c>
      <c r="H923">
        <v>1289.4982910000001</v>
      </c>
      <c r="I923">
        <v>1399.4733887</v>
      </c>
      <c r="J923">
        <v>1379.7933350000001</v>
      </c>
      <c r="K923">
        <v>80</v>
      </c>
      <c r="L923">
        <v>78.164665221999996</v>
      </c>
      <c r="M923">
        <v>50</v>
      </c>
      <c r="N923">
        <v>49.958950043000002</v>
      </c>
    </row>
    <row r="924" spans="1:14" x14ac:dyDescent="0.25">
      <c r="A924">
        <v>560.84761100000003</v>
      </c>
      <c r="B924" s="1">
        <f>DATE(2011,11,12) + TIME(20,20,33)</f>
        <v>40859.847604166665</v>
      </c>
      <c r="C924">
        <v>0</v>
      </c>
      <c r="D924">
        <v>2400</v>
      </c>
      <c r="E924">
        <v>2400</v>
      </c>
      <c r="F924">
        <v>0</v>
      </c>
      <c r="G924">
        <v>1301.3310547000001</v>
      </c>
      <c r="H924">
        <v>1289.4660644999999</v>
      </c>
      <c r="I924">
        <v>1399.3743896000001</v>
      </c>
      <c r="J924">
        <v>1379.6968993999999</v>
      </c>
      <c r="K924">
        <v>80</v>
      </c>
      <c r="L924">
        <v>78.076042174999998</v>
      </c>
      <c r="M924">
        <v>50</v>
      </c>
      <c r="N924">
        <v>49.959243774000001</v>
      </c>
    </row>
    <row r="925" spans="1:14" x14ac:dyDescent="0.25">
      <c r="A925">
        <v>561.50960899999995</v>
      </c>
      <c r="B925" s="1">
        <f>DATE(2011,11,13) + TIME(12,13,50)</f>
        <v>40860.509606481479</v>
      </c>
      <c r="C925">
        <v>0</v>
      </c>
      <c r="D925">
        <v>2400</v>
      </c>
      <c r="E925">
        <v>2400</v>
      </c>
      <c r="F925">
        <v>0</v>
      </c>
      <c r="G925">
        <v>1301.3031006000001</v>
      </c>
      <c r="H925">
        <v>1289.4326172000001</v>
      </c>
      <c r="I925">
        <v>1399.277832</v>
      </c>
      <c r="J925">
        <v>1379.6027832</v>
      </c>
      <c r="K925">
        <v>80</v>
      </c>
      <c r="L925">
        <v>77.984893799000005</v>
      </c>
      <c r="M925">
        <v>50</v>
      </c>
      <c r="N925">
        <v>49.959465027</v>
      </c>
    </row>
    <row r="926" spans="1:14" x14ac:dyDescent="0.25">
      <c r="A926">
        <v>562.20481800000005</v>
      </c>
      <c r="B926" s="1">
        <f>DATE(2011,11,14) + TIME(4,54,56)</f>
        <v>40861.204814814817</v>
      </c>
      <c r="C926">
        <v>0</v>
      </c>
      <c r="D926">
        <v>2400</v>
      </c>
      <c r="E926">
        <v>2400</v>
      </c>
      <c r="F926">
        <v>0</v>
      </c>
      <c r="G926">
        <v>1301.2739257999999</v>
      </c>
      <c r="H926">
        <v>1289.3978271000001</v>
      </c>
      <c r="I926">
        <v>1399.1823730000001</v>
      </c>
      <c r="J926">
        <v>1379.5100098</v>
      </c>
      <c r="K926">
        <v>80</v>
      </c>
      <c r="L926">
        <v>77.890525818</v>
      </c>
      <c r="M926">
        <v>50</v>
      </c>
      <c r="N926">
        <v>49.959636688000003</v>
      </c>
    </row>
    <row r="927" spans="1:14" x14ac:dyDescent="0.25">
      <c r="A927">
        <v>562.92593099999999</v>
      </c>
      <c r="B927" s="1">
        <f>DATE(2011,11,14) + TIME(22,13,20)</f>
        <v>40861.925925925927</v>
      </c>
      <c r="C927">
        <v>0</v>
      </c>
      <c r="D927">
        <v>2400</v>
      </c>
      <c r="E927">
        <v>2400</v>
      </c>
      <c r="F927">
        <v>0</v>
      </c>
      <c r="G927">
        <v>1301.2432861</v>
      </c>
      <c r="H927">
        <v>1289.3612060999999</v>
      </c>
      <c r="I927">
        <v>1399.0874022999999</v>
      </c>
      <c r="J927">
        <v>1379.4174805</v>
      </c>
      <c r="K927">
        <v>80</v>
      </c>
      <c r="L927">
        <v>77.793273925999998</v>
      </c>
      <c r="M927">
        <v>50</v>
      </c>
      <c r="N927">
        <v>49.959774017000001</v>
      </c>
    </row>
    <row r="928" spans="1:14" x14ac:dyDescent="0.25">
      <c r="A928">
        <v>563.67367000000002</v>
      </c>
      <c r="B928" s="1">
        <f>DATE(2011,11,15) + TIME(16,10,5)</f>
        <v>40862.673668981479</v>
      </c>
      <c r="C928">
        <v>0</v>
      </c>
      <c r="D928">
        <v>2400</v>
      </c>
      <c r="E928">
        <v>2400</v>
      </c>
      <c r="F928">
        <v>0</v>
      </c>
      <c r="G928">
        <v>1301.2113036999999</v>
      </c>
      <c r="H928">
        <v>1289.3231201000001</v>
      </c>
      <c r="I928">
        <v>1398.9937743999999</v>
      </c>
      <c r="J928">
        <v>1379.3264160000001</v>
      </c>
      <c r="K928">
        <v>80</v>
      </c>
      <c r="L928">
        <v>77.693153381000002</v>
      </c>
      <c r="M928">
        <v>50</v>
      </c>
      <c r="N928">
        <v>49.959880828999999</v>
      </c>
    </row>
    <row r="929" spans="1:14" x14ac:dyDescent="0.25">
      <c r="A929">
        <v>564.45551599999999</v>
      </c>
      <c r="B929" s="1">
        <f>DATE(2011,11,16) + TIME(10,55,56)</f>
        <v>40863.455509259256</v>
      </c>
      <c r="C929">
        <v>0</v>
      </c>
      <c r="D929">
        <v>2400</v>
      </c>
      <c r="E929">
        <v>2400</v>
      </c>
      <c r="F929">
        <v>0</v>
      </c>
      <c r="G929">
        <v>1301.1781006000001</v>
      </c>
      <c r="H929">
        <v>1289.2834473</v>
      </c>
      <c r="I929">
        <v>1398.9014893000001</v>
      </c>
      <c r="J929">
        <v>1379.2366943</v>
      </c>
      <c r="K929">
        <v>80</v>
      </c>
      <c r="L929">
        <v>77.589706421000002</v>
      </c>
      <c r="M929">
        <v>50</v>
      </c>
      <c r="N929">
        <v>49.959972381999997</v>
      </c>
    </row>
    <row r="930" spans="1:14" x14ac:dyDescent="0.25">
      <c r="A930">
        <v>565.27613199999996</v>
      </c>
      <c r="B930" s="1">
        <f>DATE(2011,11,17) + TIME(6,37,37)</f>
        <v>40864.276122685187</v>
      </c>
      <c r="C930">
        <v>0</v>
      </c>
      <c r="D930">
        <v>2400</v>
      </c>
      <c r="E930">
        <v>2400</v>
      </c>
      <c r="F930">
        <v>0</v>
      </c>
      <c r="G930">
        <v>1301.1431885</v>
      </c>
      <c r="H930">
        <v>1289.2416992000001</v>
      </c>
      <c r="I930">
        <v>1398.8096923999999</v>
      </c>
      <c r="J930">
        <v>1379.1475829999999</v>
      </c>
      <c r="K930">
        <v>80</v>
      </c>
      <c r="L930">
        <v>77.482460021999998</v>
      </c>
      <c r="M930">
        <v>50</v>
      </c>
      <c r="N930">
        <v>49.960048676</v>
      </c>
    </row>
    <row r="931" spans="1:14" x14ac:dyDescent="0.25">
      <c r="A931">
        <v>566.11241199999995</v>
      </c>
      <c r="B931" s="1">
        <f>DATE(2011,11,18) + TIME(2,41,52)</f>
        <v>40865.112407407411</v>
      </c>
      <c r="C931">
        <v>0</v>
      </c>
      <c r="D931">
        <v>2400</v>
      </c>
      <c r="E931">
        <v>2400</v>
      </c>
      <c r="F931">
        <v>0</v>
      </c>
      <c r="G931">
        <v>1301.1063231999999</v>
      </c>
      <c r="H931">
        <v>1289.1977539</v>
      </c>
      <c r="I931">
        <v>1398.7181396000001</v>
      </c>
      <c r="J931">
        <v>1379.0584716999999</v>
      </c>
      <c r="K931">
        <v>80</v>
      </c>
      <c r="L931">
        <v>77.372795104999994</v>
      </c>
      <c r="M931">
        <v>50</v>
      </c>
      <c r="N931">
        <v>49.960117339999996</v>
      </c>
    </row>
    <row r="932" spans="1:14" x14ac:dyDescent="0.25">
      <c r="A932">
        <v>566.973568</v>
      </c>
      <c r="B932" s="1">
        <f>DATE(2011,11,18) + TIME(23,21,56)</f>
        <v>40865.973564814813</v>
      </c>
      <c r="C932">
        <v>0</v>
      </c>
      <c r="D932">
        <v>2400</v>
      </c>
      <c r="E932">
        <v>2400</v>
      </c>
      <c r="F932">
        <v>0</v>
      </c>
      <c r="G932">
        <v>1301.0686035000001</v>
      </c>
      <c r="H932">
        <v>1289.1527100000001</v>
      </c>
      <c r="I932">
        <v>1398.6292725000001</v>
      </c>
      <c r="J932">
        <v>1378.972168</v>
      </c>
      <c r="K932">
        <v>80</v>
      </c>
      <c r="L932">
        <v>77.260734557999996</v>
      </c>
      <c r="M932">
        <v>50</v>
      </c>
      <c r="N932">
        <v>49.960174561000002</v>
      </c>
    </row>
    <row r="933" spans="1:14" x14ac:dyDescent="0.25">
      <c r="A933">
        <v>567.86911699999996</v>
      </c>
      <c r="B933" s="1">
        <f>DATE(2011,11,19) + TIME(20,51,31)</f>
        <v>40866.869108796294</v>
      </c>
      <c r="C933">
        <v>0</v>
      </c>
      <c r="D933">
        <v>2400</v>
      </c>
      <c r="E933">
        <v>2400</v>
      </c>
      <c r="F933">
        <v>0</v>
      </c>
      <c r="G933">
        <v>1301.0295410000001</v>
      </c>
      <c r="H933">
        <v>1289.105957</v>
      </c>
      <c r="I933">
        <v>1398.5421143000001</v>
      </c>
      <c r="J933">
        <v>1378.8874512</v>
      </c>
      <c r="K933">
        <v>80</v>
      </c>
      <c r="L933">
        <v>77.145751953000001</v>
      </c>
      <c r="M933">
        <v>50</v>
      </c>
      <c r="N933">
        <v>49.960231780999997</v>
      </c>
    </row>
    <row r="934" spans="1:14" x14ac:dyDescent="0.25">
      <c r="A934">
        <v>568.80982200000005</v>
      </c>
      <c r="B934" s="1">
        <f>DATE(2011,11,20) + TIME(19,26,8)</f>
        <v>40867.809814814813</v>
      </c>
      <c r="C934">
        <v>0</v>
      </c>
      <c r="D934">
        <v>2400</v>
      </c>
      <c r="E934">
        <v>2400</v>
      </c>
      <c r="F934">
        <v>0</v>
      </c>
      <c r="G934">
        <v>1300.9886475000001</v>
      </c>
      <c r="H934">
        <v>1289.0570068</v>
      </c>
      <c r="I934">
        <v>1398.4555664</v>
      </c>
      <c r="J934">
        <v>1378.8034668</v>
      </c>
      <c r="K934">
        <v>80</v>
      </c>
      <c r="L934">
        <v>77.026954650999997</v>
      </c>
      <c r="M934">
        <v>50</v>
      </c>
      <c r="N934">
        <v>49.960285186999997</v>
      </c>
    </row>
    <row r="935" spans="1:14" x14ac:dyDescent="0.25">
      <c r="A935">
        <v>569.79621999999995</v>
      </c>
      <c r="B935" s="1">
        <f>DATE(2011,11,21) + TIME(19,6,33)</f>
        <v>40868.796215277776</v>
      </c>
      <c r="C935">
        <v>0</v>
      </c>
      <c r="D935">
        <v>2400</v>
      </c>
      <c r="E935">
        <v>2400</v>
      </c>
      <c r="F935">
        <v>0</v>
      </c>
      <c r="G935">
        <v>1300.9454346</v>
      </c>
      <c r="H935">
        <v>1289.005249</v>
      </c>
      <c r="I935">
        <v>1398.3688964999999</v>
      </c>
      <c r="J935">
        <v>1378.7193603999999</v>
      </c>
      <c r="K935">
        <v>80</v>
      </c>
      <c r="L935">
        <v>76.903907775999997</v>
      </c>
      <c r="M935">
        <v>50</v>
      </c>
      <c r="N935">
        <v>49.960338593000003</v>
      </c>
    </row>
    <row r="936" spans="1:14" x14ac:dyDescent="0.25">
      <c r="A936">
        <v>570.80538799999999</v>
      </c>
      <c r="B936" s="1">
        <f>DATE(2011,11,22) + TIME(19,19,45)</f>
        <v>40869.805381944447</v>
      </c>
      <c r="C936">
        <v>0</v>
      </c>
      <c r="D936">
        <v>2400</v>
      </c>
      <c r="E936">
        <v>2400</v>
      </c>
      <c r="F936">
        <v>0</v>
      </c>
      <c r="G936">
        <v>1300.8997803</v>
      </c>
      <c r="H936">
        <v>1288.9505615</v>
      </c>
      <c r="I936">
        <v>1398.2822266000001</v>
      </c>
      <c r="J936">
        <v>1378.6350098</v>
      </c>
      <c r="K936">
        <v>80</v>
      </c>
      <c r="L936">
        <v>76.777778624999996</v>
      </c>
      <c r="M936">
        <v>50</v>
      </c>
      <c r="N936">
        <v>49.960388184000003</v>
      </c>
    </row>
    <row r="937" spans="1:14" x14ac:dyDescent="0.25">
      <c r="A937">
        <v>571.84705599999995</v>
      </c>
      <c r="B937" s="1">
        <f>DATE(2011,11,23) + TIME(20,19,45)</f>
        <v>40870.847048611111</v>
      </c>
      <c r="C937">
        <v>0</v>
      </c>
      <c r="D937">
        <v>2400</v>
      </c>
      <c r="E937">
        <v>2400</v>
      </c>
      <c r="F937">
        <v>0</v>
      </c>
      <c r="G937">
        <v>1300.8525391000001</v>
      </c>
      <c r="H937">
        <v>1288.8939209</v>
      </c>
      <c r="I937">
        <v>1398.1975098</v>
      </c>
      <c r="J937">
        <v>1378.5527344</v>
      </c>
      <c r="K937">
        <v>80</v>
      </c>
      <c r="L937">
        <v>76.648765564000001</v>
      </c>
      <c r="M937">
        <v>50</v>
      </c>
      <c r="N937">
        <v>49.960441588999998</v>
      </c>
    </row>
    <row r="938" spans="1:14" x14ac:dyDescent="0.25">
      <c r="A938">
        <v>572.93137300000001</v>
      </c>
      <c r="B938" s="1">
        <f>DATE(2011,11,24) + TIME(22,21,10)</f>
        <v>40871.93136574074</v>
      </c>
      <c r="C938">
        <v>0</v>
      </c>
      <c r="D938">
        <v>2400</v>
      </c>
      <c r="E938">
        <v>2400</v>
      </c>
      <c r="F938">
        <v>0</v>
      </c>
      <c r="G938">
        <v>1300.8034668</v>
      </c>
      <c r="H938">
        <v>1288.8349608999999</v>
      </c>
      <c r="I938">
        <v>1398.1140137</v>
      </c>
      <c r="J938">
        <v>1378.4715576000001</v>
      </c>
      <c r="K938">
        <v>80</v>
      </c>
      <c r="L938">
        <v>76.516365050999994</v>
      </c>
      <c r="M938">
        <v>50</v>
      </c>
      <c r="N938">
        <v>49.960494994999998</v>
      </c>
    </row>
    <row r="939" spans="1:14" x14ac:dyDescent="0.25">
      <c r="A939">
        <v>574.04329800000005</v>
      </c>
      <c r="B939" s="1">
        <f>DATE(2011,11,26) + TIME(1,2,20)</f>
        <v>40873.043287037035</v>
      </c>
      <c r="C939">
        <v>0</v>
      </c>
      <c r="D939">
        <v>2400</v>
      </c>
      <c r="E939">
        <v>2400</v>
      </c>
      <c r="F939">
        <v>0</v>
      </c>
      <c r="G939">
        <v>1300.7518310999999</v>
      </c>
      <c r="H939">
        <v>1288.7729492000001</v>
      </c>
      <c r="I939">
        <v>1398.0308838000001</v>
      </c>
      <c r="J939">
        <v>1378.3907471</v>
      </c>
      <c r="K939">
        <v>80</v>
      </c>
      <c r="L939">
        <v>76.381111145000006</v>
      </c>
      <c r="M939">
        <v>50</v>
      </c>
      <c r="N939">
        <v>49.960548400999997</v>
      </c>
    </row>
    <row r="940" spans="1:14" x14ac:dyDescent="0.25">
      <c r="A940">
        <v>575.18224499999997</v>
      </c>
      <c r="B940" s="1">
        <f>DATE(2011,11,27) + TIME(4,22,25)</f>
        <v>40874.182233796295</v>
      </c>
      <c r="C940">
        <v>0</v>
      </c>
      <c r="D940">
        <v>2400</v>
      </c>
      <c r="E940">
        <v>2400</v>
      </c>
      <c r="F940">
        <v>0</v>
      </c>
      <c r="G940">
        <v>1300.6982422000001</v>
      </c>
      <c r="H940">
        <v>1288.7084961</v>
      </c>
      <c r="I940">
        <v>1397.9493408000001</v>
      </c>
      <c r="J940">
        <v>1378.3114014</v>
      </c>
      <c r="K940">
        <v>80</v>
      </c>
      <c r="L940">
        <v>76.243507385000001</v>
      </c>
      <c r="M940">
        <v>50</v>
      </c>
      <c r="N940">
        <v>49.960601807000003</v>
      </c>
    </row>
    <row r="941" spans="1:14" x14ac:dyDescent="0.25">
      <c r="A941">
        <v>576.36022700000001</v>
      </c>
      <c r="B941" s="1">
        <f>DATE(2011,11,28) + TIME(8,38,43)</f>
        <v>40875.360219907408</v>
      </c>
      <c r="C941">
        <v>0</v>
      </c>
      <c r="D941">
        <v>2400</v>
      </c>
      <c r="E941">
        <v>2400</v>
      </c>
      <c r="F941">
        <v>0</v>
      </c>
      <c r="G941">
        <v>1300.6427002</v>
      </c>
      <c r="H941">
        <v>1288.6416016000001</v>
      </c>
      <c r="I941">
        <v>1397.8695068</v>
      </c>
      <c r="J941">
        <v>1378.2336425999999</v>
      </c>
      <c r="K941">
        <v>80</v>
      </c>
      <c r="L941">
        <v>76.103195189999994</v>
      </c>
      <c r="M941">
        <v>50</v>
      </c>
      <c r="N941">
        <v>49.960659026999998</v>
      </c>
    </row>
    <row r="942" spans="1:14" x14ac:dyDescent="0.25">
      <c r="A942">
        <v>577.59033099999999</v>
      </c>
      <c r="B942" s="1">
        <f>DATE(2011,11,29) + TIME(14,10,4)</f>
        <v>40876.590324074074</v>
      </c>
      <c r="C942">
        <v>0</v>
      </c>
      <c r="D942">
        <v>2400</v>
      </c>
      <c r="E942">
        <v>2400</v>
      </c>
      <c r="F942">
        <v>0</v>
      </c>
      <c r="G942">
        <v>1300.5845947</v>
      </c>
      <c r="H942">
        <v>1288.5715332</v>
      </c>
      <c r="I942">
        <v>1397.7902832</v>
      </c>
      <c r="J942">
        <v>1378.1564940999999</v>
      </c>
      <c r="K942">
        <v>80</v>
      </c>
      <c r="L942">
        <v>75.959243774000001</v>
      </c>
      <c r="M942">
        <v>50</v>
      </c>
      <c r="N942">
        <v>49.960716247999997</v>
      </c>
    </row>
    <row r="943" spans="1:14" x14ac:dyDescent="0.25">
      <c r="A943">
        <v>578.88780799999995</v>
      </c>
      <c r="B943" s="1">
        <f>DATE(2011,11,30) + TIME(21,18,26)</f>
        <v>40877.887800925928</v>
      </c>
      <c r="C943">
        <v>0</v>
      </c>
      <c r="D943">
        <v>2400</v>
      </c>
      <c r="E943">
        <v>2400</v>
      </c>
      <c r="F943">
        <v>0</v>
      </c>
      <c r="G943">
        <v>1300.5230713000001</v>
      </c>
      <c r="H943">
        <v>1288.4971923999999</v>
      </c>
      <c r="I943">
        <v>1397.7110596</v>
      </c>
      <c r="J943">
        <v>1378.0792236</v>
      </c>
      <c r="K943">
        <v>80</v>
      </c>
      <c r="L943">
        <v>75.810356139999996</v>
      </c>
      <c r="M943">
        <v>50</v>
      </c>
      <c r="N943">
        <v>49.960777282999999</v>
      </c>
    </row>
    <row r="944" spans="1:14" x14ac:dyDescent="0.25">
      <c r="A944">
        <v>579</v>
      </c>
      <c r="B944" s="1">
        <f>DATE(2011,12,1) + TIME(0,0,0)</f>
        <v>40878</v>
      </c>
      <c r="C944">
        <v>0</v>
      </c>
      <c r="D944">
        <v>2400</v>
      </c>
      <c r="E944">
        <v>2400</v>
      </c>
      <c r="F944">
        <v>0</v>
      </c>
      <c r="G944">
        <v>1300.4549560999999</v>
      </c>
      <c r="H944">
        <v>1288.4278564000001</v>
      </c>
      <c r="I944">
        <v>1397.6315918</v>
      </c>
      <c r="J944">
        <v>1378.0017089999999</v>
      </c>
      <c r="K944">
        <v>80</v>
      </c>
      <c r="L944">
        <v>75.781959533999995</v>
      </c>
      <c r="M944">
        <v>50</v>
      </c>
      <c r="N944">
        <v>49.960773467999999</v>
      </c>
    </row>
    <row r="945" spans="1:14" x14ac:dyDescent="0.25">
      <c r="A945">
        <v>580.330557</v>
      </c>
      <c r="B945" s="1">
        <f>DATE(2011,12,2) + TIME(7,56,0)</f>
        <v>40879.330555555556</v>
      </c>
      <c r="C945">
        <v>0</v>
      </c>
      <c r="D945">
        <v>2400</v>
      </c>
      <c r="E945">
        <v>2400</v>
      </c>
      <c r="F945">
        <v>0</v>
      </c>
      <c r="G945">
        <v>1300.4509277</v>
      </c>
      <c r="H945">
        <v>1288.4094238</v>
      </c>
      <c r="I945">
        <v>1397.6241454999999</v>
      </c>
      <c r="J945">
        <v>1377.9942627</v>
      </c>
      <c r="K945">
        <v>80</v>
      </c>
      <c r="L945">
        <v>75.638046265</v>
      </c>
      <c r="M945">
        <v>50</v>
      </c>
      <c r="N945">
        <v>49.960845947000003</v>
      </c>
    </row>
    <row r="946" spans="1:14" x14ac:dyDescent="0.25">
      <c r="A946">
        <v>581.67625499999997</v>
      </c>
      <c r="B946" s="1">
        <f>DATE(2011,12,3) + TIME(16,13,48)</f>
        <v>40880.676249999997</v>
      </c>
      <c r="C946">
        <v>0</v>
      </c>
      <c r="D946">
        <v>2400</v>
      </c>
      <c r="E946">
        <v>2400</v>
      </c>
      <c r="F946">
        <v>0</v>
      </c>
      <c r="G946">
        <v>1300.3824463000001</v>
      </c>
      <c r="H946">
        <v>1288.3271483999999</v>
      </c>
      <c r="I946">
        <v>1397.5457764</v>
      </c>
      <c r="J946">
        <v>1377.9176024999999</v>
      </c>
      <c r="K946">
        <v>80</v>
      </c>
      <c r="L946">
        <v>75.486640929999993</v>
      </c>
      <c r="M946">
        <v>50</v>
      </c>
      <c r="N946">
        <v>49.960906981999997</v>
      </c>
    </row>
    <row r="947" spans="1:14" x14ac:dyDescent="0.25">
      <c r="A947">
        <v>583.05028500000003</v>
      </c>
      <c r="B947" s="1">
        <f>DATE(2011,12,5) + TIME(1,12,24)</f>
        <v>40882.05027777778</v>
      </c>
      <c r="C947">
        <v>0</v>
      </c>
      <c r="D947">
        <v>2400</v>
      </c>
      <c r="E947">
        <v>2400</v>
      </c>
      <c r="F947">
        <v>0</v>
      </c>
      <c r="G947">
        <v>1300.3117675999999</v>
      </c>
      <c r="H947">
        <v>1288.2415771000001</v>
      </c>
      <c r="I947">
        <v>1397.4696045000001</v>
      </c>
      <c r="J947">
        <v>1377.8431396000001</v>
      </c>
      <c r="K947">
        <v>80</v>
      </c>
      <c r="L947">
        <v>75.331565857000001</v>
      </c>
      <c r="M947">
        <v>50</v>
      </c>
      <c r="N947">
        <v>49.960971831999998</v>
      </c>
    </row>
    <row r="948" spans="1:14" x14ac:dyDescent="0.25">
      <c r="A948">
        <v>584.46738000000005</v>
      </c>
      <c r="B948" s="1">
        <f>DATE(2011,12,6) + TIME(11,13,1)</f>
        <v>40883.467372685183</v>
      </c>
      <c r="C948">
        <v>0</v>
      </c>
      <c r="D948">
        <v>2400</v>
      </c>
      <c r="E948">
        <v>2400</v>
      </c>
      <c r="F948">
        <v>0</v>
      </c>
      <c r="G948">
        <v>1300.2381591999999</v>
      </c>
      <c r="H948">
        <v>1288.1523437999999</v>
      </c>
      <c r="I948">
        <v>1397.3948975000001</v>
      </c>
      <c r="J948">
        <v>1377.7698975000001</v>
      </c>
      <c r="K948">
        <v>80</v>
      </c>
      <c r="L948">
        <v>75.173423767000003</v>
      </c>
      <c r="M948">
        <v>50</v>
      </c>
      <c r="N948">
        <v>49.961036682</v>
      </c>
    </row>
    <row r="949" spans="1:14" x14ac:dyDescent="0.25">
      <c r="A949">
        <v>585.94363899999996</v>
      </c>
      <c r="B949" s="1">
        <f>DATE(2011,12,7) + TIME(22,38,50)</f>
        <v>40884.94363425926</v>
      </c>
      <c r="C949">
        <v>0</v>
      </c>
      <c r="D949">
        <v>2400</v>
      </c>
      <c r="E949">
        <v>2400</v>
      </c>
      <c r="F949">
        <v>0</v>
      </c>
      <c r="G949">
        <v>1300.1610106999999</v>
      </c>
      <c r="H949">
        <v>1288.0584716999999</v>
      </c>
      <c r="I949">
        <v>1397.3209228999999</v>
      </c>
      <c r="J949">
        <v>1377.6972656</v>
      </c>
      <c r="K949">
        <v>80</v>
      </c>
      <c r="L949">
        <v>75.011520386000001</v>
      </c>
      <c r="M949">
        <v>50</v>
      </c>
      <c r="N949">
        <v>49.961105347</v>
      </c>
    </row>
    <row r="950" spans="1:14" x14ac:dyDescent="0.25">
      <c r="A950">
        <v>587.41989799999999</v>
      </c>
      <c r="B950" s="1">
        <f>DATE(2011,12,9) + TIME(10,4,39)</f>
        <v>40886.419895833336</v>
      </c>
      <c r="C950">
        <v>0</v>
      </c>
      <c r="D950">
        <v>2400</v>
      </c>
      <c r="E950">
        <v>2400</v>
      </c>
      <c r="F950">
        <v>0</v>
      </c>
      <c r="G950">
        <v>1300.0788574000001</v>
      </c>
      <c r="H950">
        <v>1287.9587402</v>
      </c>
      <c r="I950">
        <v>1397.2467041</v>
      </c>
      <c r="J950">
        <v>1377.6242675999999</v>
      </c>
      <c r="K950">
        <v>80</v>
      </c>
      <c r="L950">
        <v>74.847541809000006</v>
      </c>
      <c r="M950">
        <v>50</v>
      </c>
      <c r="N950">
        <v>49.961177825999997</v>
      </c>
    </row>
    <row r="951" spans="1:14" x14ac:dyDescent="0.25">
      <c r="A951">
        <v>589.03085699999997</v>
      </c>
      <c r="B951" s="1">
        <f>DATE(2011,12,11) + TIME(0,44,26)</f>
        <v>40888.030856481484</v>
      </c>
      <c r="C951">
        <v>0</v>
      </c>
      <c r="D951">
        <v>2400</v>
      </c>
      <c r="E951">
        <v>2400</v>
      </c>
      <c r="F951">
        <v>0</v>
      </c>
      <c r="G951">
        <v>1299.9952393000001</v>
      </c>
      <c r="H951">
        <v>1287.8560791</v>
      </c>
      <c r="I951">
        <v>1397.1754149999999</v>
      </c>
      <c r="J951">
        <v>1377.5539550999999</v>
      </c>
      <c r="K951">
        <v>80</v>
      </c>
      <c r="L951">
        <v>74.678428650000001</v>
      </c>
      <c r="M951">
        <v>50</v>
      </c>
      <c r="N951">
        <v>49.961250305</v>
      </c>
    </row>
    <row r="952" spans="1:14" x14ac:dyDescent="0.25">
      <c r="A952">
        <v>590.65508699999998</v>
      </c>
      <c r="B952" s="1">
        <f>DATE(2011,12,12) + TIME(15,43,19)</f>
        <v>40889.655081018522</v>
      </c>
      <c r="C952">
        <v>0</v>
      </c>
      <c r="D952">
        <v>2400</v>
      </c>
      <c r="E952">
        <v>2400</v>
      </c>
      <c r="F952">
        <v>0</v>
      </c>
      <c r="G952">
        <v>1299.9020995999999</v>
      </c>
      <c r="H952">
        <v>1287.7425536999999</v>
      </c>
      <c r="I952">
        <v>1397.1004639</v>
      </c>
      <c r="J952">
        <v>1377.4798584</v>
      </c>
      <c r="K952">
        <v>80</v>
      </c>
      <c r="L952">
        <v>74.503952025999993</v>
      </c>
      <c r="M952">
        <v>50</v>
      </c>
      <c r="N952">
        <v>49.961326599000003</v>
      </c>
    </row>
    <row r="953" spans="1:14" x14ac:dyDescent="0.25">
      <c r="A953">
        <v>592.30998199999999</v>
      </c>
      <c r="B953" s="1">
        <f>DATE(2011,12,14) + TIME(7,26,22)</f>
        <v>40891.309976851851</v>
      </c>
      <c r="C953">
        <v>0</v>
      </c>
      <c r="D953">
        <v>2400</v>
      </c>
      <c r="E953">
        <v>2400</v>
      </c>
      <c r="F953">
        <v>0</v>
      </c>
      <c r="G953">
        <v>1299.8057861</v>
      </c>
      <c r="H953">
        <v>1287.6246338000001</v>
      </c>
      <c r="I953">
        <v>1397.0277100000001</v>
      </c>
      <c r="J953">
        <v>1377.4079589999999</v>
      </c>
      <c r="K953">
        <v>80</v>
      </c>
      <c r="L953">
        <v>74.327087402000004</v>
      </c>
      <c r="M953">
        <v>50</v>
      </c>
      <c r="N953">
        <v>49.961406707999998</v>
      </c>
    </row>
    <row r="954" spans="1:14" x14ac:dyDescent="0.25">
      <c r="A954">
        <v>593.964877</v>
      </c>
      <c r="B954" s="1">
        <f>DATE(2011,12,15) + TIME(23,9,25)</f>
        <v>40892.964872685188</v>
      </c>
      <c r="C954">
        <v>0</v>
      </c>
      <c r="D954">
        <v>2400</v>
      </c>
      <c r="E954">
        <v>2400</v>
      </c>
      <c r="F954">
        <v>0</v>
      </c>
      <c r="G954">
        <v>1299.7052002</v>
      </c>
      <c r="H954">
        <v>1287.5013428</v>
      </c>
      <c r="I954">
        <v>1396.9564209</v>
      </c>
      <c r="J954">
        <v>1377.3371582</v>
      </c>
      <c r="K954">
        <v>80</v>
      </c>
      <c r="L954">
        <v>74.149490356000001</v>
      </c>
      <c r="M954">
        <v>50</v>
      </c>
      <c r="N954">
        <v>49.961483002000001</v>
      </c>
    </row>
    <row r="955" spans="1:14" x14ac:dyDescent="0.25">
      <c r="A955">
        <v>595.72119499999997</v>
      </c>
      <c r="B955" s="1">
        <f>DATE(2011,12,17) + TIME(17,18,31)</f>
        <v>40894.721192129633</v>
      </c>
      <c r="C955">
        <v>0</v>
      </c>
      <c r="D955">
        <v>2400</v>
      </c>
      <c r="E955">
        <v>2400</v>
      </c>
      <c r="F955">
        <v>0</v>
      </c>
      <c r="G955">
        <v>1299.6022949000001</v>
      </c>
      <c r="H955">
        <v>1287.3741454999999</v>
      </c>
      <c r="I955">
        <v>1396.8876952999999</v>
      </c>
      <c r="J955">
        <v>1377.2686768000001</v>
      </c>
      <c r="K955">
        <v>80</v>
      </c>
      <c r="L955">
        <v>73.968940735000004</v>
      </c>
      <c r="M955">
        <v>50</v>
      </c>
      <c r="N955">
        <v>49.961566925</v>
      </c>
    </row>
    <row r="956" spans="1:14" x14ac:dyDescent="0.25">
      <c r="A956">
        <v>597.47751200000005</v>
      </c>
      <c r="B956" s="1">
        <f>DATE(2011,12,19) + TIME(11,27,37)</f>
        <v>40896.477511574078</v>
      </c>
      <c r="C956">
        <v>0</v>
      </c>
      <c r="D956">
        <v>2400</v>
      </c>
      <c r="E956">
        <v>2400</v>
      </c>
      <c r="F956">
        <v>0</v>
      </c>
      <c r="G956">
        <v>1299.4906006000001</v>
      </c>
      <c r="H956">
        <v>1287.2365723</v>
      </c>
      <c r="I956">
        <v>1396.8172606999999</v>
      </c>
      <c r="J956">
        <v>1377.1984863</v>
      </c>
      <c r="K956">
        <v>80</v>
      </c>
      <c r="L956">
        <v>73.785041809000006</v>
      </c>
      <c r="M956">
        <v>50</v>
      </c>
      <c r="N956">
        <v>49.961647034000002</v>
      </c>
    </row>
    <row r="957" spans="1:14" x14ac:dyDescent="0.25">
      <c r="A957">
        <v>599.35098100000005</v>
      </c>
      <c r="B957" s="1">
        <f>DATE(2011,12,21) + TIME(8,25,24)</f>
        <v>40898.350972222222</v>
      </c>
      <c r="C957">
        <v>0</v>
      </c>
      <c r="D957">
        <v>2400</v>
      </c>
      <c r="E957">
        <v>2400</v>
      </c>
      <c r="F957">
        <v>0</v>
      </c>
      <c r="G957">
        <v>1299.3757324000001</v>
      </c>
      <c r="H957">
        <v>1287.0941161999999</v>
      </c>
      <c r="I957">
        <v>1396.7495117000001</v>
      </c>
      <c r="J957">
        <v>1377.1304932</v>
      </c>
      <c r="K957">
        <v>80</v>
      </c>
      <c r="L957">
        <v>73.596939086999996</v>
      </c>
      <c r="M957">
        <v>50</v>
      </c>
      <c r="N957">
        <v>49.961734772</v>
      </c>
    </row>
    <row r="958" spans="1:14" x14ac:dyDescent="0.25">
      <c r="A958">
        <v>601.22445000000005</v>
      </c>
      <c r="B958" s="1">
        <f>DATE(2011,12,23) + TIME(5,23,12)</f>
        <v>40900.224444444444</v>
      </c>
      <c r="C958">
        <v>0</v>
      </c>
      <c r="D958">
        <v>2400</v>
      </c>
      <c r="E958">
        <v>2400</v>
      </c>
      <c r="F958">
        <v>0</v>
      </c>
      <c r="G958">
        <v>1299.2504882999999</v>
      </c>
      <c r="H958">
        <v>1286.9389647999999</v>
      </c>
      <c r="I958">
        <v>1396.6795654</v>
      </c>
      <c r="J958">
        <v>1377.0603027</v>
      </c>
      <c r="K958">
        <v>80</v>
      </c>
      <c r="L958">
        <v>73.404205321999996</v>
      </c>
      <c r="M958">
        <v>50</v>
      </c>
      <c r="N958">
        <v>49.961822509999998</v>
      </c>
    </row>
    <row r="959" spans="1:14" x14ac:dyDescent="0.25">
      <c r="A959">
        <v>603.17460600000004</v>
      </c>
      <c r="B959" s="1">
        <f>DATE(2011,12,25) + TIME(4,11,25)</f>
        <v>40902.17459490741</v>
      </c>
      <c r="C959">
        <v>0</v>
      </c>
      <c r="D959">
        <v>2400</v>
      </c>
      <c r="E959">
        <v>2400</v>
      </c>
      <c r="F959">
        <v>0</v>
      </c>
      <c r="G959">
        <v>1299.1213379000001</v>
      </c>
      <c r="H959">
        <v>1286.7780762</v>
      </c>
      <c r="I959">
        <v>1396.6121826000001</v>
      </c>
      <c r="J959">
        <v>1376.9923096</v>
      </c>
      <c r="K959">
        <v>80</v>
      </c>
      <c r="L959">
        <v>73.208282471000004</v>
      </c>
      <c r="M959">
        <v>50</v>
      </c>
      <c r="N959">
        <v>49.961914061999998</v>
      </c>
    </row>
    <row r="960" spans="1:14" x14ac:dyDescent="0.25">
      <c r="A960">
        <v>605.17357500000003</v>
      </c>
      <c r="B960" s="1">
        <f>DATE(2011,12,27) + TIME(4,9,56)</f>
        <v>40904.173564814817</v>
      </c>
      <c r="C960">
        <v>0</v>
      </c>
      <c r="D960">
        <v>2400</v>
      </c>
      <c r="E960">
        <v>2400</v>
      </c>
      <c r="F960">
        <v>0</v>
      </c>
      <c r="G960">
        <v>1298.9835204999999</v>
      </c>
      <c r="H960">
        <v>1286.6060791</v>
      </c>
      <c r="I960">
        <v>1396.5443115</v>
      </c>
      <c r="J960">
        <v>1376.9235839999999</v>
      </c>
      <c r="K960">
        <v>80</v>
      </c>
      <c r="L960">
        <v>73.007682799999998</v>
      </c>
      <c r="M960">
        <v>50</v>
      </c>
      <c r="N960">
        <v>49.962005615000002</v>
      </c>
    </row>
    <row r="961" spans="1:14" x14ac:dyDescent="0.25">
      <c r="A961">
        <v>607.22440300000005</v>
      </c>
      <c r="B961" s="1">
        <f>DATE(2011,12,29) + TIME(5,23,8)</f>
        <v>40906.224398148152</v>
      </c>
      <c r="C961">
        <v>0</v>
      </c>
      <c r="D961">
        <v>2400</v>
      </c>
      <c r="E961">
        <v>2400</v>
      </c>
      <c r="F961">
        <v>0</v>
      </c>
      <c r="G961">
        <v>1298.8381348</v>
      </c>
      <c r="H961">
        <v>1286.4241943</v>
      </c>
      <c r="I961">
        <v>1396.4771728999999</v>
      </c>
      <c r="J961">
        <v>1376.8553466999999</v>
      </c>
      <c r="K961">
        <v>80</v>
      </c>
      <c r="L961">
        <v>72.802749633999994</v>
      </c>
      <c r="M961">
        <v>50</v>
      </c>
      <c r="N961">
        <v>49.962100982999999</v>
      </c>
    </row>
    <row r="962" spans="1:14" x14ac:dyDescent="0.25">
      <c r="A962">
        <v>609.34597199999996</v>
      </c>
      <c r="B962" s="1">
        <f>DATE(2011,12,31) + TIME(8,18,11)</f>
        <v>40908.345960648148</v>
      </c>
      <c r="C962">
        <v>0</v>
      </c>
      <c r="D962">
        <v>2400</v>
      </c>
      <c r="E962">
        <v>2400</v>
      </c>
      <c r="F962">
        <v>0</v>
      </c>
      <c r="G962">
        <v>1298.6848144999999</v>
      </c>
      <c r="H962">
        <v>1286.2315673999999</v>
      </c>
      <c r="I962">
        <v>1396.4106445</v>
      </c>
      <c r="J962">
        <v>1376.7874756000001</v>
      </c>
      <c r="K962">
        <v>80</v>
      </c>
      <c r="L962">
        <v>72.592765807999996</v>
      </c>
      <c r="M962">
        <v>50</v>
      </c>
      <c r="N962">
        <v>49.962200164999999</v>
      </c>
    </row>
    <row r="963" spans="1:14" x14ac:dyDescent="0.25">
      <c r="A963">
        <v>610</v>
      </c>
      <c r="B963" s="1">
        <f>DATE(2012,1,1) + TIME(0,0,0)</f>
        <v>40909</v>
      </c>
      <c r="C963">
        <v>0</v>
      </c>
      <c r="D963">
        <v>2400</v>
      </c>
      <c r="E963">
        <v>2400</v>
      </c>
      <c r="F963">
        <v>0</v>
      </c>
      <c r="G963">
        <v>1298.5235596</v>
      </c>
      <c r="H963">
        <v>1286.0407714999999</v>
      </c>
      <c r="I963">
        <v>1396.3432617000001</v>
      </c>
      <c r="J963">
        <v>1376.7188721</v>
      </c>
      <c r="K963">
        <v>80</v>
      </c>
      <c r="L963">
        <v>72.464935303000004</v>
      </c>
      <c r="M963">
        <v>50</v>
      </c>
      <c r="N963">
        <v>49.962230681999998</v>
      </c>
    </row>
    <row r="964" spans="1:14" x14ac:dyDescent="0.25">
      <c r="A964">
        <v>612.12156900000002</v>
      </c>
      <c r="B964" s="1">
        <f>DATE(2012,1,3) + TIME(2,55,3)</f>
        <v>40911.121562499997</v>
      </c>
      <c r="C964">
        <v>0</v>
      </c>
      <c r="D964">
        <v>2400</v>
      </c>
      <c r="E964">
        <v>2400</v>
      </c>
      <c r="F964">
        <v>0</v>
      </c>
      <c r="G964">
        <v>1298.4636230000001</v>
      </c>
      <c r="H964">
        <v>1285.9495850000001</v>
      </c>
      <c r="I964">
        <v>1396.3239745999999</v>
      </c>
      <c r="J964">
        <v>1376.6981201000001</v>
      </c>
      <c r="K964">
        <v>80</v>
      </c>
      <c r="L964">
        <v>72.293640136999997</v>
      </c>
      <c r="M964">
        <v>50</v>
      </c>
      <c r="N964">
        <v>49.962329865000001</v>
      </c>
    </row>
    <row r="965" spans="1:14" x14ac:dyDescent="0.25">
      <c r="A965">
        <v>614.24313800000004</v>
      </c>
      <c r="B965" s="1">
        <f>DATE(2012,1,5) + TIME(5,50,7)</f>
        <v>40913.243136574078</v>
      </c>
      <c r="C965">
        <v>0</v>
      </c>
      <c r="D965">
        <v>2400</v>
      </c>
      <c r="E965">
        <v>2400</v>
      </c>
      <c r="F965">
        <v>0</v>
      </c>
      <c r="G965">
        <v>1298.2984618999999</v>
      </c>
      <c r="H965">
        <v>1285.7427978999999</v>
      </c>
      <c r="I965">
        <v>1396.2602539</v>
      </c>
      <c r="J965">
        <v>1376.6326904</v>
      </c>
      <c r="K965">
        <v>80</v>
      </c>
      <c r="L965">
        <v>72.091209411999998</v>
      </c>
      <c r="M965">
        <v>50</v>
      </c>
      <c r="N965">
        <v>49.962429047000001</v>
      </c>
    </row>
    <row r="966" spans="1:14" x14ac:dyDescent="0.25">
      <c r="A966">
        <v>616.36470699999995</v>
      </c>
      <c r="B966" s="1">
        <f>DATE(2012,1,7) + TIME(8,45,10)</f>
        <v>40915.364699074074</v>
      </c>
      <c r="C966">
        <v>0</v>
      </c>
      <c r="D966">
        <v>2400</v>
      </c>
      <c r="E966">
        <v>2400</v>
      </c>
      <c r="F966">
        <v>0</v>
      </c>
      <c r="G966">
        <v>1298.1248779</v>
      </c>
      <c r="H966">
        <v>1285.5230713000001</v>
      </c>
      <c r="I966">
        <v>1396.1984863</v>
      </c>
      <c r="J966">
        <v>1376.5687256000001</v>
      </c>
      <c r="K966">
        <v>80</v>
      </c>
      <c r="L966">
        <v>71.879264832000004</v>
      </c>
      <c r="M966">
        <v>50</v>
      </c>
      <c r="N966">
        <v>49.962528229</v>
      </c>
    </row>
    <row r="967" spans="1:14" x14ac:dyDescent="0.25">
      <c r="A967">
        <v>618.48627599999998</v>
      </c>
      <c r="B967" s="1">
        <f>DATE(2012,1,9) + TIME(11,40,14)</f>
        <v>40917.486273148148</v>
      </c>
      <c r="C967">
        <v>0</v>
      </c>
      <c r="D967">
        <v>2400</v>
      </c>
      <c r="E967">
        <v>2400</v>
      </c>
      <c r="F967">
        <v>0</v>
      </c>
      <c r="G967">
        <v>1297.9455565999999</v>
      </c>
      <c r="H967">
        <v>1285.2946777</v>
      </c>
      <c r="I967">
        <v>1396.1385498</v>
      </c>
      <c r="J967">
        <v>1376.5063477000001</v>
      </c>
      <c r="K967">
        <v>80</v>
      </c>
      <c r="L967">
        <v>71.664024353000002</v>
      </c>
      <c r="M967">
        <v>50</v>
      </c>
      <c r="N967">
        <v>49.962623596</v>
      </c>
    </row>
    <row r="968" spans="1:14" x14ac:dyDescent="0.25">
      <c r="A968">
        <v>620.85833700000001</v>
      </c>
      <c r="B968" s="1">
        <f>DATE(2012,1,11) + TIME(20,36,0)</f>
        <v>40919.85833333333</v>
      </c>
      <c r="C968">
        <v>0</v>
      </c>
      <c r="D968">
        <v>2400</v>
      </c>
      <c r="E968">
        <v>2400</v>
      </c>
      <c r="F968">
        <v>0</v>
      </c>
      <c r="G968">
        <v>1297.7609863</v>
      </c>
      <c r="H968">
        <v>1285.0573730000001</v>
      </c>
      <c r="I968">
        <v>1396.0805664</v>
      </c>
      <c r="J968">
        <v>1376.4456786999999</v>
      </c>
      <c r="K968">
        <v>80</v>
      </c>
      <c r="L968">
        <v>71.440002441000004</v>
      </c>
      <c r="M968">
        <v>50</v>
      </c>
      <c r="N968">
        <v>49.962734222000002</v>
      </c>
    </row>
    <row r="969" spans="1:14" x14ac:dyDescent="0.25">
      <c r="A969">
        <v>623.26470600000005</v>
      </c>
      <c r="B969" s="1">
        <f>DATE(2012,1,14) + TIME(6,21,10)</f>
        <v>40922.264699074076</v>
      </c>
      <c r="C969">
        <v>0</v>
      </c>
      <c r="D969">
        <v>2400</v>
      </c>
      <c r="E969">
        <v>2400</v>
      </c>
      <c r="F969">
        <v>0</v>
      </c>
      <c r="G969">
        <v>1297.5513916</v>
      </c>
      <c r="H969">
        <v>1284.7891846</v>
      </c>
      <c r="I969">
        <v>1396.0174560999999</v>
      </c>
      <c r="J969">
        <v>1376.3793945</v>
      </c>
      <c r="K969">
        <v>80</v>
      </c>
      <c r="L969">
        <v>71.200126647999994</v>
      </c>
      <c r="M969">
        <v>50</v>
      </c>
      <c r="N969">
        <v>49.962844849</v>
      </c>
    </row>
    <row r="970" spans="1:14" x14ac:dyDescent="0.25">
      <c r="A970">
        <v>625.69634699999995</v>
      </c>
      <c r="B970" s="1">
        <f>DATE(2012,1,16) + TIME(16,42,44)</f>
        <v>40924.696342592593</v>
      </c>
      <c r="C970">
        <v>0</v>
      </c>
      <c r="D970">
        <v>2400</v>
      </c>
      <c r="E970">
        <v>2400</v>
      </c>
      <c r="F970">
        <v>0</v>
      </c>
      <c r="G970">
        <v>1297.3314209</v>
      </c>
      <c r="H970">
        <v>1284.5058594</v>
      </c>
      <c r="I970">
        <v>1395.9554443</v>
      </c>
      <c r="J970">
        <v>1376.3138428</v>
      </c>
      <c r="K970">
        <v>80</v>
      </c>
      <c r="L970">
        <v>70.952011107999994</v>
      </c>
      <c r="M970">
        <v>50</v>
      </c>
      <c r="N970">
        <v>49.962955475000001</v>
      </c>
    </row>
    <row r="971" spans="1:14" x14ac:dyDescent="0.25">
      <c r="A971">
        <v>628.17613100000005</v>
      </c>
      <c r="B971" s="1">
        <f>DATE(2012,1,19) + TIME(4,13,37)</f>
        <v>40927.176122685189</v>
      </c>
      <c r="C971">
        <v>0</v>
      </c>
      <c r="D971">
        <v>2400</v>
      </c>
      <c r="E971">
        <v>2400</v>
      </c>
      <c r="F971">
        <v>0</v>
      </c>
      <c r="G971">
        <v>1297.1022949000001</v>
      </c>
      <c r="H971">
        <v>1284.2093506000001</v>
      </c>
      <c r="I971">
        <v>1395.8946533000001</v>
      </c>
      <c r="J971">
        <v>1376.2492675999999</v>
      </c>
      <c r="K971">
        <v>80</v>
      </c>
      <c r="L971">
        <v>70.697151184000006</v>
      </c>
      <c r="M971">
        <v>50</v>
      </c>
      <c r="N971">
        <v>49.963069916000002</v>
      </c>
    </row>
    <row r="972" spans="1:14" x14ac:dyDescent="0.25">
      <c r="A972">
        <v>630.65591500000005</v>
      </c>
      <c r="B972" s="1">
        <f>DATE(2012,1,21) + TIME(15,44,31)</f>
        <v>40929.655914351853</v>
      </c>
      <c r="C972">
        <v>0</v>
      </c>
      <c r="D972">
        <v>2400</v>
      </c>
      <c r="E972">
        <v>2400</v>
      </c>
      <c r="F972">
        <v>0</v>
      </c>
      <c r="G972">
        <v>1296.8624268000001</v>
      </c>
      <c r="H972">
        <v>1283.8979492000001</v>
      </c>
      <c r="I972">
        <v>1395.8343506000001</v>
      </c>
      <c r="J972">
        <v>1376.1849365</v>
      </c>
      <c r="K972">
        <v>80</v>
      </c>
      <c r="L972">
        <v>70.435760497999993</v>
      </c>
      <c r="M972">
        <v>50</v>
      </c>
      <c r="N972">
        <v>49.963180542000003</v>
      </c>
    </row>
    <row r="973" spans="1:14" x14ac:dyDescent="0.25">
      <c r="A973">
        <v>633.13569900000005</v>
      </c>
      <c r="B973" s="1">
        <f>DATE(2012,1,24) + TIME(3,15,24)</f>
        <v>40932.135694444441</v>
      </c>
      <c r="C973">
        <v>0</v>
      </c>
      <c r="D973">
        <v>2400</v>
      </c>
      <c r="E973">
        <v>2400</v>
      </c>
      <c r="F973">
        <v>0</v>
      </c>
      <c r="G973">
        <v>1296.6157227000001</v>
      </c>
      <c r="H973">
        <v>1283.5760498</v>
      </c>
      <c r="I973">
        <v>1395.7758789</v>
      </c>
      <c r="J973">
        <v>1376.1220702999999</v>
      </c>
      <c r="K973">
        <v>80</v>
      </c>
      <c r="L973">
        <v>70.169860839999998</v>
      </c>
      <c r="M973">
        <v>50</v>
      </c>
      <c r="N973">
        <v>49.963294982999997</v>
      </c>
    </row>
    <row r="974" spans="1:14" x14ac:dyDescent="0.25">
      <c r="A974">
        <v>635.769363</v>
      </c>
      <c r="B974" s="1">
        <f>DATE(2012,1,26) + TIME(18,27,52)</f>
        <v>40934.76935185185</v>
      </c>
      <c r="C974">
        <v>0</v>
      </c>
      <c r="D974">
        <v>2400</v>
      </c>
      <c r="E974">
        <v>2400</v>
      </c>
      <c r="F974">
        <v>0</v>
      </c>
      <c r="G974">
        <v>1296.3621826000001</v>
      </c>
      <c r="H974">
        <v>1283.2432861</v>
      </c>
      <c r="I974">
        <v>1395.7189940999999</v>
      </c>
      <c r="J974">
        <v>1376.0606689000001</v>
      </c>
      <c r="K974">
        <v>80</v>
      </c>
      <c r="L974">
        <v>69.895393372000001</v>
      </c>
      <c r="M974">
        <v>50</v>
      </c>
      <c r="N974">
        <v>49.963413238999998</v>
      </c>
    </row>
    <row r="975" spans="1:14" x14ac:dyDescent="0.25">
      <c r="A975">
        <v>638.40302599999995</v>
      </c>
      <c r="B975" s="1">
        <f>DATE(2012,1,29) + TIME(9,40,21)</f>
        <v>40937.403020833335</v>
      </c>
      <c r="C975">
        <v>0</v>
      </c>
      <c r="D975">
        <v>2400</v>
      </c>
      <c r="E975">
        <v>2400</v>
      </c>
      <c r="F975">
        <v>0</v>
      </c>
      <c r="G975">
        <v>1296.0882568</v>
      </c>
      <c r="H975">
        <v>1282.8836670000001</v>
      </c>
      <c r="I975">
        <v>1395.6601562000001</v>
      </c>
      <c r="J975">
        <v>1375.9969481999999</v>
      </c>
      <c r="K975">
        <v>80</v>
      </c>
      <c r="L975">
        <v>69.606513977000006</v>
      </c>
      <c r="M975">
        <v>50</v>
      </c>
      <c r="N975">
        <v>49.963531494000001</v>
      </c>
    </row>
    <row r="976" spans="1:14" x14ac:dyDescent="0.25">
      <c r="A976">
        <v>641</v>
      </c>
      <c r="B976" s="1">
        <f>DATE(2012,2,1) + TIME(0,0,0)</f>
        <v>40940</v>
      </c>
      <c r="C976">
        <v>0</v>
      </c>
      <c r="D976">
        <v>2400</v>
      </c>
      <c r="E976">
        <v>2400</v>
      </c>
      <c r="F976">
        <v>0</v>
      </c>
      <c r="G976">
        <v>1295.8060303</v>
      </c>
      <c r="H976">
        <v>1282.5113524999999</v>
      </c>
      <c r="I976">
        <v>1395.6029053</v>
      </c>
      <c r="J976">
        <v>1375.9345702999999</v>
      </c>
      <c r="K976">
        <v>80</v>
      </c>
      <c r="L976">
        <v>69.310493468999994</v>
      </c>
      <c r="M976">
        <v>50</v>
      </c>
      <c r="N976">
        <v>49.963645935000002</v>
      </c>
    </row>
    <row r="977" spans="1:14" x14ac:dyDescent="0.25">
      <c r="A977">
        <v>643.63366399999995</v>
      </c>
      <c r="B977" s="1">
        <f>DATE(2012,2,3) + TIME(15,12,28)</f>
        <v>40942.633657407408</v>
      </c>
      <c r="C977">
        <v>0</v>
      </c>
      <c r="D977">
        <v>2400</v>
      </c>
      <c r="E977">
        <v>2400</v>
      </c>
      <c r="F977">
        <v>0</v>
      </c>
      <c r="G977">
        <v>1295.5202637</v>
      </c>
      <c r="H977">
        <v>1282.1318358999999</v>
      </c>
      <c r="I977">
        <v>1395.5478516000001</v>
      </c>
      <c r="J977">
        <v>1375.8743896000001</v>
      </c>
      <c r="K977">
        <v>80</v>
      </c>
      <c r="L977">
        <v>69.008743285999998</v>
      </c>
      <c r="M977">
        <v>50</v>
      </c>
      <c r="N977">
        <v>49.963764191000003</v>
      </c>
    </row>
    <row r="978" spans="1:14" x14ac:dyDescent="0.25">
      <c r="A978">
        <v>646.26732700000002</v>
      </c>
      <c r="B978" s="1">
        <f>DATE(2012,2,6) + TIME(6,24,57)</f>
        <v>40945.267326388886</v>
      </c>
      <c r="C978">
        <v>0</v>
      </c>
      <c r="D978">
        <v>2400</v>
      </c>
      <c r="E978">
        <v>2400</v>
      </c>
      <c r="F978">
        <v>0</v>
      </c>
      <c r="G978">
        <v>1295.2247314000001</v>
      </c>
      <c r="H978">
        <v>1281.7382812000001</v>
      </c>
      <c r="I978">
        <v>1395.4934082</v>
      </c>
      <c r="J978">
        <v>1375.8144531</v>
      </c>
      <c r="K978">
        <v>80</v>
      </c>
      <c r="L978">
        <v>68.698158264</v>
      </c>
      <c r="M978">
        <v>50</v>
      </c>
      <c r="N978">
        <v>49.963878631999997</v>
      </c>
    </row>
    <row r="979" spans="1:14" x14ac:dyDescent="0.25">
      <c r="A979">
        <v>648.90099099999998</v>
      </c>
      <c r="B979" s="1">
        <f>DATE(2012,2,8) + TIME(21,37,25)</f>
        <v>40947.900983796295</v>
      </c>
      <c r="C979">
        <v>0</v>
      </c>
      <c r="D979">
        <v>2400</v>
      </c>
      <c r="E979">
        <v>2400</v>
      </c>
      <c r="F979">
        <v>0</v>
      </c>
      <c r="G979">
        <v>1294.9223632999999</v>
      </c>
      <c r="H979">
        <v>1281.3339844</v>
      </c>
      <c r="I979">
        <v>1395.4403076000001</v>
      </c>
      <c r="J979">
        <v>1375.7558594</v>
      </c>
      <c r="K979">
        <v>80</v>
      </c>
      <c r="L979">
        <v>68.379631042</v>
      </c>
      <c r="M979">
        <v>50</v>
      </c>
      <c r="N979">
        <v>49.963996887</v>
      </c>
    </row>
    <row r="980" spans="1:14" x14ac:dyDescent="0.25">
      <c r="A980">
        <v>651.69447500000001</v>
      </c>
      <c r="B980" s="1">
        <f>DATE(2012,2,11) + TIME(16,40,2)</f>
        <v>40950.694467592592</v>
      </c>
      <c r="C980">
        <v>0</v>
      </c>
      <c r="D980">
        <v>2400</v>
      </c>
      <c r="E980">
        <v>2400</v>
      </c>
      <c r="F980">
        <v>0</v>
      </c>
      <c r="G980">
        <v>1294.6135254000001</v>
      </c>
      <c r="H980">
        <v>1280.9180908000001</v>
      </c>
      <c r="I980">
        <v>1395.3884277</v>
      </c>
      <c r="J980">
        <v>1375.6982422000001</v>
      </c>
      <c r="K980">
        <v>80</v>
      </c>
      <c r="L980">
        <v>68.048240661999998</v>
      </c>
      <c r="M980">
        <v>50</v>
      </c>
      <c r="N980">
        <v>49.964118958</v>
      </c>
    </row>
    <row r="981" spans="1:14" x14ac:dyDescent="0.25">
      <c r="A981">
        <v>654.48795800000005</v>
      </c>
      <c r="B981" s="1">
        <f>DATE(2012,2,14) + TIME(11,42,39)</f>
        <v>40953.487951388888</v>
      </c>
      <c r="C981">
        <v>0</v>
      </c>
      <c r="D981">
        <v>2400</v>
      </c>
      <c r="E981">
        <v>2400</v>
      </c>
      <c r="F981">
        <v>0</v>
      </c>
      <c r="G981">
        <v>1294.2822266000001</v>
      </c>
      <c r="H981">
        <v>1280.4719238</v>
      </c>
      <c r="I981">
        <v>1395.3344727000001</v>
      </c>
      <c r="J981">
        <v>1375.6385498</v>
      </c>
      <c r="K981">
        <v>80</v>
      </c>
      <c r="L981">
        <v>67.696449279999996</v>
      </c>
      <c r="M981">
        <v>50</v>
      </c>
      <c r="N981">
        <v>49.964237212999997</v>
      </c>
    </row>
    <row r="982" spans="1:14" x14ac:dyDescent="0.25">
      <c r="A982">
        <v>657.28144199999997</v>
      </c>
      <c r="B982" s="1">
        <f>DATE(2012,2,17) + TIME(6,45,16)</f>
        <v>40956.281435185185</v>
      </c>
      <c r="C982">
        <v>0</v>
      </c>
      <c r="D982">
        <v>2400</v>
      </c>
      <c r="E982">
        <v>2400</v>
      </c>
      <c r="F982">
        <v>0</v>
      </c>
      <c r="G982">
        <v>1293.942749</v>
      </c>
      <c r="H982">
        <v>1280.0119629000001</v>
      </c>
      <c r="I982">
        <v>1395.2817382999999</v>
      </c>
      <c r="J982">
        <v>1375.5797118999999</v>
      </c>
      <c r="K982">
        <v>80</v>
      </c>
      <c r="L982">
        <v>67.332115173000005</v>
      </c>
      <c r="M982">
        <v>50</v>
      </c>
      <c r="N982">
        <v>49.964359283</v>
      </c>
    </row>
    <row r="983" spans="1:14" x14ac:dyDescent="0.25">
      <c r="A983">
        <v>660.07492500000001</v>
      </c>
      <c r="B983" s="1">
        <f>DATE(2012,2,20) + TIME(1,47,53)</f>
        <v>40959.074918981481</v>
      </c>
      <c r="C983">
        <v>0</v>
      </c>
      <c r="D983">
        <v>2400</v>
      </c>
      <c r="E983">
        <v>2400</v>
      </c>
      <c r="F983">
        <v>0</v>
      </c>
      <c r="G983">
        <v>1293.5965576000001</v>
      </c>
      <c r="H983">
        <v>1279.5408935999999</v>
      </c>
      <c r="I983">
        <v>1395.2301024999999</v>
      </c>
      <c r="J983">
        <v>1375.5219727000001</v>
      </c>
      <c r="K983">
        <v>80</v>
      </c>
      <c r="L983">
        <v>66.956855774000005</v>
      </c>
      <c r="M983">
        <v>50</v>
      </c>
      <c r="N983">
        <v>49.964477539000001</v>
      </c>
    </row>
    <row r="984" spans="1:14" x14ac:dyDescent="0.25">
      <c r="A984">
        <v>662.86840900000004</v>
      </c>
      <c r="B984" s="1">
        <f>DATE(2012,2,22) + TIME(20,50,30)</f>
        <v>40961.868402777778</v>
      </c>
      <c r="C984">
        <v>0</v>
      </c>
      <c r="D984">
        <v>2400</v>
      </c>
      <c r="E984">
        <v>2400</v>
      </c>
      <c r="F984">
        <v>0</v>
      </c>
      <c r="G984">
        <v>1293.2445068</v>
      </c>
      <c r="H984">
        <v>1279.0595702999999</v>
      </c>
      <c r="I984">
        <v>1395.1795654</v>
      </c>
      <c r="J984">
        <v>1375.4652100000001</v>
      </c>
      <c r="K984">
        <v>80</v>
      </c>
      <c r="L984">
        <v>66.570800781000003</v>
      </c>
      <c r="M984">
        <v>50</v>
      </c>
      <c r="N984">
        <v>49.964595795000001</v>
      </c>
    </row>
    <row r="985" spans="1:14" x14ac:dyDescent="0.25">
      <c r="A985">
        <v>665.81816800000001</v>
      </c>
      <c r="B985" s="1">
        <f>DATE(2012,2,25) + TIME(19,38,9)</f>
        <v>40964.818159722221</v>
      </c>
      <c r="C985">
        <v>0</v>
      </c>
      <c r="D985">
        <v>2400</v>
      </c>
      <c r="E985">
        <v>2400</v>
      </c>
      <c r="F985">
        <v>0</v>
      </c>
      <c r="G985">
        <v>1292.8864745999999</v>
      </c>
      <c r="H985">
        <v>1278.5668945</v>
      </c>
      <c r="I985">
        <v>1395.1298827999999</v>
      </c>
      <c r="J985">
        <v>1375.4094238</v>
      </c>
      <c r="K985">
        <v>80</v>
      </c>
      <c r="L985">
        <v>66.168716431000007</v>
      </c>
      <c r="M985">
        <v>50</v>
      </c>
      <c r="N985">
        <v>49.964721679999997</v>
      </c>
    </row>
    <row r="986" spans="1:14" x14ac:dyDescent="0.25">
      <c r="A986">
        <v>668.76792699999999</v>
      </c>
      <c r="B986" s="1">
        <f>DATE(2012,2,28) + TIME(18,25,48)</f>
        <v>40967.767916666664</v>
      </c>
      <c r="C986">
        <v>0</v>
      </c>
      <c r="D986">
        <v>2400</v>
      </c>
      <c r="E986">
        <v>2400</v>
      </c>
      <c r="F986">
        <v>0</v>
      </c>
      <c r="G986">
        <v>1292.5059814000001</v>
      </c>
      <c r="H986">
        <v>1278.0428466999999</v>
      </c>
      <c r="I986">
        <v>1395.0783690999999</v>
      </c>
      <c r="J986">
        <v>1375.3516846</v>
      </c>
      <c r="K986">
        <v>80</v>
      </c>
      <c r="L986">
        <v>65.741531371999997</v>
      </c>
      <c r="M986">
        <v>50</v>
      </c>
      <c r="N986">
        <v>49.96484375</v>
      </c>
    </row>
    <row r="987" spans="1:14" x14ac:dyDescent="0.25">
      <c r="A987">
        <v>670</v>
      </c>
      <c r="B987" s="1">
        <f>DATE(2012,3,1) + TIME(0,0,0)</f>
        <v>40969</v>
      </c>
      <c r="C987">
        <v>0</v>
      </c>
      <c r="D987">
        <v>2400</v>
      </c>
      <c r="E987">
        <v>2400</v>
      </c>
      <c r="F987">
        <v>0</v>
      </c>
      <c r="G987">
        <v>1292.1257324000001</v>
      </c>
      <c r="H987">
        <v>1277.5389404</v>
      </c>
      <c r="I987">
        <v>1395.0268555</v>
      </c>
      <c r="J987">
        <v>1375.2943115</v>
      </c>
      <c r="K987">
        <v>80</v>
      </c>
      <c r="L987">
        <v>65.404914856000005</v>
      </c>
      <c r="M987">
        <v>50</v>
      </c>
      <c r="N987">
        <v>49.964897155999999</v>
      </c>
    </row>
    <row r="988" spans="1:14" x14ac:dyDescent="0.25">
      <c r="A988">
        <v>672.94975899999997</v>
      </c>
      <c r="B988" s="1">
        <f>DATE(2012,3,3) + TIME(22,47,39)</f>
        <v>40971.949756944443</v>
      </c>
      <c r="C988">
        <v>0</v>
      </c>
      <c r="D988">
        <v>2400</v>
      </c>
      <c r="E988">
        <v>2400</v>
      </c>
      <c r="F988">
        <v>0</v>
      </c>
      <c r="G988">
        <v>1291.9305420000001</v>
      </c>
      <c r="H988">
        <v>1277.2368164</v>
      </c>
      <c r="I988">
        <v>1395.0068358999999</v>
      </c>
      <c r="J988">
        <v>1375.2698975000001</v>
      </c>
      <c r="K988">
        <v>80</v>
      </c>
      <c r="L988">
        <v>65.073692321999999</v>
      </c>
      <c r="M988">
        <v>50</v>
      </c>
      <c r="N988">
        <v>49.965019226000003</v>
      </c>
    </row>
    <row r="989" spans="1:14" x14ac:dyDescent="0.25">
      <c r="A989">
        <v>675.89951799999994</v>
      </c>
      <c r="B989" s="1">
        <f>DATE(2012,3,6) + TIME(21,35,18)</f>
        <v>40974.899513888886</v>
      </c>
      <c r="C989">
        <v>0</v>
      </c>
      <c r="D989">
        <v>2400</v>
      </c>
      <c r="E989">
        <v>2400</v>
      </c>
      <c r="F989">
        <v>0</v>
      </c>
      <c r="G989">
        <v>1291.5535889</v>
      </c>
      <c r="H989">
        <v>1276.7170410000001</v>
      </c>
      <c r="I989">
        <v>1394.9573975000001</v>
      </c>
      <c r="J989">
        <v>1375.2150879000001</v>
      </c>
      <c r="K989">
        <v>80</v>
      </c>
      <c r="L989">
        <v>64.638717650999993</v>
      </c>
      <c r="M989">
        <v>50</v>
      </c>
      <c r="N989">
        <v>49.965137482000003</v>
      </c>
    </row>
    <row r="990" spans="1:14" x14ac:dyDescent="0.25">
      <c r="A990">
        <v>678.84927700000003</v>
      </c>
      <c r="B990" s="1">
        <f>DATE(2012,3,9) + TIME(20,22,57)</f>
        <v>40977.849270833336</v>
      </c>
      <c r="C990">
        <v>0</v>
      </c>
      <c r="D990">
        <v>2400</v>
      </c>
      <c r="E990">
        <v>2400</v>
      </c>
      <c r="F990">
        <v>0</v>
      </c>
      <c r="G990">
        <v>1291.1575928</v>
      </c>
      <c r="H990">
        <v>1276.1633300999999</v>
      </c>
      <c r="I990">
        <v>1394.9085693</v>
      </c>
      <c r="J990">
        <v>1375.1602783000001</v>
      </c>
      <c r="K990">
        <v>80</v>
      </c>
      <c r="L990">
        <v>64.170433044000006</v>
      </c>
      <c r="M990">
        <v>50</v>
      </c>
      <c r="N990">
        <v>49.965255737</v>
      </c>
    </row>
    <row r="991" spans="1:14" x14ac:dyDescent="0.25">
      <c r="A991">
        <v>681.799036</v>
      </c>
      <c r="B991" s="1">
        <f>DATE(2012,3,12) + TIME(19,10,36)</f>
        <v>40980.799027777779</v>
      </c>
      <c r="C991">
        <v>0</v>
      </c>
      <c r="D991">
        <v>2400</v>
      </c>
      <c r="E991">
        <v>2400</v>
      </c>
      <c r="F991">
        <v>0</v>
      </c>
      <c r="G991">
        <v>1290.7546387</v>
      </c>
      <c r="H991">
        <v>1275.5961914</v>
      </c>
      <c r="I991">
        <v>1394.8604736</v>
      </c>
      <c r="J991">
        <v>1375.1062012</v>
      </c>
      <c r="K991">
        <v>80</v>
      </c>
      <c r="L991">
        <v>63.685104369999998</v>
      </c>
      <c r="M991">
        <v>50</v>
      </c>
      <c r="N991">
        <v>49.965373993</v>
      </c>
    </row>
    <row r="992" spans="1:14" x14ac:dyDescent="0.25">
      <c r="A992">
        <v>684.74879499999997</v>
      </c>
      <c r="B992" s="1">
        <f>DATE(2012,3,15) + TIME(17,58,15)</f>
        <v>40983.748784722222</v>
      </c>
      <c r="C992">
        <v>0</v>
      </c>
      <c r="D992">
        <v>2400</v>
      </c>
      <c r="E992">
        <v>2400</v>
      </c>
      <c r="F992">
        <v>0</v>
      </c>
      <c r="G992">
        <v>1290.3474120999999</v>
      </c>
      <c r="H992">
        <v>1275.0202637</v>
      </c>
      <c r="I992">
        <v>1394.8129882999999</v>
      </c>
      <c r="J992">
        <v>1375.0528564000001</v>
      </c>
      <c r="K992">
        <v>80</v>
      </c>
      <c r="L992">
        <v>63.186542510999999</v>
      </c>
      <c r="M992">
        <v>50</v>
      </c>
      <c r="N992">
        <v>49.965488434000001</v>
      </c>
    </row>
    <row r="993" spans="1:14" x14ac:dyDescent="0.25">
      <c r="A993">
        <v>687.69855500000006</v>
      </c>
      <c r="B993" s="1">
        <f>DATE(2012,3,18) + TIME(16,45,55)</f>
        <v>40986.698553240742</v>
      </c>
      <c r="C993">
        <v>0</v>
      </c>
      <c r="D993">
        <v>2400</v>
      </c>
      <c r="E993">
        <v>2400</v>
      </c>
      <c r="F993">
        <v>0</v>
      </c>
      <c r="G993">
        <v>1289.9371338000001</v>
      </c>
      <c r="H993">
        <v>1274.4371338000001</v>
      </c>
      <c r="I993">
        <v>1394.7659911999999</v>
      </c>
      <c r="J993">
        <v>1375.0001221</v>
      </c>
      <c r="K993">
        <v>80</v>
      </c>
      <c r="L993">
        <v>62.675872802999997</v>
      </c>
      <c r="M993">
        <v>50</v>
      </c>
      <c r="N993">
        <v>49.965606688999998</v>
      </c>
    </row>
    <row r="994" spans="1:14" x14ac:dyDescent="0.25">
      <c r="A994">
        <v>690.64831400000003</v>
      </c>
      <c r="B994" s="1">
        <f>DATE(2012,3,21) + TIME(15,33,34)</f>
        <v>40989.648310185185</v>
      </c>
      <c r="C994">
        <v>0</v>
      </c>
      <c r="D994">
        <v>2400</v>
      </c>
      <c r="E994">
        <v>2400</v>
      </c>
      <c r="F994">
        <v>0</v>
      </c>
      <c r="G994">
        <v>1289.5240478999999</v>
      </c>
      <c r="H994">
        <v>1273.8472899999999</v>
      </c>
      <c r="I994">
        <v>1394.7196045000001</v>
      </c>
      <c r="J994">
        <v>1374.9479980000001</v>
      </c>
      <c r="K994">
        <v>80</v>
      </c>
      <c r="L994">
        <v>62.153701781999999</v>
      </c>
      <c r="M994">
        <v>50</v>
      </c>
      <c r="N994">
        <v>49.965721129999999</v>
      </c>
    </row>
    <row r="995" spans="1:14" x14ac:dyDescent="0.25">
      <c r="A995">
        <v>693.598073</v>
      </c>
      <c r="B995" s="1">
        <f>DATE(2012,3,24) + TIME(14,21,13)</f>
        <v>40992.598067129627</v>
      </c>
      <c r="C995">
        <v>0</v>
      </c>
      <c r="D995">
        <v>2400</v>
      </c>
      <c r="E995">
        <v>2400</v>
      </c>
      <c r="F995">
        <v>0</v>
      </c>
      <c r="G995">
        <v>1289.1088867000001</v>
      </c>
      <c r="H995">
        <v>1273.2517089999999</v>
      </c>
      <c r="I995">
        <v>1394.6735839999999</v>
      </c>
      <c r="J995">
        <v>1374.8966064000001</v>
      </c>
      <c r="K995">
        <v>80</v>
      </c>
      <c r="L995">
        <v>61.620578766000001</v>
      </c>
      <c r="M995">
        <v>50</v>
      </c>
      <c r="N995">
        <v>49.965831756999997</v>
      </c>
    </row>
    <row r="996" spans="1:14" x14ac:dyDescent="0.25">
      <c r="A996">
        <v>696.54783199999997</v>
      </c>
      <c r="B996" s="1">
        <f>DATE(2012,3,27) + TIME(13,8,52)</f>
        <v>40995.547824074078</v>
      </c>
      <c r="C996">
        <v>0</v>
      </c>
      <c r="D996">
        <v>2400</v>
      </c>
      <c r="E996">
        <v>2400</v>
      </c>
      <c r="F996">
        <v>0</v>
      </c>
      <c r="G996">
        <v>1288.6920166</v>
      </c>
      <c r="H996">
        <v>1272.6508789</v>
      </c>
      <c r="I996">
        <v>1394.6280518000001</v>
      </c>
      <c r="J996">
        <v>1374.8458252</v>
      </c>
      <c r="K996">
        <v>80</v>
      </c>
      <c r="L996">
        <v>61.077152251999998</v>
      </c>
      <c r="M996">
        <v>50</v>
      </c>
      <c r="N996">
        <v>49.965942382999998</v>
      </c>
    </row>
    <row r="997" spans="1:14" x14ac:dyDescent="0.25">
      <c r="A997">
        <v>699.49759100000006</v>
      </c>
      <c r="B997" s="1">
        <f>DATE(2012,3,30) + TIME(11,56,31)</f>
        <v>40998.497581018521</v>
      </c>
      <c r="C997">
        <v>0</v>
      </c>
      <c r="D997">
        <v>2400</v>
      </c>
      <c r="E997">
        <v>2400</v>
      </c>
      <c r="F997">
        <v>0</v>
      </c>
      <c r="G997">
        <v>1288.2740478999999</v>
      </c>
      <c r="H997">
        <v>1272.0456543</v>
      </c>
      <c r="I997">
        <v>1394.5827637</v>
      </c>
      <c r="J997">
        <v>1374.7955322</v>
      </c>
      <c r="K997">
        <v>80</v>
      </c>
      <c r="L997">
        <v>60.524238586000003</v>
      </c>
      <c r="M997">
        <v>50</v>
      </c>
      <c r="N997">
        <v>49.966053008999999</v>
      </c>
    </row>
    <row r="998" spans="1:14" x14ac:dyDescent="0.25">
      <c r="A998">
        <v>701</v>
      </c>
      <c r="B998" s="1">
        <f>DATE(2012,4,1) + TIME(0,0,0)</f>
        <v>41000</v>
      </c>
      <c r="C998">
        <v>0</v>
      </c>
      <c r="D998">
        <v>2400</v>
      </c>
      <c r="E998">
        <v>2400</v>
      </c>
      <c r="F998">
        <v>0</v>
      </c>
      <c r="G998">
        <v>1287.8604736</v>
      </c>
      <c r="H998">
        <v>1271.4685059000001</v>
      </c>
      <c r="I998">
        <v>1394.5373535000001</v>
      </c>
      <c r="J998">
        <v>1374.7456055</v>
      </c>
      <c r="K998">
        <v>80</v>
      </c>
      <c r="L998">
        <v>60.060832976999997</v>
      </c>
      <c r="M998">
        <v>50</v>
      </c>
      <c r="N998">
        <v>49.966110229000002</v>
      </c>
    </row>
    <row r="999" spans="1:14" x14ac:dyDescent="0.25">
      <c r="A999">
        <v>703.94975899999997</v>
      </c>
      <c r="B999" s="1">
        <f>DATE(2012,4,3) + TIME(22,47,39)</f>
        <v>41002.949756944443</v>
      </c>
      <c r="C999">
        <v>0</v>
      </c>
      <c r="D999">
        <v>2400</v>
      </c>
      <c r="E999">
        <v>2400</v>
      </c>
      <c r="F999">
        <v>0</v>
      </c>
      <c r="G999">
        <v>1287.6213379000001</v>
      </c>
      <c r="H999">
        <v>1271.0855713000001</v>
      </c>
      <c r="I999">
        <v>1394.5151367000001</v>
      </c>
      <c r="J999">
        <v>1374.7196045000001</v>
      </c>
      <c r="K999">
        <v>80</v>
      </c>
      <c r="L999">
        <v>59.632659912000001</v>
      </c>
      <c r="M999">
        <v>50</v>
      </c>
      <c r="N999">
        <v>49.966220856</v>
      </c>
    </row>
    <row r="1000" spans="1:14" x14ac:dyDescent="0.25">
      <c r="A1000">
        <v>706.89951799999994</v>
      </c>
      <c r="B1000" s="1">
        <f>DATE(2012,4,6) + TIME(21,35,18)</f>
        <v>41005.899513888886</v>
      </c>
      <c r="C1000">
        <v>0</v>
      </c>
      <c r="D1000">
        <v>2400</v>
      </c>
      <c r="E1000">
        <v>2400</v>
      </c>
      <c r="F1000">
        <v>0</v>
      </c>
      <c r="G1000">
        <v>1287.2191161999999</v>
      </c>
      <c r="H1000">
        <v>1270.503418</v>
      </c>
      <c r="I1000">
        <v>1394.4707031</v>
      </c>
      <c r="J1000">
        <v>1374.6713867000001</v>
      </c>
      <c r="K1000">
        <v>80</v>
      </c>
      <c r="L1000">
        <v>59.088676452999998</v>
      </c>
      <c r="M1000">
        <v>50</v>
      </c>
      <c r="N1000">
        <v>49.966327667000002</v>
      </c>
    </row>
    <row r="1001" spans="1:14" x14ac:dyDescent="0.25">
      <c r="A1001">
        <v>709.84927700000003</v>
      </c>
      <c r="B1001" s="1">
        <f>DATE(2012,4,9) + TIME(20,22,57)</f>
        <v>41008.849270833336</v>
      </c>
      <c r="C1001">
        <v>0</v>
      </c>
      <c r="D1001">
        <v>2400</v>
      </c>
      <c r="E1001">
        <v>2400</v>
      </c>
      <c r="F1001">
        <v>0</v>
      </c>
      <c r="G1001">
        <v>1286.8043213000001</v>
      </c>
      <c r="H1001">
        <v>1269.8944091999999</v>
      </c>
      <c r="I1001">
        <v>1394.4265137</v>
      </c>
      <c r="J1001">
        <v>1374.6230469</v>
      </c>
      <c r="K1001">
        <v>80</v>
      </c>
      <c r="L1001">
        <v>58.513874053999999</v>
      </c>
      <c r="M1001">
        <v>50</v>
      </c>
      <c r="N1001">
        <v>49.966434479</v>
      </c>
    </row>
    <row r="1002" spans="1:14" x14ac:dyDescent="0.25">
      <c r="A1002">
        <v>712.799036</v>
      </c>
      <c r="B1002" s="1">
        <f>DATE(2012,4,12) + TIME(19,10,36)</f>
        <v>41011.799027777779</v>
      </c>
      <c r="C1002">
        <v>0</v>
      </c>
      <c r="D1002">
        <v>2400</v>
      </c>
      <c r="E1002">
        <v>2400</v>
      </c>
      <c r="F1002">
        <v>0</v>
      </c>
      <c r="G1002">
        <v>1286.3876952999999</v>
      </c>
      <c r="H1002">
        <v>1269.2785644999999</v>
      </c>
      <c r="I1002">
        <v>1394.3824463000001</v>
      </c>
      <c r="J1002">
        <v>1374.5750731999999</v>
      </c>
      <c r="K1002">
        <v>80</v>
      </c>
      <c r="L1002">
        <v>57.927623748999999</v>
      </c>
      <c r="M1002">
        <v>50</v>
      </c>
      <c r="N1002">
        <v>49.966537475999999</v>
      </c>
    </row>
    <row r="1003" spans="1:14" x14ac:dyDescent="0.25">
      <c r="A1003">
        <v>715.74879499999997</v>
      </c>
      <c r="B1003" s="1">
        <f>DATE(2012,4,15) + TIME(17,58,15)</f>
        <v>41014.748784722222</v>
      </c>
      <c r="C1003">
        <v>0</v>
      </c>
      <c r="D1003">
        <v>2400</v>
      </c>
      <c r="E1003">
        <v>2400</v>
      </c>
      <c r="F1003">
        <v>0</v>
      </c>
      <c r="G1003">
        <v>1285.9718018000001</v>
      </c>
      <c r="H1003">
        <v>1268.6608887</v>
      </c>
      <c r="I1003">
        <v>1394.3387451000001</v>
      </c>
      <c r="J1003">
        <v>1374.5273437999999</v>
      </c>
      <c r="K1003">
        <v>80</v>
      </c>
      <c r="L1003">
        <v>57.334938049000002</v>
      </c>
      <c r="M1003">
        <v>50</v>
      </c>
      <c r="N1003">
        <v>49.966640472000002</v>
      </c>
    </row>
    <row r="1004" spans="1:14" x14ac:dyDescent="0.25">
      <c r="A1004">
        <v>718.69855500000006</v>
      </c>
      <c r="B1004" s="1">
        <f>DATE(2012,4,18) + TIME(16,45,55)</f>
        <v>41017.698553240742</v>
      </c>
      <c r="C1004">
        <v>0</v>
      </c>
      <c r="D1004">
        <v>2400</v>
      </c>
      <c r="E1004">
        <v>2400</v>
      </c>
      <c r="F1004">
        <v>0</v>
      </c>
      <c r="G1004">
        <v>1285.5577393000001</v>
      </c>
      <c r="H1004">
        <v>1268.0426024999999</v>
      </c>
      <c r="I1004">
        <v>1394.2950439000001</v>
      </c>
      <c r="J1004">
        <v>1374.4801024999999</v>
      </c>
      <c r="K1004">
        <v>80</v>
      </c>
      <c r="L1004">
        <v>56.737689971999998</v>
      </c>
      <c r="M1004">
        <v>50</v>
      </c>
      <c r="N1004">
        <v>49.966743469000001</v>
      </c>
    </row>
    <row r="1005" spans="1:14" x14ac:dyDescent="0.25">
      <c r="A1005">
        <v>721.64831400000003</v>
      </c>
      <c r="B1005" s="1">
        <f>DATE(2012,4,21) + TIME(15,33,34)</f>
        <v>41020.648310185185</v>
      </c>
      <c r="C1005">
        <v>0</v>
      </c>
      <c r="D1005">
        <v>2400</v>
      </c>
      <c r="E1005">
        <v>2400</v>
      </c>
      <c r="F1005">
        <v>0</v>
      </c>
      <c r="G1005">
        <v>1285.145874</v>
      </c>
      <c r="H1005">
        <v>1267.4249268000001</v>
      </c>
      <c r="I1005">
        <v>1394.2515868999999</v>
      </c>
      <c r="J1005">
        <v>1374.4333495999999</v>
      </c>
      <c r="K1005">
        <v>80</v>
      </c>
      <c r="L1005">
        <v>56.137077331999997</v>
      </c>
      <c r="M1005">
        <v>50</v>
      </c>
      <c r="N1005">
        <v>49.966846466</v>
      </c>
    </row>
    <row r="1006" spans="1:14" x14ac:dyDescent="0.25">
      <c r="A1006">
        <v>724.62117899999998</v>
      </c>
      <c r="B1006" s="1">
        <f>DATE(2012,4,24) + TIME(14,54,29)</f>
        <v>41023.621168981481</v>
      </c>
      <c r="C1006">
        <v>0</v>
      </c>
      <c r="D1006">
        <v>2400</v>
      </c>
      <c r="E1006">
        <v>2400</v>
      </c>
      <c r="F1006">
        <v>0</v>
      </c>
      <c r="G1006">
        <v>1284.7368164</v>
      </c>
      <c r="H1006">
        <v>1266.8081055</v>
      </c>
      <c r="I1006">
        <v>1394.2082519999999</v>
      </c>
      <c r="J1006">
        <v>1374.3868408000001</v>
      </c>
      <c r="K1006">
        <v>80</v>
      </c>
      <c r="L1006">
        <v>55.533153534</v>
      </c>
      <c r="M1006">
        <v>50</v>
      </c>
      <c r="N1006">
        <v>49.966945647999999</v>
      </c>
    </row>
    <row r="1007" spans="1:14" x14ac:dyDescent="0.25">
      <c r="A1007">
        <v>727.63951199999997</v>
      </c>
      <c r="B1007" s="1">
        <f>DATE(2012,4,27) + TIME(15,20,53)</f>
        <v>41026.639502314814</v>
      </c>
      <c r="C1007">
        <v>0</v>
      </c>
      <c r="D1007">
        <v>2400</v>
      </c>
      <c r="E1007">
        <v>2400</v>
      </c>
      <c r="F1007">
        <v>0</v>
      </c>
      <c r="G1007">
        <v>1284.3278809000001</v>
      </c>
      <c r="H1007">
        <v>1266.1885986</v>
      </c>
      <c r="I1007">
        <v>1394.1646728999999</v>
      </c>
      <c r="J1007">
        <v>1374.340332</v>
      </c>
      <c r="K1007">
        <v>80</v>
      </c>
      <c r="L1007">
        <v>54.923107147000003</v>
      </c>
      <c r="M1007">
        <v>50</v>
      </c>
      <c r="N1007">
        <v>49.967048644999998</v>
      </c>
    </row>
    <row r="1008" spans="1:14" x14ac:dyDescent="0.25">
      <c r="A1008">
        <v>730.69838800000002</v>
      </c>
      <c r="B1008" s="1">
        <f>DATE(2012,4,30) + TIME(16,45,40)</f>
        <v>41029.698379629626</v>
      </c>
      <c r="C1008">
        <v>0</v>
      </c>
      <c r="D1008">
        <v>2400</v>
      </c>
      <c r="E1008">
        <v>2400</v>
      </c>
      <c r="F1008">
        <v>0</v>
      </c>
      <c r="G1008">
        <v>1283.9168701000001</v>
      </c>
      <c r="H1008">
        <v>1265.5632324000001</v>
      </c>
      <c r="I1008">
        <v>1394.1204834</v>
      </c>
      <c r="J1008">
        <v>1374.293457</v>
      </c>
      <c r="K1008">
        <v>80</v>
      </c>
      <c r="L1008">
        <v>54.304740905999999</v>
      </c>
      <c r="M1008">
        <v>50</v>
      </c>
      <c r="N1008">
        <v>49.967147826999998</v>
      </c>
    </row>
    <row r="1009" spans="1:14" x14ac:dyDescent="0.25">
      <c r="A1009">
        <v>731</v>
      </c>
      <c r="B1009" s="1">
        <f>DATE(2012,5,1) + TIME(0,0,0)</f>
        <v>41030</v>
      </c>
      <c r="C1009">
        <v>0</v>
      </c>
      <c r="D1009">
        <v>2400</v>
      </c>
      <c r="E1009">
        <v>2400</v>
      </c>
      <c r="F1009">
        <v>0</v>
      </c>
      <c r="G1009">
        <v>1283.5172118999999</v>
      </c>
      <c r="H1009">
        <v>1265.0722656</v>
      </c>
      <c r="I1009">
        <v>1394.0761719</v>
      </c>
      <c r="J1009">
        <v>1374.2474365</v>
      </c>
      <c r="K1009">
        <v>80</v>
      </c>
      <c r="L1009">
        <v>54.090614318999997</v>
      </c>
      <c r="M1009">
        <v>50</v>
      </c>
      <c r="N1009">
        <v>49.967155456999997</v>
      </c>
    </row>
    <row r="1010" spans="1:14" x14ac:dyDescent="0.25">
      <c r="A1010">
        <v>731.000001</v>
      </c>
      <c r="B1010" s="1">
        <f>DATE(2012,5,1) + TIME(0,0,0)</f>
        <v>41030</v>
      </c>
      <c r="C1010">
        <v>2400</v>
      </c>
      <c r="D1010">
        <v>0</v>
      </c>
      <c r="E1010">
        <v>0</v>
      </c>
      <c r="F1010">
        <v>2400</v>
      </c>
      <c r="G1010">
        <v>1304.4919434000001</v>
      </c>
      <c r="H1010">
        <v>1284.4566649999999</v>
      </c>
      <c r="I1010">
        <v>1373.3731689000001</v>
      </c>
      <c r="J1010">
        <v>1354.8599853999999</v>
      </c>
      <c r="K1010">
        <v>80</v>
      </c>
      <c r="L1010">
        <v>54.090766907000003</v>
      </c>
      <c r="M1010">
        <v>50</v>
      </c>
      <c r="N1010">
        <v>49.967044829999999</v>
      </c>
    </row>
    <row r="1011" spans="1:14" x14ac:dyDescent="0.25">
      <c r="A1011">
        <v>731.00000399999999</v>
      </c>
      <c r="B1011" s="1">
        <f>DATE(2012,5,1) + TIME(0,0,0)</f>
        <v>41030</v>
      </c>
      <c r="C1011">
        <v>2400</v>
      </c>
      <c r="D1011">
        <v>0</v>
      </c>
      <c r="E1011">
        <v>0</v>
      </c>
      <c r="F1011">
        <v>2400</v>
      </c>
      <c r="G1011">
        <v>1306.8553466999999</v>
      </c>
      <c r="H1011">
        <v>1286.9390868999999</v>
      </c>
      <c r="I1011">
        <v>1371.0407714999999</v>
      </c>
      <c r="J1011">
        <v>1352.5268555</v>
      </c>
      <c r="K1011">
        <v>80</v>
      </c>
      <c r="L1011">
        <v>54.091186522999998</v>
      </c>
      <c r="M1011">
        <v>50</v>
      </c>
      <c r="N1011">
        <v>49.966751099</v>
      </c>
    </row>
    <row r="1012" spans="1:14" x14ac:dyDescent="0.25">
      <c r="A1012">
        <v>731.00001299999997</v>
      </c>
      <c r="B1012" s="1">
        <f>DATE(2012,5,1) + TIME(0,0,1)</f>
        <v>41030.000011574077</v>
      </c>
      <c r="C1012">
        <v>2400</v>
      </c>
      <c r="D1012">
        <v>0</v>
      </c>
      <c r="E1012">
        <v>0</v>
      </c>
      <c r="F1012">
        <v>2400</v>
      </c>
      <c r="G1012">
        <v>1312.1551514</v>
      </c>
      <c r="H1012">
        <v>1292.4094238</v>
      </c>
      <c r="I1012">
        <v>1365.8087158000001</v>
      </c>
      <c r="J1012">
        <v>1347.2935791</v>
      </c>
      <c r="K1012">
        <v>80</v>
      </c>
      <c r="L1012">
        <v>54.092197417999998</v>
      </c>
      <c r="M1012">
        <v>50</v>
      </c>
      <c r="N1012">
        <v>49.966091155999997</v>
      </c>
    </row>
    <row r="1013" spans="1:14" x14ac:dyDescent="0.25">
      <c r="A1013">
        <v>731.00004000000001</v>
      </c>
      <c r="B1013" s="1">
        <f>DATE(2012,5,1) + TIME(0,0,3)</f>
        <v>41030.000034722223</v>
      </c>
      <c r="C1013">
        <v>2400</v>
      </c>
      <c r="D1013">
        <v>0</v>
      </c>
      <c r="E1013">
        <v>0</v>
      </c>
      <c r="F1013">
        <v>2400</v>
      </c>
      <c r="G1013">
        <v>1321.0147704999999</v>
      </c>
      <c r="H1013">
        <v>1301.3530272999999</v>
      </c>
      <c r="I1013">
        <v>1357.0644531</v>
      </c>
      <c r="J1013">
        <v>1338.5501709</v>
      </c>
      <c r="K1013">
        <v>80</v>
      </c>
      <c r="L1013">
        <v>54.094264983999999</v>
      </c>
      <c r="M1013">
        <v>50</v>
      </c>
      <c r="N1013">
        <v>49.964988708</v>
      </c>
    </row>
    <row r="1014" spans="1:14" x14ac:dyDescent="0.25">
      <c r="A1014">
        <v>731.00012100000004</v>
      </c>
      <c r="B1014" s="1">
        <f>DATE(2012,5,1) + TIME(0,0,10)</f>
        <v>41030.000115740739</v>
      </c>
      <c r="C1014">
        <v>2400</v>
      </c>
      <c r="D1014">
        <v>0</v>
      </c>
      <c r="E1014">
        <v>0</v>
      </c>
      <c r="F1014">
        <v>2400</v>
      </c>
      <c r="G1014">
        <v>1331.8732910000001</v>
      </c>
      <c r="H1014">
        <v>1312.1652832</v>
      </c>
      <c r="I1014">
        <v>1346.3883057</v>
      </c>
      <c r="J1014">
        <v>1327.8803711</v>
      </c>
      <c r="K1014">
        <v>80</v>
      </c>
      <c r="L1014">
        <v>54.098419188999998</v>
      </c>
      <c r="M1014">
        <v>50</v>
      </c>
      <c r="N1014">
        <v>49.963634491000001</v>
      </c>
    </row>
    <row r="1015" spans="1:14" x14ac:dyDescent="0.25">
      <c r="A1015">
        <v>731.00036399999999</v>
      </c>
      <c r="B1015" s="1">
        <f>DATE(2012,5,1) + TIME(0,0,31)</f>
        <v>41030.000358796293</v>
      </c>
      <c r="C1015">
        <v>2400</v>
      </c>
      <c r="D1015">
        <v>0</v>
      </c>
      <c r="E1015">
        <v>0</v>
      </c>
      <c r="F1015">
        <v>2400</v>
      </c>
      <c r="G1015">
        <v>1343.2060547000001</v>
      </c>
      <c r="H1015">
        <v>1323.4307861</v>
      </c>
      <c r="I1015">
        <v>1335.3946533000001</v>
      </c>
      <c r="J1015">
        <v>1316.8988036999999</v>
      </c>
      <c r="K1015">
        <v>80</v>
      </c>
      <c r="L1015">
        <v>54.108200072999999</v>
      </c>
      <c r="M1015">
        <v>50</v>
      </c>
      <c r="N1015">
        <v>49.962215424</v>
      </c>
    </row>
    <row r="1016" spans="1:14" x14ac:dyDescent="0.25">
      <c r="A1016">
        <v>731.00109299999997</v>
      </c>
      <c r="B1016" s="1">
        <f>DATE(2012,5,1) + TIME(0,1,34)</f>
        <v>41030.001087962963</v>
      </c>
      <c r="C1016">
        <v>2400</v>
      </c>
      <c r="D1016">
        <v>0</v>
      </c>
      <c r="E1016">
        <v>0</v>
      </c>
      <c r="F1016">
        <v>2400</v>
      </c>
      <c r="G1016">
        <v>1354.9248047000001</v>
      </c>
      <c r="H1016">
        <v>1335.0999756000001</v>
      </c>
      <c r="I1016">
        <v>1324.3923339999999</v>
      </c>
      <c r="J1016">
        <v>1305.9129639</v>
      </c>
      <c r="K1016">
        <v>80</v>
      </c>
      <c r="L1016">
        <v>54.134742737000003</v>
      </c>
      <c r="M1016">
        <v>50</v>
      </c>
      <c r="N1016">
        <v>49.960723877</v>
      </c>
    </row>
    <row r="1017" spans="1:14" x14ac:dyDescent="0.25">
      <c r="A1017">
        <v>731.00328000000002</v>
      </c>
      <c r="B1017" s="1">
        <f>DATE(2012,5,1) + TIME(0,4,43)</f>
        <v>41030.003275462965</v>
      </c>
      <c r="C1017">
        <v>2400</v>
      </c>
      <c r="D1017">
        <v>0</v>
      </c>
      <c r="E1017">
        <v>0</v>
      </c>
      <c r="F1017">
        <v>2400</v>
      </c>
      <c r="G1017">
        <v>1367.4639893000001</v>
      </c>
      <c r="H1017">
        <v>1347.6334228999999</v>
      </c>
      <c r="I1017">
        <v>1313.1904297000001</v>
      </c>
      <c r="J1017">
        <v>1294.7103271000001</v>
      </c>
      <c r="K1017">
        <v>80</v>
      </c>
      <c r="L1017">
        <v>54.211383820000002</v>
      </c>
      <c r="M1017">
        <v>50</v>
      </c>
      <c r="N1017">
        <v>49.958992004000002</v>
      </c>
    </row>
    <row r="1018" spans="1:14" x14ac:dyDescent="0.25">
      <c r="A1018">
        <v>731.00984100000005</v>
      </c>
      <c r="B1018" s="1">
        <f>DATE(2012,5,1) + TIME(0,14,10)</f>
        <v>41030.009837962964</v>
      </c>
      <c r="C1018">
        <v>2400</v>
      </c>
      <c r="D1018">
        <v>0</v>
      </c>
      <c r="E1018">
        <v>0</v>
      </c>
      <c r="F1018">
        <v>2400</v>
      </c>
      <c r="G1018">
        <v>1380.3012695</v>
      </c>
      <c r="H1018">
        <v>1360.5898437999999</v>
      </c>
      <c r="I1018">
        <v>1301.9376221</v>
      </c>
      <c r="J1018">
        <v>1283.3901367000001</v>
      </c>
      <c r="K1018">
        <v>80</v>
      </c>
      <c r="L1018">
        <v>54.435630797999998</v>
      </c>
      <c r="M1018">
        <v>50</v>
      </c>
      <c r="N1018">
        <v>49.956604003999999</v>
      </c>
    </row>
    <row r="1019" spans="1:14" x14ac:dyDescent="0.25">
      <c r="A1019">
        <v>731.02952400000004</v>
      </c>
      <c r="B1019" s="1">
        <f>DATE(2012,5,1) + TIME(0,42,30)</f>
        <v>41030.029513888891</v>
      </c>
      <c r="C1019">
        <v>2400</v>
      </c>
      <c r="D1019">
        <v>0</v>
      </c>
      <c r="E1019">
        <v>0</v>
      </c>
      <c r="F1019">
        <v>2400</v>
      </c>
      <c r="G1019">
        <v>1390.6910399999999</v>
      </c>
      <c r="H1019">
        <v>1371.3272704999999</v>
      </c>
      <c r="I1019">
        <v>1292.8366699000001</v>
      </c>
      <c r="J1019">
        <v>1274.1334228999999</v>
      </c>
      <c r="K1019">
        <v>80</v>
      </c>
      <c r="L1019">
        <v>55.082962035999998</v>
      </c>
      <c r="M1019">
        <v>50</v>
      </c>
      <c r="N1019">
        <v>49.952575684000003</v>
      </c>
    </row>
    <row r="1020" spans="1:14" x14ac:dyDescent="0.25">
      <c r="A1020">
        <v>731.05496500000004</v>
      </c>
      <c r="B1020" s="1">
        <f>DATE(2012,5,1) + TIME(1,19,8)</f>
        <v>41030.0549537037</v>
      </c>
      <c r="C1020">
        <v>2400</v>
      </c>
      <c r="D1020">
        <v>0</v>
      </c>
      <c r="E1020">
        <v>0</v>
      </c>
      <c r="F1020">
        <v>2400</v>
      </c>
      <c r="G1020">
        <v>1394.8126221</v>
      </c>
      <c r="H1020">
        <v>1375.7758789</v>
      </c>
      <c r="I1020">
        <v>1289.4299315999999</v>
      </c>
      <c r="J1020">
        <v>1270.6168213000001</v>
      </c>
      <c r="K1020">
        <v>80</v>
      </c>
      <c r="L1020">
        <v>55.888099670000003</v>
      </c>
      <c r="M1020">
        <v>50</v>
      </c>
      <c r="N1020">
        <v>49.948432922000002</v>
      </c>
    </row>
    <row r="1021" spans="1:14" x14ac:dyDescent="0.25">
      <c r="A1021">
        <v>731.08075099999996</v>
      </c>
      <c r="B1021" s="1">
        <f>DATE(2012,5,1) + TIME(1,56,16)</f>
        <v>41030.080740740741</v>
      </c>
      <c r="C1021">
        <v>2400</v>
      </c>
      <c r="D1021">
        <v>0</v>
      </c>
      <c r="E1021">
        <v>0</v>
      </c>
      <c r="F1021">
        <v>2400</v>
      </c>
      <c r="G1021">
        <v>1396.2485352000001</v>
      </c>
      <c r="H1021">
        <v>1377.4682617000001</v>
      </c>
      <c r="I1021">
        <v>1288.3820800999999</v>
      </c>
      <c r="J1021">
        <v>1269.5113524999999</v>
      </c>
      <c r="K1021">
        <v>80</v>
      </c>
      <c r="L1021">
        <v>56.676414489999999</v>
      </c>
      <c r="M1021">
        <v>50</v>
      </c>
      <c r="N1021">
        <v>49.944557189999998</v>
      </c>
    </row>
    <row r="1022" spans="1:14" x14ac:dyDescent="0.25">
      <c r="A1022">
        <v>731.10699699999998</v>
      </c>
      <c r="B1022" s="1">
        <f>DATE(2012,5,1) + TIME(2,34,4)</f>
        <v>41030.106990740744</v>
      </c>
      <c r="C1022">
        <v>2400</v>
      </c>
      <c r="D1022">
        <v>0</v>
      </c>
      <c r="E1022">
        <v>0</v>
      </c>
      <c r="F1022">
        <v>2400</v>
      </c>
      <c r="G1022">
        <v>1396.7109375</v>
      </c>
      <c r="H1022">
        <v>1378.1518555</v>
      </c>
      <c r="I1022">
        <v>1288.0910644999999</v>
      </c>
      <c r="J1022">
        <v>1269.1907959</v>
      </c>
      <c r="K1022">
        <v>80</v>
      </c>
      <c r="L1022">
        <v>57.452297211000001</v>
      </c>
      <c r="M1022">
        <v>50</v>
      </c>
      <c r="N1022">
        <v>49.940734863000003</v>
      </c>
    </row>
    <row r="1023" spans="1:14" x14ac:dyDescent="0.25">
      <c r="A1023">
        <v>731.13377500000001</v>
      </c>
      <c r="B1023" s="1">
        <f>DATE(2012,5,1) + TIME(3,12,38)</f>
        <v>41030.133773148147</v>
      </c>
      <c r="C1023">
        <v>2400</v>
      </c>
      <c r="D1023">
        <v>0</v>
      </c>
      <c r="E1023">
        <v>0</v>
      </c>
      <c r="F1023">
        <v>2400</v>
      </c>
      <c r="G1023">
        <v>1396.78125</v>
      </c>
      <c r="H1023">
        <v>1378.4230957</v>
      </c>
      <c r="I1023">
        <v>1288.0410156</v>
      </c>
      <c r="J1023">
        <v>1269.1256103999999</v>
      </c>
      <c r="K1023">
        <v>80</v>
      </c>
      <c r="L1023">
        <v>58.217838286999999</v>
      </c>
      <c r="M1023">
        <v>50</v>
      </c>
      <c r="N1023">
        <v>49.936897278000004</v>
      </c>
    </row>
    <row r="1024" spans="1:14" x14ac:dyDescent="0.25">
      <c r="A1024">
        <v>731.16114100000004</v>
      </c>
      <c r="B1024" s="1">
        <f>DATE(2012,5,1) + TIME(3,52,2)</f>
        <v>41030.161134259259</v>
      </c>
      <c r="C1024">
        <v>2400</v>
      </c>
      <c r="D1024">
        <v>0</v>
      </c>
      <c r="E1024">
        <v>0</v>
      </c>
      <c r="F1024">
        <v>2400</v>
      </c>
      <c r="G1024">
        <v>1396.6838379000001</v>
      </c>
      <c r="H1024">
        <v>1378.5141602000001</v>
      </c>
      <c r="I1024">
        <v>1288.0581055</v>
      </c>
      <c r="J1024">
        <v>1269.1347656</v>
      </c>
      <c r="K1024">
        <v>80</v>
      </c>
      <c r="L1024">
        <v>58.974113463999998</v>
      </c>
      <c r="M1024">
        <v>50</v>
      </c>
      <c r="N1024">
        <v>49.933021545000003</v>
      </c>
    </row>
    <row r="1025" spans="1:14" x14ac:dyDescent="0.25">
      <c r="A1025">
        <v>731.18914400000006</v>
      </c>
      <c r="B1025" s="1">
        <f>DATE(2012,5,1) + TIME(4,32,22)</f>
        <v>41030.189143518517</v>
      </c>
      <c r="C1025">
        <v>2400</v>
      </c>
      <c r="D1025">
        <v>0</v>
      </c>
      <c r="E1025">
        <v>0</v>
      </c>
      <c r="F1025">
        <v>2400</v>
      </c>
      <c r="G1025">
        <v>1396.5129394999999</v>
      </c>
      <c r="H1025">
        <v>1378.5224608999999</v>
      </c>
      <c r="I1025">
        <v>1288.0859375</v>
      </c>
      <c r="J1025">
        <v>1269.1582031</v>
      </c>
      <c r="K1025">
        <v>80</v>
      </c>
      <c r="L1025">
        <v>59.721683501999998</v>
      </c>
      <c r="M1025">
        <v>50</v>
      </c>
      <c r="N1025">
        <v>49.929096221999998</v>
      </c>
    </row>
    <row r="1026" spans="1:14" x14ac:dyDescent="0.25">
      <c r="A1026">
        <v>731.21782800000005</v>
      </c>
      <c r="B1026" s="1">
        <f>DATE(2012,5,1) + TIME(5,13,40)</f>
        <v>41030.217824074076</v>
      </c>
      <c r="C1026">
        <v>2400</v>
      </c>
      <c r="D1026">
        <v>0</v>
      </c>
      <c r="E1026">
        <v>0</v>
      </c>
      <c r="F1026">
        <v>2400</v>
      </c>
      <c r="G1026">
        <v>1396.3100586</v>
      </c>
      <c r="H1026">
        <v>1378.4916992000001</v>
      </c>
      <c r="I1026">
        <v>1288.1091309000001</v>
      </c>
      <c r="J1026">
        <v>1269.1785889</v>
      </c>
      <c r="K1026">
        <v>80</v>
      </c>
      <c r="L1026">
        <v>60.460407257</v>
      </c>
      <c r="M1026">
        <v>50</v>
      </c>
      <c r="N1026">
        <v>49.925106049</v>
      </c>
    </row>
    <row r="1027" spans="1:14" x14ac:dyDescent="0.25">
      <c r="A1027">
        <v>731.24723500000005</v>
      </c>
      <c r="B1027" s="1">
        <f>DATE(2012,5,1) + TIME(5,56,1)</f>
        <v>41030.247233796297</v>
      </c>
      <c r="C1027">
        <v>2400</v>
      </c>
      <c r="D1027">
        <v>0</v>
      </c>
      <c r="E1027">
        <v>0</v>
      </c>
      <c r="F1027">
        <v>2400</v>
      </c>
      <c r="G1027">
        <v>1396.0949707</v>
      </c>
      <c r="H1027">
        <v>1378.4425048999999</v>
      </c>
      <c r="I1027">
        <v>1288.1254882999999</v>
      </c>
      <c r="J1027">
        <v>1269.192749</v>
      </c>
      <c r="K1027">
        <v>80</v>
      </c>
      <c r="L1027">
        <v>61.190456390000001</v>
      </c>
      <c r="M1027">
        <v>50</v>
      </c>
      <c r="N1027">
        <v>49.921058655000003</v>
      </c>
    </row>
    <row r="1028" spans="1:14" x14ac:dyDescent="0.25">
      <c r="A1028">
        <v>731.27740800000004</v>
      </c>
      <c r="B1028" s="1">
        <f>DATE(2012,5,1) + TIME(6,39,28)</f>
        <v>41030.277407407404</v>
      </c>
      <c r="C1028">
        <v>2400</v>
      </c>
      <c r="D1028">
        <v>0</v>
      </c>
      <c r="E1028">
        <v>0</v>
      </c>
      <c r="F1028">
        <v>2400</v>
      </c>
      <c r="G1028">
        <v>1395.8767089999999</v>
      </c>
      <c r="H1028">
        <v>1378.3846435999999</v>
      </c>
      <c r="I1028">
        <v>1288.1361084</v>
      </c>
      <c r="J1028">
        <v>1269.2015381000001</v>
      </c>
      <c r="K1028">
        <v>80</v>
      </c>
      <c r="L1028">
        <v>61.911991119</v>
      </c>
      <c r="M1028">
        <v>50</v>
      </c>
      <c r="N1028">
        <v>49.916938782000003</v>
      </c>
    </row>
    <row r="1029" spans="1:14" x14ac:dyDescent="0.25">
      <c r="A1029">
        <v>731.30839500000002</v>
      </c>
      <c r="B1029" s="1">
        <f>DATE(2012,5,1) + TIME(7,24,5)</f>
        <v>41030.308391203704</v>
      </c>
      <c r="C1029">
        <v>2400</v>
      </c>
      <c r="D1029">
        <v>0</v>
      </c>
      <c r="E1029">
        <v>0</v>
      </c>
      <c r="F1029">
        <v>2400</v>
      </c>
      <c r="G1029">
        <v>1395.6601562000001</v>
      </c>
      <c r="H1029">
        <v>1378.3232422000001</v>
      </c>
      <c r="I1029">
        <v>1288.1430664</v>
      </c>
      <c r="J1029">
        <v>1269.2066649999999</v>
      </c>
      <c r="K1029">
        <v>80</v>
      </c>
      <c r="L1029">
        <v>62.624942779999998</v>
      </c>
      <c r="M1029">
        <v>50</v>
      </c>
      <c r="N1029">
        <v>49.912750244000001</v>
      </c>
    </row>
    <row r="1030" spans="1:14" x14ac:dyDescent="0.25">
      <c r="A1030">
        <v>731.34024599999998</v>
      </c>
      <c r="B1030" s="1">
        <f>DATE(2012,5,1) + TIME(8,9,57)</f>
        <v>41030.340243055558</v>
      </c>
      <c r="C1030">
        <v>2400</v>
      </c>
      <c r="D1030">
        <v>0</v>
      </c>
      <c r="E1030">
        <v>0</v>
      </c>
      <c r="F1030">
        <v>2400</v>
      </c>
      <c r="G1030">
        <v>1395.4476318</v>
      </c>
      <c r="H1030">
        <v>1378.2607422000001</v>
      </c>
      <c r="I1030">
        <v>1288.1474608999999</v>
      </c>
      <c r="J1030">
        <v>1269.2093506000001</v>
      </c>
      <c r="K1030">
        <v>80</v>
      </c>
      <c r="L1030">
        <v>63.329212189000003</v>
      </c>
      <c r="M1030">
        <v>50</v>
      </c>
      <c r="N1030">
        <v>49.908485413000001</v>
      </c>
    </row>
    <row r="1031" spans="1:14" x14ac:dyDescent="0.25">
      <c r="A1031">
        <v>731.37301500000001</v>
      </c>
      <c r="B1031" s="1">
        <f>DATE(2012,5,1) + TIME(8,57,8)</f>
        <v>41030.37300925926</v>
      </c>
      <c r="C1031">
        <v>2400</v>
      </c>
      <c r="D1031">
        <v>0</v>
      </c>
      <c r="E1031">
        <v>0</v>
      </c>
      <c r="F1031">
        <v>2400</v>
      </c>
      <c r="G1031">
        <v>1395.2402344</v>
      </c>
      <c r="H1031">
        <v>1378.1986084</v>
      </c>
      <c r="I1031">
        <v>1288.1505127</v>
      </c>
      <c r="J1031">
        <v>1269.2106934000001</v>
      </c>
      <c r="K1031">
        <v>80</v>
      </c>
      <c r="L1031">
        <v>64.024681091000005</v>
      </c>
      <c r="M1031">
        <v>50</v>
      </c>
      <c r="N1031">
        <v>49.904140472000002</v>
      </c>
    </row>
    <row r="1032" spans="1:14" x14ac:dyDescent="0.25">
      <c r="A1032">
        <v>731.40676299999996</v>
      </c>
      <c r="B1032" s="1">
        <f>DATE(2012,5,1) + TIME(9,45,44)</f>
        <v>41030.406759259262</v>
      </c>
      <c r="C1032">
        <v>2400</v>
      </c>
      <c r="D1032">
        <v>0</v>
      </c>
      <c r="E1032">
        <v>0</v>
      </c>
      <c r="F1032">
        <v>2400</v>
      </c>
      <c r="G1032">
        <v>1395.0383300999999</v>
      </c>
      <c r="H1032">
        <v>1378.1373291</v>
      </c>
      <c r="I1032">
        <v>1288.1525879000001</v>
      </c>
      <c r="J1032">
        <v>1269.2109375</v>
      </c>
      <c r="K1032">
        <v>80</v>
      </c>
      <c r="L1032">
        <v>64.711219787999994</v>
      </c>
      <c r="M1032">
        <v>50</v>
      </c>
      <c r="N1032">
        <v>49.899707794000001</v>
      </c>
    </row>
    <row r="1033" spans="1:14" x14ac:dyDescent="0.25">
      <c r="A1033">
        <v>731.44155799999999</v>
      </c>
      <c r="B1033" s="1">
        <f>DATE(2012,5,1) + TIME(10,35,50)</f>
        <v>41030.441550925927</v>
      </c>
      <c r="C1033">
        <v>2400</v>
      </c>
      <c r="D1033">
        <v>0</v>
      </c>
      <c r="E1033">
        <v>0</v>
      </c>
      <c r="F1033">
        <v>2400</v>
      </c>
      <c r="G1033">
        <v>1394.8420410000001</v>
      </c>
      <c r="H1033">
        <v>1378.0773925999999</v>
      </c>
      <c r="I1033">
        <v>1288.1542969</v>
      </c>
      <c r="J1033">
        <v>1269.2108154</v>
      </c>
      <c r="K1033">
        <v>80</v>
      </c>
      <c r="L1033">
        <v>65.388847350999995</v>
      </c>
      <c r="M1033">
        <v>50</v>
      </c>
      <c r="N1033">
        <v>49.895183563000003</v>
      </c>
    </row>
    <row r="1034" spans="1:14" x14ac:dyDescent="0.25">
      <c r="A1034">
        <v>731.47748000000001</v>
      </c>
      <c r="B1034" s="1">
        <f>DATE(2012,5,1) + TIME(11,27,34)</f>
        <v>41030.477476851855</v>
      </c>
      <c r="C1034">
        <v>2400</v>
      </c>
      <c r="D1034">
        <v>0</v>
      </c>
      <c r="E1034">
        <v>0</v>
      </c>
      <c r="F1034">
        <v>2400</v>
      </c>
      <c r="G1034">
        <v>1394.6513672000001</v>
      </c>
      <c r="H1034">
        <v>1378.0185547000001</v>
      </c>
      <c r="I1034">
        <v>1288.1556396000001</v>
      </c>
      <c r="J1034">
        <v>1269.2102050999999</v>
      </c>
      <c r="K1034">
        <v>80</v>
      </c>
      <c r="L1034">
        <v>66.057525635000005</v>
      </c>
      <c r="M1034">
        <v>50</v>
      </c>
      <c r="N1034">
        <v>49.890556334999999</v>
      </c>
    </row>
    <row r="1035" spans="1:14" x14ac:dyDescent="0.25">
      <c r="A1035">
        <v>731.51459799999998</v>
      </c>
      <c r="B1035" s="1">
        <f>DATE(2012,5,1) + TIME(12,21,1)</f>
        <v>41030.514594907407</v>
      </c>
      <c r="C1035">
        <v>2400</v>
      </c>
      <c r="D1035">
        <v>0</v>
      </c>
      <c r="E1035">
        <v>0</v>
      </c>
      <c r="F1035">
        <v>2400</v>
      </c>
      <c r="G1035">
        <v>1394.4661865</v>
      </c>
      <c r="H1035">
        <v>1377.9611815999999</v>
      </c>
      <c r="I1035">
        <v>1288.1568603999999</v>
      </c>
      <c r="J1035">
        <v>1269.2094727000001</v>
      </c>
      <c r="K1035">
        <v>80</v>
      </c>
      <c r="L1035">
        <v>66.716781616000006</v>
      </c>
      <c r="M1035">
        <v>50</v>
      </c>
      <c r="N1035">
        <v>49.885822296000001</v>
      </c>
    </row>
    <row r="1036" spans="1:14" x14ac:dyDescent="0.25">
      <c r="A1036">
        <v>731.552997</v>
      </c>
      <c r="B1036" s="1">
        <f>DATE(2012,5,1) + TIME(13,16,18)</f>
        <v>41030.552986111114</v>
      </c>
      <c r="C1036">
        <v>2400</v>
      </c>
      <c r="D1036">
        <v>0</v>
      </c>
      <c r="E1036">
        <v>0</v>
      </c>
      <c r="F1036">
        <v>2400</v>
      </c>
      <c r="G1036">
        <v>1394.2862548999999</v>
      </c>
      <c r="H1036">
        <v>1377.9049072</v>
      </c>
      <c r="I1036">
        <v>1288.1579589999999</v>
      </c>
      <c r="J1036">
        <v>1269.2086182</v>
      </c>
      <c r="K1036">
        <v>80</v>
      </c>
      <c r="L1036">
        <v>67.366424561000002</v>
      </c>
      <c r="M1036">
        <v>50</v>
      </c>
      <c r="N1036">
        <v>49.880977631</v>
      </c>
    </row>
    <row r="1037" spans="1:14" x14ac:dyDescent="0.25">
      <c r="A1037">
        <v>731.59277399999996</v>
      </c>
      <c r="B1037" s="1">
        <f>DATE(2012,5,1) + TIME(14,13,35)</f>
        <v>41030.592766203707</v>
      </c>
      <c r="C1037">
        <v>2400</v>
      </c>
      <c r="D1037">
        <v>0</v>
      </c>
      <c r="E1037">
        <v>0</v>
      </c>
      <c r="F1037">
        <v>2400</v>
      </c>
      <c r="G1037">
        <v>1394.1114502</v>
      </c>
      <c r="H1037">
        <v>1377.8497314000001</v>
      </c>
      <c r="I1037">
        <v>1288.1589355000001</v>
      </c>
      <c r="J1037">
        <v>1269.2076416</v>
      </c>
      <c r="K1037">
        <v>80</v>
      </c>
      <c r="L1037">
        <v>68.006225585999999</v>
      </c>
      <c r="M1037">
        <v>50</v>
      </c>
      <c r="N1037">
        <v>49.876007080000001</v>
      </c>
    </row>
    <row r="1038" spans="1:14" x14ac:dyDescent="0.25">
      <c r="A1038">
        <v>731.63403600000004</v>
      </c>
      <c r="B1038" s="1">
        <f>DATE(2012,5,1) + TIME(15,13,0)</f>
        <v>41030.634027777778</v>
      </c>
      <c r="C1038">
        <v>2400</v>
      </c>
      <c r="D1038">
        <v>0</v>
      </c>
      <c r="E1038">
        <v>0</v>
      </c>
      <c r="F1038">
        <v>2400</v>
      </c>
      <c r="G1038">
        <v>1393.9412841999999</v>
      </c>
      <c r="H1038">
        <v>1377.7954102000001</v>
      </c>
      <c r="I1038">
        <v>1288.1597899999999</v>
      </c>
      <c r="J1038">
        <v>1269.206543</v>
      </c>
      <c r="K1038">
        <v>80</v>
      </c>
      <c r="L1038">
        <v>68.635955811000002</v>
      </c>
      <c r="M1038">
        <v>50</v>
      </c>
      <c r="N1038">
        <v>49.870903015000003</v>
      </c>
    </row>
    <row r="1039" spans="1:14" x14ac:dyDescent="0.25">
      <c r="A1039">
        <v>731.67690100000004</v>
      </c>
      <c r="B1039" s="1">
        <f>DATE(2012,5,1) + TIME(16,14,44)</f>
        <v>41030.676898148151</v>
      </c>
      <c r="C1039">
        <v>2400</v>
      </c>
      <c r="D1039">
        <v>0</v>
      </c>
      <c r="E1039">
        <v>0</v>
      </c>
      <c r="F1039">
        <v>2400</v>
      </c>
      <c r="G1039">
        <v>1393.7756348</v>
      </c>
      <c r="H1039">
        <v>1377.7419434000001</v>
      </c>
      <c r="I1039">
        <v>1288.1607666</v>
      </c>
      <c r="J1039">
        <v>1269.2053223</v>
      </c>
      <c r="K1039">
        <v>80</v>
      </c>
      <c r="L1039">
        <v>69.255355835000003</v>
      </c>
      <c r="M1039">
        <v>50</v>
      </c>
      <c r="N1039">
        <v>49.865653991999999</v>
      </c>
    </row>
    <row r="1040" spans="1:14" x14ac:dyDescent="0.25">
      <c r="A1040">
        <v>731.72150499999998</v>
      </c>
      <c r="B1040" s="1">
        <f>DATE(2012,5,1) + TIME(17,18,58)</f>
        <v>41030.721504629626</v>
      </c>
      <c r="C1040">
        <v>2400</v>
      </c>
      <c r="D1040">
        <v>0</v>
      </c>
      <c r="E1040">
        <v>0</v>
      </c>
      <c r="F1040">
        <v>2400</v>
      </c>
      <c r="G1040">
        <v>1393.6142577999999</v>
      </c>
      <c r="H1040">
        <v>1377.6889647999999</v>
      </c>
      <c r="I1040">
        <v>1288.161499</v>
      </c>
      <c r="J1040">
        <v>1269.2041016000001</v>
      </c>
      <c r="K1040">
        <v>80</v>
      </c>
      <c r="L1040">
        <v>69.864151000999996</v>
      </c>
      <c r="M1040">
        <v>50</v>
      </c>
      <c r="N1040">
        <v>49.860248566000003</v>
      </c>
    </row>
    <row r="1041" spans="1:14" x14ac:dyDescent="0.25">
      <c r="A1041">
        <v>731.76799600000004</v>
      </c>
      <c r="B1041" s="1">
        <f>DATE(2012,5,1) + TIME(18,25,54)</f>
        <v>41030.76798611111</v>
      </c>
      <c r="C1041">
        <v>2400</v>
      </c>
      <c r="D1041">
        <v>0</v>
      </c>
      <c r="E1041">
        <v>0</v>
      </c>
      <c r="F1041">
        <v>2400</v>
      </c>
      <c r="G1041">
        <v>1393.4569091999999</v>
      </c>
      <c r="H1041">
        <v>1377.6363524999999</v>
      </c>
      <c r="I1041">
        <v>1288.1623535000001</v>
      </c>
      <c r="J1041">
        <v>1269.2027588000001</v>
      </c>
      <c r="K1041">
        <v>80</v>
      </c>
      <c r="L1041">
        <v>70.461700438999998</v>
      </c>
      <c r="M1041">
        <v>50</v>
      </c>
      <c r="N1041">
        <v>49.854675293</v>
      </c>
    </row>
    <row r="1042" spans="1:14" x14ac:dyDescent="0.25">
      <c r="A1042">
        <v>731.81654600000002</v>
      </c>
      <c r="B1042" s="1">
        <f>DATE(2012,5,1) + TIME(19,35,49)</f>
        <v>41030.81653935185</v>
      </c>
      <c r="C1042">
        <v>2400</v>
      </c>
      <c r="D1042">
        <v>0</v>
      </c>
      <c r="E1042">
        <v>0</v>
      </c>
      <c r="F1042">
        <v>2400</v>
      </c>
      <c r="G1042">
        <v>1393.3033447</v>
      </c>
      <c r="H1042">
        <v>1377.5839844</v>
      </c>
      <c r="I1042">
        <v>1288.1629639</v>
      </c>
      <c r="J1042">
        <v>1269.2014160000001</v>
      </c>
      <c r="K1042">
        <v>80</v>
      </c>
      <c r="L1042">
        <v>71.047904967999997</v>
      </c>
      <c r="M1042">
        <v>50</v>
      </c>
      <c r="N1042">
        <v>49.848918914999999</v>
      </c>
    </row>
    <row r="1043" spans="1:14" x14ac:dyDescent="0.25">
      <c r="A1043">
        <v>731.86734799999999</v>
      </c>
      <c r="B1043" s="1">
        <f>DATE(2012,5,1) + TIME(20,48,58)</f>
        <v>41030.867337962962</v>
      </c>
      <c r="C1043">
        <v>2400</v>
      </c>
      <c r="D1043">
        <v>0</v>
      </c>
      <c r="E1043">
        <v>0</v>
      </c>
      <c r="F1043">
        <v>2400</v>
      </c>
      <c r="G1043">
        <v>1393.1531981999999</v>
      </c>
      <c r="H1043">
        <v>1377.5317382999999</v>
      </c>
      <c r="I1043">
        <v>1288.1636963000001</v>
      </c>
      <c r="J1043">
        <v>1269.1999512</v>
      </c>
      <c r="K1043">
        <v>80</v>
      </c>
      <c r="L1043">
        <v>71.622497558999996</v>
      </c>
      <c r="M1043">
        <v>50</v>
      </c>
      <c r="N1043">
        <v>49.842960357999999</v>
      </c>
    </row>
    <row r="1044" spans="1:14" x14ac:dyDescent="0.25">
      <c r="A1044">
        <v>731.920658</v>
      </c>
      <c r="B1044" s="1">
        <f>DATE(2012,5,1) + TIME(22,5,44)</f>
        <v>41030.920648148145</v>
      </c>
      <c r="C1044">
        <v>2400</v>
      </c>
      <c r="D1044">
        <v>0</v>
      </c>
      <c r="E1044">
        <v>0</v>
      </c>
      <c r="F1044">
        <v>2400</v>
      </c>
      <c r="G1044">
        <v>1393.0061035000001</v>
      </c>
      <c r="H1044">
        <v>1377.4792480000001</v>
      </c>
      <c r="I1044">
        <v>1288.1641846</v>
      </c>
      <c r="J1044">
        <v>1269.1983643000001</v>
      </c>
      <c r="K1044">
        <v>80</v>
      </c>
      <c r="L1044">
        <v>72.185447693</v>
      </c>
      <c r="M1044">
        <v>50</v>
      </c>
      <c r="N1044">
        <v>49.836772918999998</v>
      </c>
    </row>
    <row r="1045" spans="1:14" x14ac:dyDescent="0.25">
      <c r="A1045">
        <v>731.97670500000004</v>
      </c>
      <c r="B1045" s="1">
        <f>DATE(2012,5,1) + TIME(23,26,27)</f>
        <v>41030.976701388892</v>
      </c>
      <c r="C1045">
        <v>2400</v>
      </c>
      <c r="D1045">
        <v>0</v>
      </c>
      <c r="E1045">
        <v>0</v>
      </c>
      <c r="F1045">
        <v>2400</v>
      </c>
      <c r="G1045">
        <v>1392.8620605000001</v>
      </c>
      <c r="H1045">
        <v>1377.4263916</v>
      </c>
      <c r="I1045">
        <v>1288.1646728999999</v>
      </c>
      <c r="J1045">
        <v>1269.1967772999999</v>
      </c>
      <c r="K1045">
        <v>80</v>
      </c>
      <c r="L1045">
        <v>72.736053467000005</v>
      </c>
      <c r="M1045">
        <v>50</v>
      </c>
      <c r="N1045">
        <v>49.830345154</v>
      </c>
    </row>
    <row r="1046" spans="1:14" x14ac:dyDescent="0.25">
      <c r="A1046">
        <v>732.03578300000004</v>
      </c>
      <c r="B1046" s="1">
        <f>DATE(2012,5,2) + TIME(0,51,31)</f>
        <v>41031.035775462966</v>
      </c>
      <c r="C1046">
        <v>2400</v>
      </c>
      <c r="D1046">
        <v>0</v>
      </c>
      <c r="E1046">
        <v>0</v>
      </c>
      <c r="F1046">
        <v>2400</v>
      </c>
      <c r="G1046">
        <v>1392.7207031</v>
      </c>
      <c r="H1046">
        <v>1377.3730469</v>
      </c>
      <c r="I1046">
        <v>1288.1651611</v>
      </c>
      <c r="J1046">
        <v>1269.1949463000001</v>
      </c>
      <c r="K1046">
        <v>80</v>
      </c>
      <c r="L1046">
        <v>73.273818969999994</v>
      </c>
      <c r="M1046">
        <v>50</v>
      </c>
      <c r="N1046">
        <v>49.823642731</v>
      </c>
    </row>
    <row r="1047" spans="1:14" x14ac:dyDescent="0.25">
      <c r="A1047">
        <v>732.09823600000004</v>
      </c>
      <c r="B1047" s="1">
        <f>DATE(2012,5,2) + TIME(2,21,27)</f>
        <v>41031.098229166666</v>
      </c>
      <c r="C1047">
        <v>2400</v>
      </c>
      <c r="D1047">
        <v>0</v>
      </c>
      <c r="E1047">
        <v>0</v>
      </c>
      <c r="F1047">
        <v>2400</v>
      </c>
      <c r="G1047">
        <v>1392.5816649999999</v>
      </c>
      <c r="H1047">
        <v>1377.3188477000001</v>
      </c>
      <c r="I1047">
        <v>1288.1654053</v>
      </c>
      <c r="J1047">
        <v>1269.1931152</v>
      </c>
      <c r="K1047">
        <v>80</v>
      </c>
      <c r="L1047">
        <v>73.798255920000003</v>
      </c>
      <c r="M1047">
        <v>50</v>
      </c>
      <c r="N1047">
        <v>49.816642760999997</v>
      </c>
    </row>
    <row r="1048" spans="1:14" x14ac:dyDescent="0.25">
      <c r="A1048">
        <v>732.16446900000005</v>
      </c>
      <c r="B1048" s="1">
        <f>DATE(2012,5,2) + TIME(3,56,50)</f>
        <v>41031.164467592593</v>
      </c>
      <c r="C1048">
        <v>2400</v>
      </c>
      <c r="D1048">
        <v>0</v>
      </c>
      <c r="E1048">
        <v>0</v>
      </c>
      <c r="F1048">
        <v>2400</v>
      </c>
      <c r="G1048">
        <v>1392.4447021000001</v>
      </c>
      <c r="H1048">
        <v>1377.2635498</v>
      </c>
      <c r="I1048">
        <v>1288.1656493999999</v>
      </c>
      <c r="J1048">
        <v>1269.1911620999999</v>
      </c>
      <c r="K1048">
        <v>80</v>
      </c>
      <c r="L1048">
        <v>74.308830260999997</v>
      </c>
      <c r="M1048">
        <v>50</v>
      </c>
      <c r="N1048">
        <v>49.809303284000002</v>
      </c>
    </row>
    <row r="1049" spans="1:14" x14ac:dyDescent="0.25">
      <c r="A1049">
        <v>732.23495400000002</v>
      </c>
      <c r="B1049" s="1">
        <f>DATE(2012,5,2) + TIME(5,38,20)</f>
        <v>41031.234953703701</v>
      </c>
      <c r="C1049">
        <v>2400</v>
      </c>
      <c r="D1049">
        <v>0</v>
      </c>
      <c r="E1049">
        <v>0</v>
      </c>
      <c r="F1049">
        <v>2400</v>
      </c>
      <c r="G1049">
        <v>1392.3096923999999</v>
      </c>
      <c r="H1049">
        <v>1377.2069091999999</v>
      </c>
      <c r="I1049">
        <v>1288.1657714999999</v>
      </c>
      <c r="J1049">
        <v>1269.1890868999999</v>
      </c>
      <c r="K1049">
        <v>80</v>
      </c>
      <c r="L1049">
        <v>74.804893493999998</v>
      </c>
      <c r="M1049">
        <v>50</v>
      </c>
      <c r="N1049">
        <v>49.801593781000001</v>
      </c>
    </row>
    <row r="1050" spans="1:14" x14ac:dyDescent="0.25">
      <c r="A1050">
        <v>732.31026799999995</v>
      </c>
      <c r="B1050" s="1">
        <f>DATE(2012,5,2) + TIME(7,26,47)</f>
        <v>41031.310266203705</v>
      </c>
      <c r="C1050">
        <v>2400</v>
      </c>
      <c r="D1050">
        <v>0</v>
      </c>
      <c r="E1050">
        <v>0</v>
      </c>
      <c r="F1050">
        <v>2400</v>
      </c>
      <c r="G1050">
        <v>1392.1760254000001</v>
      </c>
      <c r="H1050">
        <v>1377.1485596</v>
      </c>
      <c r="I1050">
        <v>1288.1656493999999</v>
      </c>
      <c r="J1050">
        <v>1269.1868896000001</v>
      </c>
      <c r="K1050">
        <v>80</v>
      </c>
      <c r="L1050">
        <v>75.285606384000005</v>
      </c>
      <c r="M1050">
        <v>50</v>
      </c>
      <c r="N1050">
        <v>49.793457031000003</v>
      </c>
    </row>
    <row r="1051" spans="1:14" x14ac:dyDescent="0.25">
      <c r="A1051">
        <v>732.39111600000001</v>
      </c>
      <c r="B1051" s="1">
        <f>DATE(2012,5,2) + TIME(9,23,12)</f>
        <v>41031.391111111108</v>
      </c>
      <c r="C1051">
        <v>2400</v>
      </c>
      <c r="D1051">
        <v>0</v>
      </c>
      <c r="E1051">
        <v>0</v>
      </c>
      <c r="F1051">
        <v>2400</v>
      </c>
      <c r="G1051">
        <v>1392.043457</v>
      </c>
      <c r="H1051">
        <v>1377.0881348</v>
      </c>
      <c r="I1051">
        <v>1288.1655272999999</v>
      </c>
      <c r="J1051">
        <v>1269.1845702999999</v>
      </c>
      <c r="K1051">
        <v>80</v>
      </c>
      <c r="L1051">
        <v>75.750366210999999</v>
      </c>
      <c r="M1051">
        <v>50</v>
      </c>
      <c r="N1051">
        <v>49.784832000999998</v>
      </c>
    </row>
    <row r="1052" spans="1:14" x14ac:dyDescent="0.25">
      <c r="A1052">
        <v>732.47835299999997</v>
      </c>
      <c r="B1052" s="1">
        <f>DATE(2012,5,2) + TIME(11,28,49)</f>
        <v>41031.478344907409</v>
      </c>
      <c r="C1052">
        <v>2400</v>
      </c>
      <c r="D1052">
        <v>0</v>
      </c>
      <c r="E1052">
        <v>0</v>
      </c>
      <c r="F1052">
        <v>2400</v>
      </c>
      <c r="G1052">
        <v>1391.911499</v>
      </c>
      <c r="H1052">
        <v>1377.0253906</v>
      </c>
      <c r="I1052">
        <v>1288.1651611</v>
      </c>
      <c r="J1052">
        <v>1269.1821289</v>
      </c>
      <c r="K1052">
        <v>80</v>
      </c>
      <c r="L1052">
        <v>76.198547363000003</v>
      </c>
      <c r="M1052">
        <v>50</v>
      </c>
      <c r="N1052">
        <v>49.775657654</v>
      </c>
    </row>
    <row r="1053" spans="1:14" x14ac:dyDescent="0.25">
      <c r="A1053">
        <v>732.57304399999998</v>
      </c>
      <c r="B1053" s="1">
        <f>DATE(2012,5,2) + TIME(13,45,10)</f>
        <v>41031.57303240741</v>
      </c>
      <c r="C1053">
        <v>2400</v>
      </c>
      <c r="D1053">
        <v>0</v>
      </c>
      <c r="E1053">
        <v>0</v>
      </c>
      <c r="F1053">
        <v>2400</v>
      </c>
      <c r="G1053">
        <v>1391.7797852000001</v>
      </c>
      <c r="H1053">
        <v>1376.9597168</v>
      </c>
      <c r="I1053">
        <v>1288.1645507999999</v>
      </c>
      <c r="J1053">
        <v>1269.1794434000001</v>
      </c>
      <c r="K1053">
        <v>80</v>
      </c>
      <c r="L1053">
        <v>76.629280089999995</v>
      </c>
      <c r="M1053">
        <v>50</v>
      </c>
      <c r="N1053">
        <v>49.765834808000001</v>
      </c>
    </row>
    <row r="1054" spans="1:14" x14ac:dyDescent="0.25">
      <c r="A1054">
        <v>732.67655100000002</v>
      </c>
      <c r="B1054" s="1">
        <f>DATE(2012,5,2) + TIME(16,14,13)</f>
        <v>41031.676539351851</v>
      </c>
      <c r="C1054">
        <v>2400</v>
      </c>
      <c r="D1054">
        <v>0</v>
      </c>
      <c r="E1054">
        <v>0</v>
      </c>
      <c r="F1054">
        <v>2400</v>
      </c>
      <c r="G1054">
        <v>1391.6478271000001</v>
      </c>
      <c r="H1054">
        <v>1376.890625</v>
      </c>
      <c r="I1054">
        <v>1288.1638184000001</v>
      </c>
      <c r="J1054">
        <v>1269.1765137</v>
      </c>
      <c r="K1054">
        <v>80</v>
      </c>
      <c r="L1054">
        <v>77.041656493999994</v>
      </c>
      <c r="M1054">
        <v>50</v>
      </c>
      <c r="N1054">
        <v>49.755260468000003</v>
      </c>
    </row>
    <row r="1055" spans="1:14" x14ac:dyDescent="0.25">
      <c r="A1055">
        <v>732.78563899999995</v>
      </c>
      <c r="B1055" s="1">
        <f>DATE(2012,5,2) + TIME(18,51,19)</f>
        <v>41031.785636574074</v>
      </c>
      <c r="C1055">
        <v>2400</v>
      </c>
      <c r="D1055">
        <v>0</v>
      </c>
      <c r="E1055">
        <v>0</v>
      </c>
      <c r="F1055">
        <v>2400</v>
      </c>
      <c r="G1055">
        <v>1391.5197754000001</v>
      </c>
      <c r="H1055">
        <v>1376.8195800999999</v>
      </c>
      <c r="I1055">
        <v>1288.1628418</v>
      </c>
      <c r="J1055">
        <v>1269.1734618999999</v>
      </c>
      <c r="K1055">
        <v>80</v>
      </c>
      <c r="L1055">
        <v>77.419700622999997</v>
      </c>
      <c r="M1055">
        <v>50</v>
      </c>
      <c r="N1055">
        <v>49.744235992</v>
      </c>
    </row>
    <row r="1056" spans="1:14" x14ac:dyDescent="0.25">
      <c r="A1056">
        <v>732.89494300000001</v>
      </c>
      <c r="B1056" s="1">
        <f>DATE(2012,5,2) + TIME(21,28,43)</f>
        <v>41031.894942129627</v>
      </c>
      <c r="C1056">
        <v>2400</v>
      </c>
      <c r="D1056">
        <v>0</v>
      </c>
      <c r="E1056">
        <v>0</v>
      </c>
      <c r="F1056">
        <v>2400</v>
      </c>
      <c r="G1056">
        <v>1391.4003906</v>
      </c>
      <c r="H1056">
        <v>1376.7492675999999</v>
      </c>
      <c r="I1056">
        <v>1288.161499</v>
      </c>
      <c r="J1056">
        <v>1269.1701660000001</v>
      </c>
      <c r="K1056">
        <v>80</v>
      </c>
      <c r="L1056">
        <v>77.749046325999998</v>
      </c>
      <c r="M1056">
        <v>50</v>
      </c>
      <c r="N1056">
        <v>49.733242035000004</v>
      </c>
    </row>
    <row r="1057" spans="1:14" x14ac:dyDescent="0.25">
      <c r="A1057">
        <v>733.005045</v>
      </c>
      <c r="B1057" s="1">
        <f>DATE(2012,5,3) + TIME(0,7,15)</f>
        <v>41032.00503472222</v>
      </c>
      <c r="C1057">
        <v>2400</v>
      </c>
      <c r="D1057">
        <v>0</v>
      </c>
      <c r="E1057">
        <v>0</v>
      </c>
      <c r="F1057">
        <v>2400</v>
      </c>
      <c r="G1057">
        <v>1391.2883300999999</v>
      </c>
      <c r="H1057">
        <v>1376.6802978999999</v>
      </c>
      <c r="I1057">
        <v>1288.1600341999999</v>
      </c>
      <c r="J1057">
        <v>1269.1668701000001</v>
      </c>
      <c r="K1057">
        <v>80</v>
      </c>
      <c r="L1057">
        <v>78.037170410000002</v>
      </c>
      <c r="M1057">
        <v>50</v>
      </c>
      <c r="N1057">
        <v>49.722221374999997</v>
      </c>
    </row>
    <row r="1058" spans="1:14" x14ac:dyDescent="0.25">
      <c r="A1058">
        <v>733.11626000000001</v>
      </c>
      <c r="B1058" s="1">
        <f>DATE(2012,5,3) + TIME(2,47,24)</f>
        <v>41032.116249999999</v>
      </c>
      <c r="C1058">
        <v>2400</v>
      </c>
      <c r="D1058">
        <v>0</v>
      </c>
      <c r="E1058">
        <v>0</v>
      </c>
      <c r="F1058">
        <v>2400</v>
      </c>
      <c r="G1058">
        <v>1391.182251</v>
      </c>
      <c r="H1058">
        <v>1376.6121826000001</v>
      </c>
      <c r="I1058">
        <v>1288.1584473</v>
      </c>
      <c r="J1058">
        <v>1269.1635742000001</v>
      </c>
      <c r="K1058">
        <v>80</v>
      </c>
      <c r="L1058">
        <v>78.289550781000003</v>
      </c>
      <c r="M1058">
        <v>50</v>
      </c>
      <c r="N1058">
        <v>49.711147308000001</v>
      </c>
    </row>
    <row r="1059" spans="1:14" x14ac:dyDescent="0.25">
      <c r="A1059">
        <v>733.22892000000002</v>
      </c>
      <c r="B1059" s="1">
        <f>DATE(2012,5,3) + TIME(5,29,38)</f>
        <v>41032.228912037041</v>
      </c>
      <c r="C1059">
        <v>2400</v>
      </c>
      <c r="D1059">
        <v>0</v>
      </c>
      <c r="E1059">
        <v>0</v>
      </c>
      <c r="F1059">
        <v>2400</v>
      </c>
      <c r="G1059">
        <v>1391.0814209</v>
      </c>
      <c r="H1059">
        <v>1376.5450439000001</v>
      </c>
      <c r="I1059">
        <v>1288.1567382999999</v>
      </c>
      <c r="J1059">
        <v>1269.1602783000001</v>
      </c>
      <c r="K1059">
        <v>80</v>
      </c>
      <c r="L1059">
        <v>78.510856627999999</v>
      </c>
      <c r="M1059">
        <v>50</v>
      </c>
      <c r="N1059">
        <v>49.699989318999997</v>
      </c>
    </row>
    <row r="1060" spans="1:14" x14ac:dyDescent="0.25">
      <c r="A1060">
        <v>733.34333500000002</v>
      </c>
      <c r="B1060" s="1">
        <f>DATE(2012,5,3) + TIME(8,14,24)</f>
        <v>41032.343333333331</v>
      </c>
      <c r="C1060">
        <v>2400</v>
      </c>
      <c r="D1060">
        <v>0</v>
      </c>
      <c r="E1060">
        <v>0</v>
      </c>
      <c r="F1060">
        <v>2400</v>
      </c>
      <c r="G1060">
        <v>1390.9851074000001</v>
      </c>
      <c r="H1060">
        <v>1376.4786377</v>
      </c>
      <c r="I1060">
        <v>1288.1547852000001</v>
      </c>
      <c r="J1060">
        <v>1269.1568603999999</v>
      </c>
      <c r="K1060">
        <v>80</v>
      </c>
      <c r="L1060">
        <v>78.704978943</v>
      </c>
      <c r="M1060">
        <v>50</v>
      </c>
      <c r="N1060">
        <v>49.688720703000001</v>
      </c>
    </row>
    <row r="1061" spans="1:14" x14ac:dyDescent="0.25">
      <c r="A1061">
        <v>733.45978400000001</v>
      </c>
      <c r="B1061" s="1">
        <f>DATE(2012,5,3) + TIME(11,2,5)</f>
        <v>41032.459780092591</v>
      </c>
      <c r="C1061">
        <v>2400</v>
      </c>
      <c r="D1061">
        <v>0</v>
      </c>
      <c r="E1061">
        <v>0</v>
      </c>
      <c r="F1061">
        <v>2400</v>
      </c>
      <c r="G1061">
        <v>1390.8925781</v>
      </c>
      <c r="H1061">
        <v>1376.4125977000001</v>
      </c>
      <c r="I1061">
        <v>1288.152832</v>
      </c>
      <c r="J1061">
        <v>1269.1534423999999</v>
      </c>
      <c r="K1061">
        <v>80</v>
      </c>
      <c r="L1061">
        <v>78.875205993999998</v>
      </c>
      <c r="M1061">
        <v>50</v>
      </c>
      <c r="N1061">
        <v>49.677318573000001</v>
      </c>
    </row>
    <row r="1062" spans="1:14" x14ac:dyDescent="0.25">
      <c r="A1062">
        <v>733.57857899999999</v>
      </c>
      <c r="B1062" s="1">
        <f>DATE(2012,5,3) + TIME(13,53,9)</f>
        <v>41032.578576388885</v>
      </c>
      <c r="C1062">
        <v>2400</v>
      </c>
      <c r="D1062">
        <v>0</v>
      </c>
      <c r="E1062">
        <v>0</v>
      </c>
      <c r="F1062">
        <v>2400</v>
      </c>
      <c r="G1062">
        <v>1390.8034668</v>
      </c>
      <c r="H1062">
        <v>1376.347168</v>
      </c>
      <c r="I1062">
        <v>1288.1506348</v>
      </c>
      <c r="J1062">
        <v>1269.1500243999999</v>
      </c>
      <c r="K1062">
        <v>80</v>
      </c>
      <c r="L1062">
        <v>79.024421692000004</v>
      </c>
      <c r="M1062">
        <v>50</v>
      </c>
      <c r="N1062">
        <v>49.665752411</v>
      </c>
    </row>
    <row r="1063" spans="1:14" x14ac:dyDescent="0.25">
      <c r="A1063">
        <v>733.70004500000005</v>
      </c>
      <c r="B1063" s="1">
        <f>DATE(2012,5,3) + TIME(16,48,3)</f>
        <v>41032.70003472222</v>
      </c>
      <c r="C1063">
        <v>2400</v>
      </c>
      <c r="D1063">
        <v>0</v>
      </c>
      <c r="E1063">
        <v>0</v>
      </c>
      <c r="F1063">
        <v>2400</v>
      </c>
      <c r="G1063">
        <v>1390.7170410000001</v>
      </c>
      <c r="H1063">
        <v>1376.2818603999999</v>
      </c>
      <c r="I1063">
        <v>1288.1484375</v>
      </c>
      <c r="J1063">
        <v>1269.1463623</v>
      </c>
      <c r="K1063">
        <v>80</v>
      </c>
      <c r="L1063">
        <v>79.155097960999996</v>
      </c>
      <c r="M1063">
        <v>50</v>
      </c>
      <c r="N1063">
        <v>49.653991699000002</v>
      </c>
    </row>
    <row r="1064" spans="1:14" x14ac:dyDescent="0.25">
      <c r="A1064">
        <v>733.824523</v>
      </c>
      <c r="B1064" s="1">
        <f>DATE(2012,5,3) + TIME(19,47,18)</f>
        <v>41032.824513888889</v>
      </c>
      <c r="C1064">
        <v>2400</v>
      </c>
      <c r="D1064">
        <v>0</v>
      </c>
      <c r="E1064">
        <v>0</v>
      </c>
      <c r="F1064">
        <v>2400</v>
      </c>
      <c r="G1064">
        <v>1390.6330565999999</v>
      </c>
      <c r="H1064">
        <v>1376.2167969</v>
      </c>
      <c r="I1064">
        <v>1288.1459961</v>
      </c>
      <c r="J1064">
        <v>1269.1427002</v>
      </c>
      <c r="K1064">
        <v>80</v>
      </c>
      <c r="L1064">
        <v>79.269401549999998</v>
      </c>
      <c r="M1064">
        <v>50</v>
      </c>
      <c r="N1064">
        <v>49.642013550000001</v>
      </c>
    </row>
    <row r="1065" spans="1:14" x14ac:dyDescent="0.25">
      <c r="A1065">
        <v>733.95238199999994</v>
      </c>
      <c r="B1065" s="1">
        <f>DATE(2012,5,3) + TIME(22,51,25)</f>
        <v>41032.952372685184</v>
      </c>
      <c r="C1065">
        <v>2400</v>
      </c>
      <c r="D1065">
        <v>0</v>
      </c>
      <c r="E1065">
        <v>0</v>
      </c>
      <c r="F1065">
        <v>2400</v>
      </c>
      <c r="G1065">
        <v>1390.5510254000001</v>
      </c>
      <c r="H1065">
        <v>1376.1517334</v>
      </c>
      <c r="I1065">
        <v>1288.1434326000001</v>
      </c>
      <c r="J1065">
        <v>1269.1390381000001</v>
      </c>
      <c r="K1065">
        <v>80</v>
      </c>
      <c r="L1065">
        <v>79.369224548000005</v>
      </c>
      <c r="M1065">
        <v>50</v>
      </c>
      <c r="N1065">
        <v>49.629783629999999</v>
      </c>
    </row>
    <row r="1066" spans="1:14" x14ac:dyDescent="0.25">
      <c r="A1066">
        <v>734.08401700000002</v>
      </c>
      <c r="B1066" s="1">
        <f>DATE(2012,5,4) + TIME(2,0,59)</f>
        <v>41033.084016203706</v>
      </c>
      <c r="C1066">
        <v>2400</v>
      </c>
      <c r="D1066">
        <v>0</v>
      </c>
      <c r="E1066">
        <v>0</v>
      </c>
      <c r="F1066">
        <v>2400</v>
      </c>
      <c r="G1066">
        <v>1390.4705810999999</v>
      </c>
      <c r="H1066">
        <v>1376.0866699000001</v>
      </c>
      <c r="I1066">
        <v>1288.1407471</v>
      </c>
      <c r="J1066">
        <v>1269.1351318</v>
      </c>
      <c r="K1066">
        <v>80</v>
      </c>
      <c r="L1066">
        <v>79.456230164000004</v>
      </c>
      <c r="M1066">
        <v>50</v>
      </c>
      <c r="N1066">
        <v>49.617271422999998</v>
      </c>
    </row>
    <row r="1067" spans="1:14" x14ac:dyDescent="0.25">
      <c r="A1067">
        <v>734.21986300000003</v>
      </c>
      <c r="B1067" s="1">
        <f>DATE(2012,5,4) + TIME(5,16,36)</f>
        <v>41033.219861111109</v>
      </c>
      <c r="C1067">
        <v>2400</v>
      </c>
      <c r="D1067">
        <v>0</v>
      </c>
      <c r="E1067">
        <v>0</v>
      </c>
      <c r="F1067">
        <v>2400</v>
      </c>
      <c r="G1067">
        <v>1390.3916016000001</v>
      </c>
      <c r="H1067">
        <v>1376.0214844</v>
      </c>
      <c r="I1067">
        <v>1288.1379394999999</v>
      </c>
      <c r="J1067">
        <v>1269.1312256000001</v>
      </c>
      <c r="K1067">
        <v>80</v>
      </c>
      <c r="L1067">
        <v>79.531898498999993</v>
      </c>
      <c r="M1067">
        <v>50</v>
      </c>
      <c r="N1067">
        <v>49.604438782000003</v>
      </c>
    </row>
    <row r="1068" spans="1:14" x14ac:dyDescent="0.25">
      <c r="A1068">
        <v>734.36040000000003</v>
      </c>
      <c r="B1068" s="1">
        <f>DATE(2012,5,4) + TIME(8,38,58)</f>
        <v>41033.360393518517</v>
      </c>
      <c r="C1068">
        <v>2400</v>
      </c>
      <c r="D1068">
        <v>0</v>
      </c>
      <c r="E1068">
        <v>0</v>
      </c>
      <c r="F1068">
        <v>2400</v>
      </c>
      <c r="G1068">
        <v>1390.3135986</v>
      </c>
      <c r="H1068">
        <v>1375.9560547000001</v>
      </c>
      <c r="I1068">
        <v>1288.1350098</v>
      </c>
      <c r="J1068">
        <v>1269.1270752</v>
      </c>
      <c r="K1068">
        <v>80</v>
      </c>
      <c r="L1068">
        <v>79.597518921000002</v>
      </c>
      <c r="M1068">
        <v>50</v>
      </c>
      <c r="N1068">
        <v>49.591243744000003</v>
      </c>
    </row>
    <row r="1069" spans="1:14" x14ac:dyDescent="0.25">
      <c r="A1069">
        <v>734.50618199999997</v>
      </c>
      <c r="B1069" s="1">
        <f>DATE(2012,5,4) + TIME(12,8,54)</f>
        <v>41033.506180555552</v>
      </c>
      <c r="C1069">
        <v>2400</v>
      </c>
      <c r="D1069">
        <v>0</v>
      </c>
      <c r="E1069">
        <v>0</v>
      </c>
      <c r="F1069">
        <v>2400</v>
      </c>
      <c r="G1069">
        <v>1390.2363281</v>
      </c>
      <c r="H1069">
        <v>1375.8901367000001</v>
      </c>
      <c r="I1069">
        <v>1288.1319579999999</v>
      </c>
      <c r="J1069">
        <v>1269.1229248</v>
      </c>
      <c r="K1069">
        <v>80</v>
      </c>
      <c r="L1069">
        <v>79.654251099000007</v>
      </c>
      <c r="M1069">
        <v>50</v>
      </c>
      <c r="N1069">
        <v>49.577648162999999</v>
      </c>
    </row>
    <row r="1070" spans="1:14" x14ac:dyDescent="0.25">
      <c r="A1070">
        <v>734.65788299999997</v>
      </c>
      <c r="B1070" s="1">
        <f>DATE(2012,5,4) + TIME(15,47,21)</f>
        <v>41033.657881944448</v>
      </c>
      <c r="C1070">
        <v>2400</v>
      </c>
      <c r="D1070">
        <v>0</v>
      </c>
      <c r="E1070">
        <v>0</v>
      </c>
      <c r="F1070">
        <v>2400</v>
      </c>
      <c r="G1070">
        <v>1390.1594238</v>
      </c>
      <c r="H1070">
        <v>1375.8237305</v>
      </c>
      <c r="I1070">
        <v>1288.1287841999999</v>
      </c>
      <c r="J1070">
        <v>1269.1185303</v>
      </c>
      <c r="K1070">
        <v>80</v>
      </c>
      <c r="L1070">
        <v>79.703155518000003</v>
      </c>
      <c r="M1070">
        <v>50</v>
      </c>
      <c r="N1070">
        <v>49.563594817999999</v>
      </c>
    </row>
    <row r="1071" spans="1:14" x14ac:dyDescent="0.25">
      <c r="A1071">
        <v>734.81610999999998</v>
      </c>
      <c r="B1071" s="1">
        <f>DATE(2012,5,4) + TIME(19,35,11)</f>
        <v>41033.816099537034</v>
      </c>
      <c r="C1071">
        <v>2400</v>
      </c>
      <c r="D1071">
        <v>0</v>
      </c>
      <c r="E1071">
        <v>0</v>
      </c>
      <c r="F1071">
        <v>2400</v>
      </c>
      <c r="G1071">
        <v>1390.0827637</v>
      </c>
      <c r="H1071">
        <v>1375.7565918</v>
      </c>
      <c r="I1071">
        <v>1288.1253661999999</v>
      </c>
      <c r="J1071">
        <v>1269.1138916</v>
      </c>
      <c r="K1071">
        <v>80</v>
      </c>
      <c r="L1071">
        <v>79.745101929</v>
      </c>
      <c r="M1071">
        <v>50</v>
      </c>
      <c r="N1071">
        <v>49.549037933000001</v>
      </c>
    </row>
    <row r="1072" spans="1:14" x14ac:dyDescent="0.25">
      <c r="A1072">
        <v>734.98165800000004</v>
      </c>
      <c r="B1072" s="1">
        <f>DATE(2012,5,4) + TIME(23,33,35)</f>
        <v>41033.98165509259</v>
      </c>
      <c r="C1072">
        <v>2400</v>
      </c>
      <c r="D1072">
        <v>0</v>
      </c>
      <c r="E1072">
        <v>0</v>
      </c>
      <c r="F1072">
        <v>2400</v>
      </c>
      <c r="G1072">
        <v>1390.0061035000001</v>
      </c>
      <c r="H1072">
        <v>1375.6887207</v>
      </c>
      <c r="I1072">
        <v>1288.1218262</v>
      </c>
      <c r="J1072">
        <v>1269.1091309000001</v>
      </c>
      <c r="K1072">
        <v>80</v>
      </c>
      <c r="L1072">
        <v>79.780937195000007</v>
      </c>
      <c r="M1072">
        <v>50</v>
      </c>
      <c r="N1072">
        <v>49.533916472999998</v>
      </c>
    </row>
    <row r="1073" spans="1:14" x14ac:dyDescent="0.25">
      <c r="A1073">
        <v>735.155439</v>
      </c>
      <c r="B1073" s="1">
        <f>DATE(2012,5,5) + TIME(3,43,49)</f>
        <v>41034.155428240738</v>
      </c>
      <c r="C1073">
        <v>2400</v>
      </c>
      <c r="D1073">
        <v>0</v>
      </c>
      <c r="E1073">
        <v>0</v>
      </c>
      <c r="F1073">
        <v>2400</v>
      </c>
      <c r="G1073">
        <v>1389.9289550999999</v>
      </c>
      <c r="H1073">
        <v>1375.619751</v>
      </c>
      <c r="I1073">
        <v>1288.1181641000001</v>
      </c>
      <c r="J1073">
        <v>1269.104126</v>
      </c>
      <c r="K1073">
        <v>80</v>
      </c>
      <c r="L1073">
        <v>79.811386107999994</v>
      </c>
      <c r="M1073">
        <v>50</v>
      </c>
      <c r="N1073">
        <v>49.518157959</v>
      </c>
    </row>
    <row r="1074" spans="1:14" x14ac:dyDescent="0.25">
      <c r="A1074">
        <v>735.33640000000003</v>
      </c>
      <c r="B1074" s="1">
        <f>DATE(2012,5,5) + TIME(8,4,24)</f>
        <v>41034.336388888885</v>
      </c>
      <c r="C1074">
        <v>2400</v>
      </c>
      <c r="D1074">
        <v>0</v>
      </c>
      <c r="E1074">
        <v>0</v>
      </c>
      <c r="F1074">
        <v>2400</v>
      </c>
      <c r="G1074">
        <v>1389.8513184000001</v>
      </c>
      <c r="H1074">
        <v>1375.5496826000001</v>
      </c>
      <c r="I1074">
        <v>1288.1141356999999</v>
      </c>
      <c r="J1074">
        <v>1269.0988769999999</v>
      </c>
      <c r="K1074">
        <v>80</v>
      </c>
      <c r="L1074">
        <v>79.836883545000006</v>
      </c>
      <c r="M1074">
        <v>50</v>
      </c>
      <c r="N1074">
        <v>49.501842498999999</v>
      </c>
    </row>
    <row r="1075" spans="1:14" x14ac:dyDescent="0.25">
      <c r="A1075">
        <v>735.52509199999997</v>
      </c>
      <c r="B1075" s="1">
        <f>DATE(2012,5,5) + TIME(12,36,7)</f>
        <v>41034.525081018517</v>
      </c>
      <c r="C1075">
        <v>2400</v>
      </c>
      <c r="D1075">
        <v>0</v>
      </c>
      <c r="E1075">
        <v>0</v>
      </c>
      <c r="F1075">
        <v>2400</v>
      </c>
      <c r="G1075">
        <v>1389.7735596</v>
      </c>
      <c r="H1075">
        <v>1375.4790039</v>
      </c>
      <c r="I1075">
        <v>1288.1101074000001</v>
      </c>
      <c r="J1075">
        <v>1269.0933838000001</v>
      </c>
      <c r="K1075">
        <v>80</v>
      </c>
      <c r="L1075">
        <v>79.858093261999997</v>
      </c>
      <c r="M1075">
        <v>50</v>
      </c>
      <c r="N1075">
        <v>49.484924315999997</v>
      </c>
    </row>
    <row r="1076" spans="1:14" x14ac:dyDescent="0.25">
      <c r="A1076">
        <v>735.72231799999997</v>
      </c>
      <c r="B1076" s="1">
        <f>DATE(2012,5,5) + TIME(17,20,8)</f>
        <v>41034.722314814811</v>
      </c>
      <c r="C1076">
        <v>2400</v>
      </c>
      <c r="D1076">
        <v>0</v>
      </c>
      <c r="E1076">
        <v>0</v>
      </c>
      <c r="F1076">
        <v>2400</v>
      </c>
      <c r="G1076">
        <v>1389.6954346</v>
      </c>
      <c r="H1076">
        <v>1375.4075928</v>
      </c>
      <c r="I1076">
        <v>1288.1057129000001</v>
      </c>
      <c r="J1076">
        <v>1269.0877685999999</v>
      </c>
      <c r="K1076">
        <v>80</v>
      </c>
      <c r="L1076">
        <v>79.875656128000003</v>
      </c>
      <c r="M1076">
        <v>50</v>
      </c>
      <c r="N1076">
        <v>49.467346190999997</v>
      </c>
    </row>
    <row r="1077" spans="1:14" x14ac:dyDescent="0.25">
      <c r="A1077">
        <v>735.929079</v>
      </c>
      <c r="B1077" s="1">
        <f>DATE(2012,5,5) + TIME(22,17,52)</f>
        <v>41034.929074074076</v>
      </c>
      <c r="C1077">
        <v>2400</v>
      </c>
      <c r="D1077">
        <v>0</v>
      </c>
      <c r="E1077">
        <v>0</v>
      </c>
      <c r="F1077">
        <v>2400</v>
      </c>
      <c r="G1077">
        <v>1389.6169434000001</v>
      </c>
      <c r="H1077">
        <v>1375.3354492000001</v>
      </c>
      <c r="I1077">
        <v>1288.1011963000001</v>
      </c>
      <c r="J1077">
        <v>1269.0817870999999</v>
      </c>
      <c r="K1077">
        <v>80</v>
      </c>
      <c r="L1077">
        <v>79.890113830999994</v>
      </c>
      <c r="M1077">
        <v>50</v>
      </c>
      <c r="N1077">
        <v>49.449039458999998</v>
      </c>
    </row>
    <row r="1078" spans="1:14" x14ac:dyDescent="0.25">
      <c r="A1078">
        <v>736.14653399999997</v>
      </c>
      <c r="B1078" s="1">
        <f>DATE(2012,5,6) + TIME(3,31,0)</f>
        <v>41035.146527777775</v>
      </c>
      <c r="C1078">
        <v>2400</v>
      </c>
      <c r="D1078">
        <v>0</v>
      </c>
      <c r="E1078">
        <v>0</v>
      </c>
      <c r="F1078">
        <v>2400</v>
      </c>
      <c r="G1078">
        <v>1389.5375977000001</v>
      </c>
      <c r="H1078">
        <v>1375.262207</v>
      </c>
      <c r="I1078">
        <v>1288.0965576000001</v>
      </c>
      <c r="J1078">
        <v>1269.0754394999999</v>
      </c>
      <c r="K1078">
        <v>80</v>
      </c>
      <c r="L1078">
        <v>79.901947020999998</v>
      </c>
      <c r="M1078">
        <v>50</v>
      </c>
      <c r="N1078">
        <v>49.429912567000002</v>
      </c>
    </row>
    <row r="1079" spans="1:14" x14ac:dyDescent="0.25">
      <c r="A1079">
        <v>736.3723</v>
      </c>
      <c r="B1079" s="1">
        <f>DATE(2012,5,6) + TIME(8,56,6)</f>
        <v>41035.372291666667</v>
      </c>
      <c r="C1079">
        <v>2400</v>
      </c>
      <c r="D1079">
        <v>0</v>
      </c>
      <c r="E1079">
        <v>0</v>
      </c>
      <c r="F1079">
        <v>2400</v>
      </c>
      <c r="G1079">
        <v>1389.4573975000001</v>
      </c>
      <c r="H1079">
        <v>1375.1877440999999</v>
      </c>
      <c r="I1079">
        <v>1288.0915527</v>
      </c>
      <c r="J1079">
        <v>1269.0689697</v>
      </c>
      <c r="K1079">
        <v>80</v>
      </c>
      <c r="L1079">
        <v>79.911445618000002</v>
      </c>
      <c r="M1079">
        <v>50</v>
      </c>
      <c r="N1079">
        <v>49.410133362000003</v>
      </c>
    </row>
    <row r="1080" spans="1:14" x14ac:dyDescent="0.25">
      <c r="A1080">
        <v>736.59905100000003</v>
      </c>
      <c r="B1080" s="1">
        <f>DATE(2012,5,6) + TIME(14,22,38)</f>
        <v>41035.599050925928</v>
      </c>
      <c r="C1080">
        <v>2400</v>
      </c>
      <c r="D1080">
        <v>0</v>
      </c>
      <c r="E1080">
        <v>0</v>
      </c>
      <c r="F1080">
        <v>2400</v>
      </c>
      <c r="G1080">
        <v>1389.3770752</v>
      </c>
      <c r="H1080">
        <v>1375.1131591999999</v>
      </c>
      <c r="I1080">
        <v>1288.0861815999999</v>
      </c>
      <c r="J1080">
        <v>1269.0621338000001</v>
      </c>
      <c r="K1080">
        <v>80</v>
      </c>
      <c r="L1080">
        <v>79.918846130000006</v>
      </c>
      <c r="M1080">
        <v>50</v>
      </c>
      <c r="N1080">
        <v>49.390205383000001</v>
      </c>
    </row>
    <row r="1081" spans="1:14" x14ac:dyDescent="0.25">
      <c r="A1081">
        <v>736.82750499999997</v>
      </c>
      <c r="B1081" s="1">
        <f>DATE(2012,5,6) + TIME(19,51,36)</f>
        <v>41035.827499999999</v>
      </c>
      <c r="C1081">
        <v>2400</v>
      </c>
      <c r="D1081">
        <v>0</v>
      </c>
      <c r="E1081">
        <v>0</v>
      </c>
      <c r="F1081">
        <v>2400</v>
      </c>
      <c r="G1081">
        <v>1389.2991943</v>
      </c>
      <c r="H1081">
        <v>1375.0406493999999</v>
      </c>
      <c r="I1081">
        <v>1288.0809326000001</v>
      </c>
      <c r="J1081">
        <v>1269.0552978999999</v>
      </c>
      <c r="K1081">
        <v>80</v>
      </c>
      <c r="L1081">
        <v>79.924629210999996</v>
      </c>
      <c r="M1081">
        <v>50</v>
      </c>
      <c r="N1081">
        <v>49.370109558000003</v>
      </c>
    </row>
    <row r="1082" spans="1:14" x14ac:dyDescent="0.25">
      <c r="A1082">
        <v>737.05837199999996</v>
      </c>
      <c r="B1082" s="1">
        <f>DATE(2012,5,7) + TIME(1,24,3)</f>
        <v>41036.058368055557</v>
      </c>
      <c r="C1082">
        <v>2400</v>
      </c>
      <c r="D1082">
        <v>0</v>
      </c>
      <c r="E1082">
        <v>0</v>
      </c>
      <c r="F1082">
        <v>2400</v>
      </c>
      <c r="G1082">
        <v>1389.2235106999999</v>
      </c>
      <c r="H1082">
        <v>1374.9698486</v>
      </c>
      <c r="I1082">
        <v>1288.0755615</v>
      </c>
      <c r="J1082">
        <v>1269.0483397999999</v>
      </c>
      <c r="K1082">
        <v>80</v>
      </c>
      <c r="L1082">
        <v>79.929168700999995</v>
      </c>
      <c r="M1082">
        <v>50</v>
      </c>
      <c r="N1082">
        <v>49.349815368999998</v>
      </c>
    </row>
    <row r="1083" spans="1:14" x14ac:dyDescent="0.25">
      <c r="A1083">
        <v>737.29235000000006</v>
      </c>
      <c r="B1083" s="1">
        <f>DATE(2012,5,7) + TIME(7,0,59)</f>
        <v>41036.292349537034</v>
      </c>
      <c r="C1083">
        <v>2400</v>
      </c>
      <c r="D1083">
        <v>0</v>
      </c>
      <c r="E1083">
        <v>0</v>
      </c>
      <c r="F1083">
        <v>2400</v>
      </c>
      <c r="G1083">
        <v>1389.1494141000001</v>
      </c>
      <c r="H1083">
        <v>1374.9006348</v>
      </c>
      <c r="I1083">
        <v>1288.0703125</v>
      </c>
      <c r="J1083">
        <v>1269.0412598</v>
      </c>
      <c r="K1083">
        <v>80</v>
      </c>
      <c r="L1083">
        <v>79.932746886999993</v>
      </c>
      <c r="M1083">
        <v>50</v>
      </c>
      <c r="N1083">
        <v>49.329292297000002</v>
      </c>
    </row>
    <row r="1084" spans="1:14" x14ac:dyDescent="0.25">
      <c r="A1084">
        <v>737.53013799999997</v>
      </c>
      <c r="B1084" s="1">
        <f>DATE(2012,5,7) + TIME(12,43,23)</f>
        <v>41036.530127314814</v>
      </c>
      <c r="C1084">
        <v>2400</v>
      </c>
      <c r="D1084">
        <v>0</v>
      </c>
      <c r="E1084">
        <v>0</v>
      </c>
      <c r="F1084">
        <v>2400</v>
      </c>
      <c r="G1084">
        <v>1389.0765381000001</v>
      </c>
      <c r="H1084">
        <v>1374.8325195</v>
      </c>
      <c r="I1084">
        <v>1288.0648193</v>
      </c>
      <c r="J1084">
        <v>1269.0341797000001</v>
      </c>
      <c r="K1084">
        <v>80</v>
      </c>
      <c r="L1084">
        <v>79.935577393000003</v>
      </c>
      <c r="M1084">
        <v>50</v>
      </c>
      <c r="N1084">
        <v>49.308502197000003</v>
      </c>
    </row>
    <row r="1085" spans="1:14" x14ac:dyDescent="0.25">
      <c r="A1085">
        <v>737.77245300000004</v>
      </c>
      <c r="B1085" s="1">
        <f>DATE(2012,5,7) + TIME(18,32,19)</f>
        <v>41036.77244212963</v>
      </c>
      <c r="C1085">
        <v>2400</v>
      </c>
      <c r="D1085">
        <v>0</v>
      </c>
      <c r="E1085">
        <v>0</v>
      </c>
      <c r="F1085">
        <v>2400</v>
      </c>
      <c r="G1085">
        <v>1389.0048827999999</v>
      </c>
      <c r="H1085">
        <v>1374.7655029</v>
      </c>
      <c r="I1085">
        <v>1288.0593262</v>
      </c>
      <c r="J1085">
        <v>1269.0269774999999</v>
      </c>
      <c r="K1085">
        <v>80</v>
      </c>
      <c r="L1085">
        <v>79.937828064000001</v>
      </c>
      <c r="M1085">
        <v>50</v>
      </c>
      <c r="N1085">
        <v>49.287395476999997</v>
      </c>
    </row>
    <row r="1086" spans="1:14" x14ac:dyDescent="0.25">
      <c r="A1086">
        <v>738.02003999999999</v>
      </c>
      <c r="B1086" s="1">
        <f>DATE(2012,5,8) + TIME(0,28,51)</f>
        <v>41037.02003472222</v>
      </c>
      <c r="C1086">
        <v>2400</v>
      </c>
      <c r="D1086">
        <v>0</v>
      </c>
      <c r="E1086">
        <v>0</v>
      </c>
      <c r="F1086">
        <v>2400</v>
      </c>
      <c r="G1086">
        <v>1388.934082</v>
      </c>
      <c r="H1086">
        <v>1374.6990966999999</v>
      </c>
      <c r="I1086">
        <v>1288.0537108999999</v>
      </c>
      <c r="J1086">
        <v>1269.0195312000001</v>
      </c>
      <c r="K1086">
        <v>80</v>
      </c>
      <c r="L1086">
        <v>79.939628600999995</v>
      </c>
      <c r="M1086">
        <v>50</v>
      </c>
      <c r="N1086">
        <v>49.265930175999998</v>
      </c>
    </row>
    <row r="1087" spans="1:14" x14ac:dyDescent="0.25">
      <c r="A1087">
        <v>738.27369599999997</v>
      </c>
      <c r="B1087" s="1">
        <f>DATE(2012,5,8) + TIME(6,34,7)</f>
        <v>41037.273692129631</v>
      </c>
      <c r="C1087">
        <v>2400</v>
      </c>
      <c r="D1087">
        <v>0</v>
      </c>
      <c r="E1087">
        <v>0</v>
      </c>
      <c r="F1087">
        <v>2400</v>
      </c>
      <c r="G1087">
        <v>1388.8637695</v>
      </c>
      <c r="H1087">
        <v>1374.6333007999999</v>
      </c>
      <c r="I1087">
        <v>1288.0479736</v>
      </c>
      <c r="J1087">
        <v>1269.0119629000001</v>
      </c>
      <c r="K1087">
        <v>80</v>
      </c>
      <c r="L1087">
        <v>79.941062927000004</v>
      </c>
      <c r="M1087">
        <v>50</v>
      </c>
      <c r="N1087">
        <v>49.244049072000003</v>
      </c>
    </row>
    <row r="1088" spans="1:14" x14ac:dyDescent="0.25">
      <c r="A1088">
        <v>738.53427799999997</v>
      </c>
      <c r="B1088" s="1">
        <f>DATE(2012,5,8) + TIME(12,49,21)</f>
        <v>41037.534270833334</v>
      </c>
      <c r="C1088">
        <v>2400</v>
      </c>
      <c r="D1088">
        <v>0</v>
      </c>
      <c r="E1088">
        <v>0</v>
      </c>
      <c r="F1088">
        <v>2400</v>
      </c>
      <c r="G1088">
        <v>1388.7938231999999</v>
      </c>
      <c r="H1088">
        <v>1374.567749</v>
      </c>
      <c r="I1088">
        <v>1288.0421143000001</v>
      </c>
      <c r="J1088">
        <v>1269.0042725000001</v>
      </c>
      <c r="K1088">
        <v>80</v>
      </c>
      <c r="L1088">
        <v>79.942222595000004</v>
      </c>
      <c r="M1088">
        <v>50</v>
      </c>
      <c r="N1088">
        <v>49.221691131999997</v>
      </c>
    </row>
    <row r="1089" spans="1:14" x14ac:dyDescent="0.25">
      <c r="A1089">
        <v>738.80280400000004</v>
      </c>
      <c r="B1089" s="1">
        <f>DATE(2012,5,8) + TIME(19,16,2)</f>
        <v>41037.802800925929</v>
      </c>
      <c r="C1089">
        <v>2400</v>
      </c>
      <c r="D1089">
        <v>0</v>
      </c>
      <c r="E1089">
        <v>0</v>
      </c>
      <c r="F1089">
        <v>2400</v>
      </c>
      <c r="G1089">
        <v>1388.7241211</v>
      </c>
      <c r="H1089">
        <v>1374.5024414</v>
      </c>
      <c r="I1089">
        <v>1288.0361327999999</v>
      </c>
      <c r="J1089">
        <v>1268.9963379000001</v>
      </c>
      <c r="K1089">
        <v>80</v>
      </c>
      <c r="L1089">
        <v>79.943153381000002</v>
      </c>
      <c r="M1089">
        <v>50</v>
      </c>
      <c r="N1089">
        <v>49.198791503999999</v>
      </c>
    </row>
    <row r="1090" spans="1:14" x14ac:dyDescent="0.25">
      <c r="A1090">
        <v>739.08036700000002</v>
      </c>
      <c r="B1090" s="1">
        <f>DATE(2012,5,9) + TIME(1,55,43)</f>
        <v>41038.080358796295</v>
      </c>
      <c r="C1090">
        <v>2400</v>
      </c>
      <c r="D1090">
        <v>0</v>
      </c>
      <c r="E1090">
        <v>0</v>
      </c>
      <c r="F1090">
        <v>2400</v>
      </c>
      <c r="G1090">
        <v>1388.6542969</v>
      </c>
      <c r="H1090">
        <v>1374.4368896000001</v>
      </c>
      <c r="I1090">
        <v>1288.0299072</v>
      </c>
      <c r="J1090">
        <v>1268.9880370999999</v>
      </c>
      <c r="K1090">
        <v>80</v>
      </c>
      <c r="L1090">
        <v>79.943916321000003</v>
      </c>
      <c r="M1090">
        <v>50</v>
      </c>
      <c r="N1090">
        <v>49.175270081000001</v>
      </c>
    </row>
    <row r="1091" spans="1:14" x14ac:dyDescent="0.25">
      <c r="A1091">
        <v>739.36804600000005</v>
      </c>
      <c r="B1091" s="1">
        <f>DATE(2012,5,9) + TIME(8,49,59)</f>
        <v>41038.368043981478</v>
      </c>
      <c r="C1091">
        <v>2400</v>
      </c>
      <c r="D1091">
        <v>0</v>
      </c>
      <c r="E1091">
        <v>0</v>
      </c>
      <c r="F1091">
        <v>2400</v>
      </c>
      <c r="G1091">
        <v>1388.5841064000001</v>
      </c>
      <c r="H1091">
        <v>1374.3710937999999</v>
      </c>
      <c r="I1091">
        <v>1288.0235596</v>
      </c>
      <c r="J1091">
        <v>1268.9796143000001</v>
      </c>
      <c r="K1091">
        <v>80</v>
      </c>
      <c r="L1091">
        <v>79.944541931000003</v>
      </c>
      <c r="M1091">
        <v>50</v>
      </c>
      <c r="N1091">
        <v>49.151050568000002</v>
      </c>
    </row>
    <row r="1092" spans="1:14" x14ac:dyDescent="0.25">
      <c r="A1092">
        <v>739.66519000000005</v>
      </c>
      <c r="B1092" s="1">
        <f>DATE(2012,5,9) + TIME(15,57,52)</f>
        <v>41038.665185185186</v>
      </c>
      <c r="C1092">
        <v>2400</v>
      </c>
      <c r="D1092">
        <v>0</v>
      </c>
      <c r="E1092">
        <v>0</v>
      </c>
      <c r="F1092">
        <v>2400</v>
      </c>
      <c r="G1092">
        <v>1388.5134277</v>
      </c>
      <c r="H1092">
        <v>1374.3048096</v>
      </c>
      <c r="I1092">
        <v>1288.0169678</v>
      </c>
      <c r="J1092">
        <v>1268.9708252</v>
      </c>
      <c r="K1092">
        <v>80</v>
      </c>
      <c r="L1092">
        <v>79.945045471</v>
      </c>
      <c r="M1092">
        <v>50</v>
      </c>
      <c r="N1092">
        <v>49.126159668</v>
      </c>
    </row>
    <row r="1093" spans="1:14" x14ac:dyDescent="0.25">
      <c r="A1093">
        <v>739.97047099999997</v>
      </c>
      <c r="B1093" s="1">
        <f>DATE(2012,5,9) + TIME(23,17,28)</f>
        <v>41038.970462962963</v>
      </c>
      <c r="C1093">
        <v>2400</v>
      </c>
      <c r="D1093">
        <v>0</v>
      </c>
      <c r="E1093">
        <v>0</v>
      </c>
      <c r="F1093">
        <v>2400</v>
      </c>
      <c r="G1093">
        <v>1388.4423827999999</v>
      </c>
      <c r="H1093">
        <v>1374.2382812000001</v>
      </c>
      <c r="I1093">
        <v>1288.0100098</v>
      </c>
      <c r="J1093">
        <v>1268.9616699000001</v>
      </c>
      <c r="K1093">
        <v>80</v>
      </c>
      <c r="L1093">
        <v>79.945465088000006</v>
      </c>
      <c r="M1093">
        <v>50</v>
      </c>
      <c r="N1093">
        <v>49.100681305000002</v>
      </c>
    </row>
    <row r="1094" spans="1:14" x14ac:dyDescent="0.25">
      <c r="A1094">
        <v>740.28495799999996</v>
      </c>
      <c r="B1094" s="1">
        <f>DATE(2012,5,10) + TIME(6,50,20)</f>
        <v>41039.284953703704</v>
      </c>
      <c r="C1094">
        <v>2400</v>
      </c>
      <c r="D1094">
        <v>0</v>
      </c>
      <c r="E1094">
        <v>0</v>
      </c>
      <c r="F1094">
        <v>2400</v>
      </c>
      <c r="G1094">
        <v>1388.371582</v>
      </c>
      <c r="H1094">
        <v>1374.171875</v>
      </c>
      <c r="I1094">
        <v>1288.0029297000001</v>
      </c>
      <c r="J1094">
        <v>1268.9522704999999</v>
      </c>
      <c r="K1094">
        <v>80</v>
      </c>
      <c r="L1094">
        <v>79.945808411000002</v>
      </c>
      <c r="M1094">
        <v>50</v>
      </c>
      <c r="N1094">
        <v>49.074550629000001</v>
      </c>
    </row>
    <row r="1095" spans="1:14" x14ac:dyDescent="0.25">
      <c r="A1095">
        <v>740.60985500000004</v>
      </c>
      <c r="B1095" s="1">
        <f>DATE(2012,5,10) + TIME(14,38,11)</f>
        <v>41039.609849537039</v>
      </c>
      <c r="C1095">
        <v>2400</v>
      </c>
      <c r="D1095">
        <v>0</v>
      </c>
      <c r="E1095">
        <v>0</v>
      </c>
      <c r="F1095">
        <v>2400</v>
      </c>
      <c r="G1095">
        <v>1388.3005370999999</v>
      </c>
      <c r="H1095">
        <v>1374.1052245999999</v>
      </c>
      <c r="I1095">
        <v>1287.9957274999999</v>
      </c>
      <c r="J1095">
        <v>1268.9426269999999</v>
      </c>
      <c r="K1095">
        <v>80</v>
      </c>
      <c r="L1095">
        <v>79.946090698000006</v>
      </c>
      <c r="M1095">
        <v>50</v>
      </c>
      <c r="N1095">
        <v>49.047691344999997</v>
      </c>
    </row>
    <row r="1096" spans="1:14" x14ac:dyDescent="0.25">
      <c r="A1096">
        <v>740.94649900000002</v>
      </c>
      <c r="B1096" s="1">
        <f>DATE(2012,5,10) + TIME(22,42,57)</f>
        <v>41039.946493055555</v>
      </c>
      <c r="C1096">
        <v>2400</v>
      </c>
      <c r="D1096">
        <v>0</v>
      </c>
      <c r="E1096">
        <v>0</v>
      </c>
      <c r="F1096">
        <v>2400</v>
      </c>
      <c r="G1096">
        <v>1388.2292480000001</v>
      </c>
      <c r="H1096">
        <v>1374.0383300999999</v>
      </c>
      <c r="I1096">
        <v>1287.9881591999999</v>
      </c>
      <c r="J1096">
        <v>1268.9326172000001</v>
      </c>
      <c r="K1096">
        <v>80</v>
      </c>
      <c r="L1096">
        <v>79.946327209000003</v>
      </c>
      <c r="M1096">
        <v>50</v>
      </c>
      <c r="N1096">
        <v>49.020027161000002</v>
      </c>
    </row>
    <row r="1097" spans="1:14" x14ac:dyDescent="0.25">
      <c r="A1097">
        <v>741.29620199999999</v>
      </c>
      <c r="B1097" s="1">
        <f>DATE(2012,5,11) + TIME(7,6,31)</f>
        <v>41040.29619212963</v>
      </c>
      <c r="C1097">
        <v>2400</v>
      </c>
      <c r="D1097">
        <v>0</v>
      </c>
      <c r="E1097">
        <v>0</v>
      </c>
      <c r="F1097">
        <v>2400</v>
      </c>
      <c r="G1097">
        <v>1388.1573486</v>
      </c>
      <c r="H1097">
        <v>1373.9709473</v>
      </c>
      <c r="I1097">
        <v>1287.9803466999999</v>
      </c>
      <c r="J1097">
        <v>1268.9222411999999</v>
      </c>
      <c r="K1097">
        <v>80</v>
      </c>
      <c r="L1097">
        <v>79.946525574000006</v>
      </c>
      <c r="M1097">
        <v>50</v>
      </c>
      <c r="N1097">
        <v>48.991466522000003</v>
      </c>
    </row>
    <row r="1098" spans="1:14" x14ac:dyDescent="0.25">
      <c r="A1098">
        <v>741.65733499999999</v>
      </c>
      <c r="B1098" s="1">
        <f>DATE(2012,5,11) + TIME(15,46,33)</f>
        <v>41040.657326388886</v>
      </c>
      <c r="C1098">
        <v>2400</v>
      </c>
      <c r="D1098">
        <v>0</v>
      </c>
      <c r="E1098">
        <v>0</v>
      </c>
      <c r="F1098">
        <v>2400</v>
      </c>
      <c r="G1098">
        <v>1388.0848389</v>
      </c>
      <c r="H1098">
        <v>1373.902832</v>
      </c>
      <c r="I1098">
        <v>1287.972168</v>
      </c>
      <c r="J1098">
        <v>1268.911499</v>
      </c>
      <c r="K1098">
        <v>80</v>
      </c>
      <c r="L1098">
        <v>79.946693420000003</v>
      </c>
      <c r="M1098">
        <v>50</v>
      </c>
      <c r="N1098">
        <v>48.962089538999997</v>
      </c>
    </row>
    <row r="1099" spans="1:14" x14ac:dyDescent="0.25">
      <c r="A1099">
        <v>742.02085399999999</v>
      </c>
      <c r="B1099" s="1">
        <f>DATE(2012,5,12) + TIME(0,30,1)</f>
        <v>41041.020844907405</v>
      </c>
      <c r="C1099">
        <v>2400</v>
      </c>
      <c r="D1099">
        <v>0</v>
      </c>
      <c r="E1099">
        <v>0</v>
      </c>
      <c r="F1099">
        <v>2400</v>
      </c>
      <c r="G1099">
        <v>1388.0119629000001</v>
      </c>
      <c r="H1099">
        <v>1373.8344727000001</v>
      </c>
      <c r="I1099">
        <v>1287.9637451000001</v>
      </c>
      <c r="J1099">
        <v>1268.9003906</v>
      </c>
      <c r="K1099">
        <v>80</v>
      </c>
      <c r="L1099">
        <v>79.946830750000004</v>
      </c>
      <c r="M1099">
        <v>50</v>
      </c>
      <c r="N1099">
        <v>48.932415009000003</v>
      </c>
    </row>
    <row r="1100" spans="1:14" x14ac:dyDescent="0.25">
      <c r="A1100">
        <v>742.38798599999996</v>
      </c>
      <c r="B1100" s="1">
        <f>DATE(2012,5,12) + TIME(9,18,42)</f>
        <v>41041.387986111113</v>
      </c>
      <c r="C1100">
        <v>2400</v>
      </c>
      <c r="D1100">
        <v>0</v>
      </c>
      <c r="E1100">
        <v>0</v>
      </c>
      <c r="F1100">
        <v>2400</v>
      </c>
      <c r="G1100">
        <v>1387.9405518000001</v>
      </c>
      <c r="H1100">
        <v>1373.7674560999999</v>
      </c>
      <c r="I1100">
        <v>1287.9552002</v>
      </c>
      <c r="J1100">
        <v>1268.8891602000001</v>
      </c>
      <c r="K1100">
        <v>80</v>
      </c>
      <c r="L1100">
        <v>79.946945189999994</v>
      </c>
      <c r="M1100">
        <v>50</v>
      </c>
      <c r="N1100">
        <v>48.902439117</v>
      </c>
    </row>
    <row r="1101" spans="1:14" x14ac:dyDescent="0.25">
      <c r="A1101">
        <v>742.75991099999999</v>
      </c>
      <c r="B1101" s="1">
        <f>DATE(2012,5,12) + TIME(18,14,16)</f>
        <v>41041.75990740741</v>
      </c>
      <c r="C1101">
        <v>2400</v>
      </c>
      <c r="D1101">
        <v>0</v>
      </c>
      <c r="E1101">
        <v>0</v>
      </c>
      <c r="F1101">
        <v>2400</v>
      </c>
      <c r="G1101">
        <v>1387.8703613</v>
      </c>
      <c r="H1101">
        <v>1373.7016602000001</v>
      </c>
      <c r="I1101">
        <v>1287.9465332</v>
      </c>
      <c r="J1101">
        <v>1268.8776855000001</v>
      </c>
      <c r="K1101">
        <v>80</v>
      </c>
      <c r="L1101">
        <v>79.947044372999997</v>
      </c>
      <c r="M1101">
        <v>50</v>
      </c>
      <c r="N1101">
        <v>48.872131348000003</v>
      </c>
    </row>
    <row r="1102" spans="1:14" x14ac:dyDescent="0.25">
      <c r="A1102">
        <v>743.13782200000003</v>
      </c>
      <c r="B1102" s="1">
        <f>DATE(2012,5,13) + TIME(3,18,27)</f>
        <v>41042.137812499997</v>
      </c>
      <c r="C1102">
        <v>2400</v>
      </c>
      <c r="D1102">
        <v>0</v>
      </c>
      <c r="E1102">
        <v>0</v>
      </c>
      <c r="F1102">
        <v>2400</v>
      </c>
      <c r="G1102">
        <v>1387.8011475000001</v>
      </c>
      <c r="H1102">
        <v>1373.6365966999999</v>
      </c>
      <c r="I1102">
        <v>1287.9378661999999</v>
      </c>
      <c r="J1102">
        <v>1268.8662108999999</v>
      </c>
      <c r="K1102">
        <v>80</v>
      </c>
      <c r="L1102">
        <v>79.947128296000002</v>
      </c>
      <c r="M1102">
        <v>50</v>
      </c>
      <c r="N1102">
        <v>48.841449738000001</v>
      </c>
    </row>
    <row r="1103" spans="1:14" x14ac:dyDescent="0.25">
      <c r="A1103">
        <v>743.521793</v>
      </c>
      <c r="B1103" s="1">
        <f>DATE(2012,5,13) + TIME(12,31,22)</f>
        <v>41042.521782407406</v>
      </c>
      <c r="C1103">
        <v>2400</v>
      </c>
      <c r="D1103">
        <v>0</v>
      </c>
      <c r="E1103">
        <v>0</v>
      </c>
      <c r="F1103">
        <v>2400</v>
      </c>
      <c r="G1103">
        <v>1387.7325439000001</v>
      </c>
      <c r="H1103">
        <v>1373.5722656</v>
      </c>
      <c r="I1103">
        <v>1287.9289550999999</v>
      </c>
      <c r="J1103">
        <v>1268.8543701000001</v>
      </c>
      <c r="K1103">
        <v>80</v>
      </c>
      <c r="L1103">
        <v>79.947196959999999</v>
      </c>
      <c r="M1103">
        <v>50</v>
      </c>
      <c r="N1103">
        <v>48.810390472000002</v>
      </c>
    </row>
    <row r="1104" spans="1:14" x14ac:dyDescent="0.25">
      <c r="A1104">
        <v>743.91296699999998</v>
      </c>
      <c r="B1104" s="1">
        <f>DATE(2012,5,13) + TIME(21,54,40)</f>
        <v>41042.912962962961</v>
      </c>
      <c r="C1104">
        <v>2400</v>
      </c>
      <c r="D1104">
        <v>0</v>
      </c>
      <c r="E1104">
        <v>0</v>
      </c>
      <c r="F1104">
        <v>2400</v>
      </c>
      <c r="G1104">
        <v>1387.6646728999999</v>
      </c>
      <c r="H1104">
        <v>1373.5085449000001</v>
      </c>
      <c r="I1104">
        <v>1287.9200439000001</v>
      </c>
      <c r="J1104">
        <v>1268.8424072</v>
      </c>
      <c r="K1104">
        <v>80</v>
      </c>
      <c r="L1104">
        <v>79.947250366000006</v>
      </c>
      <c r="M1104">
        <v>50</v>
      </c>
      <c r="N1104">
        <v>48.778900145999998</v>
      </c>
    </row>
    <row r="1105" spans="1:14" x14ac:dyDescent="0.25">
      <c r="A1105">
        <v>744.31257200000005</v>
      </c>
      <c r="B1105" s="1">
        <f>DATE(2012,5,14) + TIME(7,30,6)</f>
        <v>41043.312569444446</v>
      </c>
      <c r="C1105">
        <v>2400</v>
      </c>
      <c r="D1105">
        <v>0</v>
      </c>
      <c r="E1105">
        <v>0</v>
      </c>
      <c r="F1105">
        <v>2400</v>
      </c>
      <c r="G1105">
        <v>1387.597168</v>
      </c>
      <c r="H1105">
        <v>1373.4450684000001</v>
      </c>
      <c r="I1105">
        <v>1287.9107666</v>
      </c>
      <c r="J1105">
        <v>1268.8302002</v>
      </c>
      <c r="K1105">
        <v>80</v>
      </c>
      <c r="L1105">
        <v>79.947303771999998</v>
      </c>
      <c r="M1105">
        <v>50</v>
      </c>
      <c r="N1105">
        <v>48.746906281000001</v>
      </c>
    </row>
    <row r="1106" spans="1:14" x14ac:dyDescent="0.25">
      <c r="A1106">
        <v>744.72192500000006</v>
      </c>
      <c r="B1106" s="1">
        <f>DATE(2012,5,14) + TIME(17,19,34)</f>
        <v>41043.721921296295</v>
      </c>
      <c r="C1106">
        <v>2400</v>
      </c>
      <c r="D1106">
        <v>0</v>
      </c>
      <c r="E1106">
        <v>0</v>
      </c>
      <c r="F1106">
        <v>2400</v>
      </c>
      <c r="G1106">
        <v>1387.5299072</v>
      </c>
      <c r="H1106">
        <v>1373.3819579999999</v>
      </c>
      <c r="I1106">
        <v>1287.9013672000001</v>
      </c>
      <c r="J1106">
        <v>1268.8176269999999</v>
      </c>
      <c r="K1106">
        <v>80</v>
      </c>
      <c r="L1106">
        <v>79.947349548000005</v>
      </c>
      <c r="M1106">
        <v>50</v>
      </c>
      <c r="N1106">
        <v>48.714328766000001</v>
      </c>
    </row>
    <row r="1107" spans="1:14" x14ac:dyDescent="0.25">
      <c r="A1107">
        <v>745.14245400000004</v>
      </c>
      <c r="B1107" s="1">
        <f>DATE(2012,5,15) + TIME(3,25,8)</f>
        <v>41044.142453703702</v>
      </c>
      <c r="C1107">
        <v>2400</v>
      </c>
      <c r="D1107">
        <v>0</v>
      </c>
      <c r="E1107">
        <v>0</v>
      </c>
      <c r="F1107">
        <v>2400</v>
      </c>
      <c r="G1107">
        <v>1387.4627685999999</v>
      </c>
      <c r="H1107">
        <v>1373.3187256000001</v>
      </c>
      <c r="I1107">
        <v>1287.8917236</v>
      </c>
      <c r="J1107">
        <v>1268.8046875</v>
      </c>
      <c r="K1107">
        <v>80</v>
      </c>
      <c r="L1107">
        <v>79.947387695000003</v>
      </c>
      <c r="M1107">
        <v>50</v>
      </c>
      <c r="N1107">
        <v>48.681076050000001</v>
      </c>
    </row>
    <row r="1108" spans="1:14" x14ac:dyDescent="0.25">
      <c r="A1108">
        <v>745.57592</v>
      </c>
      <c r="B1108" s="1">
        <f>DATE(2012,5,15) + TIME(13,49,19)</f>
        <v>41044.575914351852</v>
      </c>
      <c r="C1108">
        <v>2400</v>
      </c>
      <c r="D1108">
        <v>0</v>
      </c>
      <c r="E1108">
        <v>0</v>
      </c>
      <c r="F1108">
        <v>2400</v>
      </c>
      <c r="G1108">
        <v>1387.3952637</v>
      </c>
      <c r="H1108">
        <v>1373.2553711</v>
      </c>
      <c r="I1108">
        <v>1287.8818358999999</v>
      </c>
      <c r="J1108">
        <v>1268.7915039</v>
      </c>
      <c r="K1108">
        <v>80</v>
      </c>
      <c r="L1108">
        <v>79.947418213000006</v>
      </c>
      <c r="M1108">
        <v>50</v>
      </c>
      <c r="N1108">
        <v>48.647033690999997</v>
      </c>
    </row>
    <row r="1109" spans="1:14" x14ac:dyDescent="0.25">
      <c r="A1109">
        <v>746.024044</v>
      </c>
      <c r="B1109" s="1">
        <f>DATE(2012,5,16) + TIME(0,34,37)</f>
        <v>41045.024039351854</v>
      </c>
      <c r="C1109">
        <v>2400</v>
      </c>
      <c r="D1109">
        <v>0</v>
      </c>
      <c r="E1109">
        <v>0</v>
      </c>
      <c r="F1109">
        <v>2400</v>
      </c>
      <c r="G1109">
        <v>1387.3275146000001</v>
      </c>
      <c r="H1109">
        <v>1373.1915283000001</v>
      </c>
      <c r="I1109">
        <v>1287.871582</v>
      </c>
      <c r="J1109">
        <v>1268.7777100000001</v>
      </c>
      <c r="K1109">
        <v>80</v>
      </c>
      <c r="L1109">
        <v>79.947448730000005</v>
      </c>
      <c r="M1109">
        <v>50</v>
      </c>
      <c r="N1109">
        <v>48.612091063999998</v>
      </c>
    </row>
    <row r="1110" spans="1:14" x14ac:dyDescent="0.25">
      <c r="A1110">
        <v>746.48762499999998</v>
      </c>
      <c r="B1110" s="1">
        <f>DATE(2012,5,16) + TIME(11,42,10)</f>
        <v>41045.487615740742</v>
      </c>
      <c r="C1110">
        <v>2400</v>
      </c>
      <c r="D1110">
        <v>0</v>
      </c>
      <c r="E1110">
        <v>0</v>
      </c>
      <c r="F1110">
        <v>2400</v>
      </c>
      <c r="G1110">
        <v>1387.2590332</v>
      </c>
      <c r="H1110">
        <v>1373.1271973</v>
      </c>
      <c r="I1110">
        <v>1287.8608397999999</v>
      </c>
      <c r="J1110">
        <v>1268.7635498</v>
      </c>
      <c r="K1110">
        <v>80</v>
      </c>
      <c r="L1110">
        <v>79.947479247999993</v>
      </c>
      <c r="M1110">
        <v>50</v>
      </c>
      <c r="N1110">
        <v>48.576179504000002</v>
      </c>
    </row>
    <row r="1111" spans="1:14" x14ac:dyDescent="0.25">
      <c r="A1111">
        <v>746.95964000000004</v>
      </c>
      <c r="B1111" s="1">
        <f>DATE(2012,5,16) + TIME(23,1,52)</f>
        <v>41045.959629629629</v>
      </c>
      <c r="C1111">
        <v>2400</v>
      </c>
      <c r="D1111">
        <v>0</v>
      </c>
      <c r="E1111">
        <v>0</v>
      </c>
      <c r="F1111">
        <v>2400</v>
      </c>
      <c r="G1111">
        <v>1387.1899414</v>
      </c>
      <c r="H1111">
        <v>1373.0621338000001</v>
      </c>
      <c r="I1111">
        <v>1287.8498535000001</v>
      </c>
      <c r="J1111">
        <v>1268.7487793</v>
      </c>
      <c r="K1111">
        <v>80</v>
      </c>
      <c r="L1111">
        <v>79.947502135999997</v>
      </c>
      <c r="M1111">
        <v>50</v>
      </c>
      <c r="N1111">
        <v>48.539619446000003</v>
      </c>
    </row>
    <row r="1112" spans="1:14" x14ac:dyDescent="0.25">
      <c r="A1112">
        <v>747.44154500000002</v>
      </c>
      <c r="B1112" s="1">
        <f>DATE(2012,5,17) + TIME(10,35,49)</f>
        <v>41046.44153935185</v>
      </c>
      <c r="C1112">
        <v>2400</v>
      </c>
      <c r="D1112">
        <v>0</v>
      </c>
      <c r="E1112">
        <v>0</v>
      </c>
      <c r="F1112">
        <v>2400</v>
      </c>
      <c r="G1112">
        <v>1387.1212158000001</v>
      </c>
      <c r="H1112">
        <v>1372.9974365</v>
      </c>
      <c r="I1112">
        <v>1287.838501</v>
      </c>
      <c r="J1112">
        <v>1268.7337646000001</v>
      </c>
      <c r="K1112">
        <v>80</v>
      </c>
      <c r="L1112">
        <v>79.947525024000001</v>
      </c>
      <c r="M1112">
        <v>50</v>
      </c>
      <c r="N1112">
        <v>48.502395630000002</v>
      </c>
    </row>
    <row r="1113" spans="1:14" x14ac:dyDescent="0.25">
      <c r="A1113">
        <v>747.93476199999998</v>
      </c>
      <c r="B1113" s="1">
        <f>DATE(2012,5,17) + TIME(22,26,3)</f>
        <v>41046.934756944444</v>
      </c>
      <c r="C1113">
        <v>2400</v>
      </c>
      <c r="D1113">
        <v>0</v>
      </c>
      <c r="E1113">
        <v>0</v>
      </c>
      <c r="F1113">
        <v>2400</v>
      </c>
      <c r="G1113">
        <v>1387.0527344</v>
      </c>
      <c r="H1113">
        <v>1372.9328613</v>
      </c>
      <c r="I1113">
        <v>1287.8269043</v>
      </c>
      <c r="J1113">
        <v>1268.7182617000001</v>
      </c>
      <c r="K1113">
        <v>80</v>
      </c>
      <c r="L1113">
        <v>79.947540282999995</v>
      </c>
      <c r="M1113">
        <v>50</v>
      </c>
      <c r="N1113">
        <v>48.464458466000004</v>
      </c>
    </row>
    <row r="1114" spans="1:14" x14ac:dyDescent="0.25">
      <c r="A1114">
        <v>748.43434300000001</v>
      </c>
      <c r="B1114" s="1">
        <f>DATE(2012,5,18) + TIME(10,25,27)</f>
        <v>41047.434340277781</v>
      </c>
      <c r="C1114">
        <v>2400</v>
      </c>
      <c r="D1114">
        <v>0</v>
      </c>
      <c r="E1114">
        <v>0</v>
      </c>
      <c r="F1114">
        <v>2400</v>
      </c>
      <c r="G1114">
        <v>1386.9842529</v>
      </c>
      <c r="H1114">
        <v>1372.8682861</v>
      </c>
      <c r="I1114">
        <v>1287.8149414</v>
      </c>
      <c r="J1114">
        <v>1268.7023925999999</v>
      </c>
      <c r="K1114">
        <v>80</v>
      </c>
      <c r="L1114">
        <v>79.947563170999999</v>
      </c>
      <c r="M1114">
        <v>50</v>
      </c>
      <c r="N1114">
        <v>48.426052093999999</v>
      </c>
    </row>
    <row r="1115" spans="1:14" x14ac:dyDescent="0.25">
      <c r="A1115">
        <v>748.93759699999998</v>
      </c>
      <c r="B1115" s="1">
        <f>DATE(2012,5,18) + TIME(22,30,8)</f>
        <v>41047.937592592592</v>
      </c>
      <c r="C1115">
        <v>2400</v>
      </c>
      <c r="D1115">
        <v>0</v>
      </c>
      <c r="E1115">
        <v>0</v>
      </c>
      <c r="F1115">
        <v>2400</v>
      </c>
      <c r="G1115">
        <v>1386.9165039</v>
      </c>
      <c r="H1115">
        <v>1372.8044434000001</v>
      </c>
      <c r="I1115">
        <v>1287.8028564000001</v>
      </c>
      <c r="J1115">
        <v>1268.6862793</v>
      </c>
      <c r="K1115">
        <v>80</v>
      </c>
      <c r="L1115">
        <v>79.947578429999993</v>
      </c>
      <c r="M1115">
        <v>50</v>
      </c>
      <c r="N1115">
        <v>48.387359619000001</v>
      </c>
    </row>
    <row r="1116" spans="1:14" x14ac:dyDescent="0.25">
      <c r="A1116">
        <v>749.44607199999996</v>
      </c>
      <c r="B1116" s="1">
        <f>DATE(2012,5,19) + TIME(10,42,20)</f>
        <v>41048.446064814816</v>
      </c>
      <c r="C1116">
        <v>2400</v>
      </c>
      <c r="D1116">
        <v>0</v>
      </c>
      <c r="E1116">
        <v>0</v>
      </c>
      <c r="F1116">
        <v>2400</v>
      </c>
      <c r="G1116">
        <v>1386.8498535000001</v>
      </c>
      <c r="H1116">
        <v>1372.7414550999999</v>
      </c>
      <c r="I1116">
        <v>1287.7906493999999</v>
      </c>
      <c r="J1116">
        <v>1268.6699219</v>
      </c>
      <c r="K1116">
        <v>80</v>
      </c>
      <c r="L1116">
        <v>79.947593689000001</v>
      </c>
      <c r="M1116">
        <v>50</v>
      </c>
      <c r="N1116">
        <v>48.348369597999998</v>
      </c>
    </row>
    <row r="1117" spans="1:14" x14ac:dyDescent="0.25">
      <c r="A1117">
        <v>749.96130900000003</v>
      </c>
      <c r="B1117" s="1">
        <f>DATE(2012,5,19) + TIME(23,4,17)</f>
        <v>41048.96130787037</v>
      </c>
      <c r="C1117">
        <v>2400</v>
      </c>
      <c r="D1117">
        <v>0</v>
      </c>
      <c r="E1117">
        <v>0</v>
      </c>
      <c r="F1117">
        <v>2400</v>
      </c>
      <c r="G1117">
        <v>1386.7839355000001</v>
      </c>
      <c r="H1117">
        <v>1372.6793213000001</v>
      </c>
      <c r="I1117">
        <v>1287.7781981999999</v>
      </c>
      <c r="J1117">
        <v>1268.6534423999999</v>
      </c>
      <c r="K1117">
        <v>80</v>
      </c>
      <c r="L1117">
        <v>79.947608947999996</v>
      </c>
      <c r="M1117">
        <v>50</v>
      </c>
      <c r="N1117">
        <v>48.309036255000002</v>
      </c>
    </row>
    <row r="1118" spans="1:14" x14ac:dyDescent="0.25">
      <c r="A1118">
        <v>750.48489099999995</v>
      </c>
      <c r="B1118" s="1">
        <f>DATE(2012,5,20) + TIME(11,38,14)</f>
        <v>41049.484884259262</v>
      </c>
      <c r="C1118">
        <v>2400</v>
      </c>
      <c r="D1118">
        <v>0</v>
      </c>
      <c r="E1118">
        <v>0</v>
      </c>
      <c r="F1118">
        <v>2400</v>
      </c>
      <c r="G1118">
        <v>1386.7186279</v>
      </c>
      <c r="H1118">
        <v>1372.6175536999999</v>
      </c>
      <c r="I1118">
        <v>1287.765625</v>
      </c>
      <c r="J1118">
        <v>1268.6365966999999</v>
      </c>
      <c r="K1118">
        <v>80</v>
      </c>
      <c r="L1118">
        <v>79.947631835999999</v>
      </c>
      <c r="M1118">
        <v>50</v>
      </c>
      <c r="N1118">
        <v>48.269283295000001</v>
      </c>
    </row>
    <row r="1119" spans="1:14" x14ac:dyDescent="0.25">
      <c r="A1119">
        <v>751.01847799999996</v>
      </c>
      <c r="B1119" s="1">
        <f>DATE(2012,5,21) + TIME(0,26,36)</f>
        <v>41050.018472222226</v>
      </c>
      <c r="C1119">
        <v>2400</v>
      </c>
      <c r="D1119">
        <v>0</v>
      </c>
      <c r="E1119">
        <v>0</v>
      </c>
      <c r="F1119">
        <v>2400</v>
      </c>
      <c r="G1119">
        <v>1386.6536865</v>
      </c>
      <c r="H1119">
        <v>1372.5562743999999</v>
      </c>
      <c r="I1119">
        <v>1287.7526855000001</v>
      </c>
      <c r="J1119">
        <v>1268.6192627</v>
      </c>
      <c r="K1119">
        <v>80</v>
      </c>
      <c r="L1119">
        <v>79.947647094999994</v>
      </c>
      <c r="M1119">
        <v>50</v>
      </c>
      <c r="N1119">
        <v>48.229015349999997</v>
      </c>
    </row>
    <row r="1120" spans="1:14" x14ac:dyDescent="0.25">
      <c r="A1120">
        <v>751.56384700000001</v>
      </c>
      <c r="B1120" s="1">
        <f>DATE(2012,5,21) + TIME(13,31,56)</f>
        <v>41050.563842592594</v>
      </c>
      <c r="C1120">
        <v>2400</v>
      </c>
      <c r="D1120">
        <v>0</v>
      </c>
      <c r="E1120">
        <v>0</v>
      </c>
      <c r="F1120">
        <v>2400</v>
      </c>
      <c r="G1120">
        <v>1386.5888672000001</v>
      </c>
      <c r="H1120">
        <v>1372.4949951000001</v>
      </c>
      <c r="I1120">
        <v>1287.739624</v>
      </c>
      <c r="J1120">
        <v>1268.6016846</v>
      </c>
      <c r="K1120">
        <v>80</v>
      </c>
      <c r="L1120">
        <v>79.947662354000002</v>
      </c>
      <c r="M1120">
        <v>50</v>
      </c>
      <c r="N1120">
        <v>48.188133239999999</v>
      </c>
    </row>
    <row r="1121" spans="1:14" x14ac:dyDescent="0.25">
      <c r="A1121">
        <v>752.12291800000003</v>
      </c>
      <c r="B1121" s="1">
        <f>DATE(2012,5,22) + TIME(2,57,0)</f>
        <v>41051.122916666667</v>
      </c>
      <c r="C1121">
        <v>2400</v>
      </c>
      <c r="D1121">
        <v>0</v>
      </c>
      <c r="E1121">
        <v>0</v>
      </c>
      <c r="F1121">
        <v>2400</v>
      </c>
      <c r="G1121">
        <v>1386.5240478999999</v>
      </c>
      <c r="H1121">
        <v>1372.4337158000001</v>
      </c>
      <c r="I1121">
        <v>1287.7260742000001</v>
      </c>
      <c r="J1121">
        <v>1268.5836182</v>
      </c>
      <c r="K1121">
        <v>80</v>
      </c>
      <c r="L1121">
        <v>79.947677612000007</v>
      </c>
      <c r="M1121">
        <v>50</v>
      </c>
      <c r="N1121">
        <v>48.146511078000003</v>
      </c>
    </row>
    <row r="1122" spans="1:14" x14ac:dyDescent="0.25">
      <c r="A1122">
        <v>752.69813799999997</v>
      </c>
      <c r="B1122" s="1">
        <f>DATE(2012,5,22) + TIME(16,45,19)</f>
        <v>41051.698136574072</v>
      </c>
      <c r="C1122">
        <v>2400</v>
      </c>
      <c r="D1122">
        <v>0</v>
      </c>
      <c r="E1122">
        <v>0</v>
      </c>
      <c r="F1122">
        <v>2400</v>
      </c>
      <c r="G1122">
        <v>1386.4591064000001</v>
      </c>
      <c r="H1122">
        <v>1372.3720702999999</v>
      </c>
      <c r="I1122">
        <v>1287.7121582</v>
      </c>
      <c r="J1122">
        <v>1268.5649414</v>
      </c>
      <c r="K1122">
        <v>80</v>
      </c>
      <c r="L1122">
        <v>79.947692871000001</v>
      </c>
      <c r="M1122">
        <v>50</v>
      </c>
      <c r="N1122">
        <v>48.104007721000002</v>
      </c>
    </row>
    <row r="1123" spans="1:14" x14ac:dyDescent="0.25">
      <c r="A1123">
        <v>753.29169000000002</v>
      </c>
      <c r="B1123" s="1">
        <f>DATE(2012,5,23) + TIME(7,0,1)</f>
        <v>41052.291678240741</v>
      </c>
      <c r="C1123">
        <v>2400</v>
      </c>
      <c r="D1123">
        <v>0</v>
      </c>
      <c r="E1123">
        <v>0</v>
      </c>
      <c r="F1123">
        <v>2400</v>
      </c>
      <c r="G1123">
        <v>1386.3935547000001</v>
      </c>
      <c r="H1123">
        <v>1372.3100586</v>
      </c>
      <c r="I1123">
        <v>1287.6977539</v>
      </c>
      <c r="J1123">
        <v>1268.5455322</v>
      </c>
      <c r="K1123">
        <v>80</v>
      </c>
      <c r="L1123">
        <v>79.947708129999995</v>
      </c>
      <c r="M1123">
        <v>50</v>
      </c>
      <c r="N1123">
        <v>48.060478209999999</v>
      </c>
    </row>
    <row r="1124" spans="1:14" x14ac:dyDescent="0.25">
      <c r="A1124">
        <v>753.90621399999998</v>
      </c>
      <c r="B1124" s="1">
        <f>DATE(2012,5,23) + TIME(21,44,56)</f>
        <v>41052.9062037037</v>
      </c>
      <c r="C1124">
        <v>2400</v>
      </c>
      <c r="D1124">
        <v>0</v>
      </c>
      <c r="E1124">
        <v>0</v>
      </c>
      <c r="F1124">
        <v>2400</v>
      </c>
      <c r="G1124">
        <v>1386.3272704999999</v>
      </c>
      <c r="H1124">
        <v>1372.2473144999999</v>
      </c>
      <c r="I1124">
        <v>1287.6828613</v>
      </c>
      <c r="J1124">
        <v>1268.5255127</v>
      </c>
      <c r="K1124">
        <v>80</v>
      </c>
      <c r="L1124">
        <v>79.947731017999999</v>
      </c>
      <c r="M1124">
        <v>50</v>
      </c>
      <c r="N1124">
        <v>48.015754700000002</v>
      </c>
    </row>
    <row r="1125" spans="1:14" x14ac:dyDescent="0.25">
      <c r="A1125">
        <v>754.54482199999995</v>
      </c>
      <c r="B1125" s="1">
        <f>DATE(2012,5,24) + TIME(13,4,32)</f>
        <v>41053.544814814813</v>
      </c>
      <c r="C1125">
        <v>2400</v>
      </c>
      <c r="D1125">
        <v>0</v>
      </c>
      <c r="E1125">
        <v>0</v>
      </c>
      <c r="F1125">
        <v>2400</v>
      </c>
      <c r="G1125">
        <v>1386.2601318</v>
      </c>
      <c r="H1125">
        <v>1372.1837158000001</v>
      </c>
      <c r="I1125">
        <v>1287.6673584</v>
      </c>
      <c r="J1125">
        <v>1268.5046387</v>
      </c>
      <c r="K1125">
        <v>80</v>
      </c>
      <c r="L1125">
        <v>79.947746276999993</v>
      </c>
      <c r="M1125">
        <v>50</v>
      </c>
      <c r="N1125">
        <v>47.969657898000001</v>
      </c>
    </row>
    <row r="1126" spans="1:14" x14ac:dyDescent="0.25">
      <c r="A1126">
        <v>755.19666600000005</v>
      </c>
      <c r="B1126" s="1">
        <f>DATE(2012,5,25) + TIME(4,43,11)</f>
        <v>41054.196655092594</v>
      </c>
      <c r="C1126">
        <v>2400</v>
      </c>
      <c r="D1126">
        <v>0</v>
      </c>
      <c r="E1126">
        <v>0</v>
      </c>
      <c r="F1126">
        <v>2400</v>
      </c>
      <c r="G1126">
        <v>1386.1918945</v>
      </c>
      <c r="H1126">
        <v>1372.1188964999999</v>
      </c>
      <c r="I1126">
        <v>1287.651001</v>
      </c>
      <c r="J1126">
        <v>1268.4829102000001</v>
      </c>
      <c r="K1126">
        <v>80</v>
      </c>
      <c r="L1126">
        <v>79.947769164999997</v>
      </c>
      <c r="M1126">
        <v>50</v>
      </c>
      <c r="N1126">
        <v>47.922554015999999</v>
      </c>
    </row>
    <row r="1127" spans="1:14" x14ac:dyDescent="0.25">
      <c r="A1127">
        <v>755.84995600000002</v>
      </c>
      <c r="B1127" s="1">
        <f>DATE(2012,5,25) + TIME(20,23,56)</f>
        <v>41054.849953703706</v>
      </c>
      <c r="C1127">
        <v>2400</v>
      </c>
      <c r="D1127">
        <v>0</v>
      </c>
      <c r="E1127">
        <v>0</v>
      </c>
      <c r="F1127">
        <v>2400</v>
      </c>
      <c r="G1127">
        <v>1386.1236572</v>
      </c>
      <c r="H1127">
        <v>1372.0541992000001</v>
      </c>
      <c r="I1127">
        <v>1287.6341553</v>
      </c>
      <c r="J1127">
        <v>1268.4604492000001</v>
      </c>
      <c r="K1127">
        <v>80</v>
      </c>
      <c r="L1127">
        <v>79.947784424000005</v>
      </c>
      <c r="M1127">
        <v>50</v>
      </c>
      <c r="N1127">
        <v>47.875034331999998</v>
      </c>
    </row>
    <row r="1128" spans="1:14" x14ac:dyDescent="0.25">
      <c r="A1128">
        <v>756.5068</v>
      </c>
      <c r="B1128" s="1">
        <f>DATE(2012,5,26) + TIME(12,9,47)</f>
        <v>41055.506793981483</v>
      </c>
      <c r="C1128">
        <v>2400</v>
      </c>
      <c r="D1128">
        <v>0</v>
      </c>
      <c r="E1128">
        <v>0</v>
      </c>
      <c r="F1128">
        <v>2400</v>
      </c>
      <c r="G1128">
        <v>1386.0567627</v>
      </c>
      <c r="H1128">
        <v>1371.9906006000001</v>
      </c>
      <c r="I1128">
        <v>1287.6173096</v>
      </c>
      <c r="J1128">
        <v>1268.4378661999999</v>
      </c>
      <c r="K1128">
        <v>80</v>
      </c>
      <c r="L1128">
        <v>79.947807311999995</v>
      </c>
      <c r="M1128">
        <v>50</v>
      </c>
      <c r="N1128">
        <v>47.827239990000002</v>
      </c>
    </row>
    <row r="1129" spans="1:14" x14ac:dyDescent="0.25">
      <c r="A1129">
        <v>757.16928399999995</v>
      </c>
      <c r="B1129" s="1">
        <f>DATE(2012,5,27) + TIME(4,3,46)</f>
        <v>41056.169282407405</v>
      </c>
      <c r="C1129">
        <v>2400</v>
      </c>
      <c r="D1129">
        <v>0</v>
      </c>
      <c r="E1129">
        <v>0</v>
      </c>
      <c r="F1129">
        <v>2400</v>
      </c>
      <c r="G1129">
        <v>1385.9908447</v>
      </c>
      <c r="H1129">
        <v>1371.9279785000001</v>
      </c>
      <c r="I1129">
        <v>1287.6000977000001</v>
      </c>
      <c r="J1129">
        <v>1268.4147949000001</v>
      </c>
      <c r="K1129">
        <v>80</v>
      </c>
      <c r="L1129">
        <v>79.947830199999999</v>
      </c>
      <c r="M1129">
        <v>50</v>
      </c>
      <c r="N1129">
        <v>47.779178619</v>
      </c>
    </row>
    <row r="1130" spans="1:14" x14ac:dyDescent="0.25">
      <c r="A1130">
        <v>757.83949700000005</v>
      </c>
      <c r="B1130" s="1">
        <f>DATE(2012,5,27) + TIME(20,8,52)</f>
        <v>41056.839490740742</v>
      </c>
      <c r="C1130">
        <v>2400</v>
      </c>
      <c r="D1130">
        <v>0</v>
      </c>
      <c r="E1130">
        <v>0</v>
      </c>
      <c r="F1130">
        <v>2400</v>
      </c>
      <c r="G1130">
        <v>1385.9256591999999</v>
      </c>
      <c r="H1130">
        <v>1371.8659668</v>
      </c>
      <c r="I1130">
        <v>1287.5827637</v>
      </c>
      <c r="J1130">
        <v>1268.3914795000001</v>
      </c>
      <c r="K1130">
        <v>80</v>
      </c>
      <c r="L1130">
        <v>79.947853088000002</v>
      </c>
      <c r="M1130">
        <v>50</v>
      </c>
      <c r="N1130">
        <v>47.730792999000002</v>
      </c>
    </row>
    <row r="1131" spans="1:14" x14ac:dyDescent="0.25">
      <c r="A1131">
        <v>758.51957400000003</v>
      </c>
      <c r="B1131" s="1">
        <f>DATE(2012,5,28) + TIME(12,28,11)</f>
        <v>41057.519571759258</v>
      </c>
      <c r="C1131">
        <v>2400</v>
      </c>
      <c r="D1131">
        <v>0</v>
      </c>
      <c r="E1131">
        <v>0</v>
      </c>
      <c r="F1131">
        <v>2400</v>
      </c>
      <c r="G1131">
        <v>1385.8610839999999</v>
      </c>
      <c r="H1131">
        <v>1371.8044434000001</v>
      </c>
      <c r="I1131">
        <v>1287.5650635</v>
      </c>
      <c r="J1131">
        <v>1268.3675536999999</v>
      </c>
      <c r="K1131">
        <v>80</v>
      </c>
      <c r="L1131">
        <v>79.947875976999995</v>
      </c>
      <c r="M1131">
        <v>50</v>
      </c>
      <c r="N1131">
        <v>47.681983948000003</v>
      </c>
    </row>
    <row r="1132" spans="1:14" x14ac:dyDescent="0.25">
      <c r="A1132">
        <v>759.21173999999996</v>
      </c>
      <c r="B1132" s="1">
        <f>DATE(2012,5,29) + TIME(5,4,54)</f>
        <v>41058.211736111109</v>
      </c>
      <c r="C1132">
        <v>2400</v>
      </c>
      <c r="D1132">
        <v>0</v>
      </c>
      <c r="E1132">
        <v>0</v>
      </c>
      <c r="F1132">
        <v>2400</v>
      </c>
      <c r="G1132">
        <v>1385.7967529</v>
      </c>
      <c r="H1132">
        <v>1371.7432861</v>
      </c>
      <c r="I1132">
        <v>1287.5469971</v>
      </c>
      <c r="J1132">
        <v>1268.3431396000001</v>
      </c>
      <c r="K1132">
        <v>80</v>
      </c>
      <c r="L1132">
        <v>79.947898864999999</v>
      </c>
      <c r="M1132">
        <v>50</v>
      </c>
      <c r="N1132">
        <v>47.632633208999998</v>
      </c>
    </row>
    <row r="1133" spans="1:14" x14ac:dyDescent="0.25">
      <c r="A1133">
        <v>759.91836899999998</v>
      </c>
      <c r="B1133" s="1">
        <f>DATE(2012,5,29) + TIME(22,2,27)</f>
        <v>41058.918368055558</v>
      </c>
      <c r="C1133">
        <v>2400</v>
      </c>
      <c r="D1133">
        <v>0</v>
      </c>
      <c r="E1133">
        <v>0</v>
      </c>
      <c r="F1133">
        <v>2400</v>
      </c>
      <c r="G1133">
        <v>1385.7325439000001</v>
      </c>
      <c r="H1133">
        <v>1371.6821289</v>
      </c>
      <c r="I1133">
        <v>1287.5284423999999</v>
      </c>
      <c r="J1133">
        <v>1268.3181152</v>
      </c>
      <c r="K1133">
        <v>80</v>
      </c>
      <c r="L1133">
        <v>79.947921753000003</v>
      </c>
      <c r="M1133">
        <v>50</v>
      </c>
      <c r="N1133">
        <v>47.582592009999999</v>
      </c>
    </row>
    <row r="1134" spans="1:14" x14ac:dyDescent="0.25">
      <c r="A1134">
        <v>760.64200900000003</v>
      </c>
      <c r="B1134" s="1">
        <f>DATE(2012,5,30) + TIME(15,24,29)</f>
        <v>41059.642002314817</v>
      </c>
      <c r="C1134">
        <v>2400</v>
      </c>
      <c r="D1134">
        <v>0</v>
      </c>
      <c r="E1134">
        <v>0</v>
      </c>
      <c r="F1134">
        <v>2400</v>
      </c>
      <c r="G1134">
        <v>1385.6682129000001</v>
      </c>
      <c r="H1134">
        <v>1371.6207274999999</v>
      </c>
      <c r="I1134">
        <v>1287.5092772999999</v>
      </c>
      <c r="J1134">
        <v>1268.2922363</v>
      </c>
      <c r="K1134">
        <v>80</v>
      </c>
      <c r="L1134">
        <v>79.947944641000007</v>
      </c>
      <c r="M1134">
        <v>50</v>
      </c>
      <c r="N1134">
        <v>47.531707763999997</v>
      </c>
    </row>
    <row r="1135" spans="1:14" x14ac:dyDescent="0.25">
      <c r="A1135">
        <v>761.38455199999999</v>
      </c>
      <c r="B1135" s="1">
        <f>DATE(2012,5,31) + TIME(9,13,45)</f>
        <v>41060.384548611109</v>
      </c>
      <c r="C1135">
        <v>2400</v>
      </c>
      <c r="D1135">
        <v>0</v>
      </c>
      <c r="E1135">
        <v>0</v>
      </c>
      <c r="F1135">
        <v>2400</v>
      </c>
      <c r="G1135">
        <v>1385.6036377</v>
      </c>
      <c r="H1135">
        <v>1371.5592041</v>
      </c>
      <c r="I1135">
        <v>1287.4895019999999</v>
      </c>
      <c r="J1135">
        <v>1268.265625</v>
      </c>
      <c r="K1135">
        <v>80</v>
      </c>
      <c r="L1135">
        <v>79.947967528999996</v>
      </c>
      <c r="M1135">
        <v>50</v>
      </c>
      <c r="N1135">
        <v>47.479839325</v>
      </c>
    </row>
    <row r="1136" spans="1:14" x14ac:dyDescent="0.25">
      <c r="A1136">
        <v>762</v>
      </c>
      <c r="B1136" s="1">
        <f>DATE(2012,6,1) + TIME(0,0,0)</f>
        <v>41061</v>
      </c>
      <c r="C1136">
        <v>2400</v>
      </c>
      <c r="D1136">
        <v>0</v>
      </c>
      <c r="E1136">
        <v>0</v>
      </c>
      <c r="F1136">
        <v>2400</v>
      </c>
      <c r="G1136">
        <v>1385.5385742000001</v>
      </c>
      <c r="H1136">
        <v>1371.4970702999999</v>
      </c>
      <c r="I1136">
        <v>1287.4683838000001</v>
      </c>
      <c r="J1136">
        <v>1268.2385254000001</v>
      </c>
      <c r="K1136">
        <v>80</v>
      </c>
      <c r="L1136">
        <v>79.947990417</v>
      </c>
      <c r="M1136">
        <v>50</v>
      </c>
      <c r="N1136">
        <v>47.432872772000003</v>
      </c>
    </row>
    <row r="1137" spans="1:14" x14ac:dyDescent="0.25">
      <c r="A1137">
        <v>762.76014299999997</v>
      </c>
      <c r="B1137" s="1">
        <f>DATE(2012,6,1) + TIME(18,14,36)</f>
        <v>41061.760138888887</v>
      </c>
      <c r="C1137">
        <v>2400</v>
      </c>
      <c r="D1137">
        <v>0</v>
      </c>
      <c r="E1137">
        <v>0</v>
      </c>
      <c r="F1137">
        <v>2400</v>
      </c>
      <c r="G1137">
        <v>1385.4855957</v>
      </c>
      <c r="H1137">
        <v>1371.4464111</v>
      </c>
      <c r="I1137">
        <v>1287.4520264</v>
      </c>
      <c r="J1137">
        <v>1268.2144774999999</v>
      </c>
      <c r="K1137">
        <v>80</v>
      </c>
      <c r="L1137">
        <v>79.948013306000007</v>
      </c>
      <c r="M1137">
        <v>50</v>
      </c>
      <c r="N1137">
        <v>47.381649017000001</v>
      </c>
    </row>
    <row r="1138" spans="1:14" x14ac:dyDescent="0.25">
      <c r="A1138">
        <v>763.55990899999995</v>
      </c>
      <c r="B1138" s="1">
        <f>DATE(2012,6,2) + TIME(13,26,16)</f>
        <v>41062.559907407405</v>
      </c>
      <c r="C1138">
        <v>2400</v>
      </c>
      <c r="D1138">
        <v>0</v>
      </c>
      <c r="E1138">
        <v>0</v>
      </c>
      <c r="F1138">
        <v>2400</v>
      </c>
      <c r="G1138">
        <v>1385.4213867000001</v>
      </c>
      <c r="H1138">
        <v>1371.3850098</v>
      </c>
      <c r="I1138">
        <v>1287.4307861</v>
      </c>
      <c r="J1138">
        <v>1268.1856689000001</v>
      </c>
      <c r="K1138">
        <v>80</v>
      </c>
      <c r="L1138">
        <v>79.948043823000006</v>
      </c>
      <c r="M1138">
        <v>50</v>
      </c>
      <c r="N1138">
        <v>47.327953338999997</v>
      </c>
    </row>
    <row r="1139" spans="1:14" x14ac:dyDescent="0.25">
      <c r="A1139">
        <v>764.36934499999995</v>
      </c>
      <c r="B1139" s="1">
        <f>DATE(2012,6,3) + TIME(8,51,51)</f>
        <v>41063.369340277779</v>
      </c>
      <c r="C1139">
        <v>2400</v>
      </c>
      <c r="D1139">
        <v>0</v>
      </c>
      <c r="E1139">
        <v>0</v>
      </c>
      <c r="F1139">
        <v>2400</v>
      </c>
      <c r="G1139">
        <v>1385.3549805</v>
      </c>
      <c r="H1139">
        <v>1371.3215332</v>
      </c>
      <c r="I1139">
        <v>1287.4079589999999</v>
      </c>
      <c r="J1139">
        <v>1268.1550293</v>
      </c>
      <c r="K1139">
        <v>80</v>
      </c>
      <c r="L1139">
        <v>79.948074340999995</v>
      </c>
      <c r="M1139">
        <v>50</v>
      </c>
      <c r="N1139">
        <v>47.272785186999997</v>
      </c>
    </row>
    <row r="1140" spans="1:14" x14ac:dyDescent="0.25">
      <c r="A1140">
        <v>765.19160999999997</v>
      </c>
      <c r="B1140" s="1">
        <f>DATE(2012,6,4) + TIME(4,35,55)</f>
        <v>41064.191608796296</v>
      </c>
      <c r="C1140">
        <v>2400</v>
      </c>
      <c r="D1140">
        <v>0</v>
      </c>
      <c r="E1140">
        <v>0</v>
      </c>
      <c r="F1140">
        <v>2400</v>
      </c>
      <c r="G1140">
        <v>1385.2890625</v>
      </c>
      <c r="H1140">
        <v>1371.2583007999999</v>
      </c>
      <c r="I1140">
        <v>1287.3847656</v>
      </c>
      <c r="J1140">
        <v>1268.1236572</v>
      </c>
      <c r="K1140">
        <v>80</v>
      </c>
      <c r="L1140">
        <v>79.948104857999994</v>
      </c>
      <c r="M1140">
        <v>50</v>
      </c>
      <c r="N1140">
        <v>47.216510773000003</v>
      </c>
    </row>
    <row r="1141" spans="1:14" x14ac:dyDescent="0.25">
      <c r="A1141">
        <v>766.02963599999998</v>
      </c>
      <c r="B1141" s="1">
        <f>DATE(2012,6,5) + TIME(0,42,40)</f>
        <v>41065.029629629629</v>
      </c>
      <c r="C1141">
        <v>2400</v>
      </c>
      <c r="D1141">
        <v>0</v>
      </c>
      <c r="E1141">
        <v>0</v>
      </c>
      <c r="F1141">
        <v>2400</v>
      </c>
      <c r="G1141">
        <v>1385.2232666</v>
      </c>
      <c r="H1141">
        <v>1371.1953125</v>
      </c>
      <c r="I1141">
        <v>1287.3609618999999</v>
      </c>
      <c r="J1141">
        <v>1268.0913086</v>
      </c>
      <c r="K1141">
        <v>80</v>
      </c>
      <c r="L1141">
        <v>79.948135375999996</v>
      </c>
      <c r="M1141">
        <v>50</v>
      </c>
      <c r="N1141">
        <v>47.159225464000002</v>
      </c>
    </row>
    <row r="1142" spans="1:14" x14ac:dyDescent="0.25">
      <c r="A1142">
        <v>766.87268400000005</v>
      </c>
      <c r="B1142" s="1">
        <f>DATE(2012,6,5) + TIME(20,56,39)</f>
        <v>41065.872673611113</v>
      </c>
      <c r="C1142">
        <v>2400</v>
      </c>
      <c r="D1142">
        <v>0</v>
      </c>
      <c r="E1142">
        <v>0</v>
      </c>
      <c r="F1142">
        <v>2400</v>
      </c>
      <c r="G1142">
        <v>1385.1574707</v>
      </c>
      <c r="H1142">
        <v>1371.1323242000001</v>
      </c>
      <c r="I1142">
        <v>1287.3363036999999</v>
      </c>
      <c r="J1142">
        <v>1268.0578613</v>
      </c>
      <c r="K1142">
        <v>80</v>
      </c>
      <c r="L1142">
        <v>79.948165893999999</v>
      </c>
      <c r="M1142">
        <v>50</v>
      </c>
      <c r="N1142">
        <v>47.101364136000001</v>
      </c>
    </row>
    <row r="1143" spans="1:14" x14ac:dyDescent="0.25">
      <c r="A1143">
        <v>767.72306800000001</v>
      </c>
      <c r="B1143" s="1">
        <f>DATE(2012,6,6) + TIME(17,21,13)</f>
        <v>41066.723067129627</v>
      </c>
      <c r="C1143">
        <v>2400</v>
      </c>
      <c r="D1143">
        <v>0</v>
      </c>
      <c r="E1143">
        <v>0</v>
      </c>
      <c r="F1143">
        <v>2400</v>
      </c>
      <c r="G1143">
        <v>1385.0925293</v>
      </c>
      <c r="H1143">
        <v>1371.0699463000001</v>
      </c>
      <c r="I1143">
        <v>1287.3112793</v>
      </c>
      <c r="J1143">
        <v>1268.0238036999999</v>
      </c>
      <c r="K1143">
        <v>80</v>
      </c>
      <c r="L1143">
        <v>79.948196410999998</v>
      </c>
      <c r="M1143">
        <v>50</v>
      </c>
      <c r="N1143">
        <v>47.043045044000003</v>
      </c>
    </row>
    <row r="1144" spans="1:14" x14ac:dyDescent="0.25">
      <c r="A1144">
        <v>768.58338200000003</v>
      </c>
      <c r="B1144" s="1">
        <f>DATE(2012,6,7) + TIME(14,0,4)</f>
        <v>41067.583379629628</v>
      </c>
      <c r="C1144">
        <v>2400</v>
      </c>
      <c r="D1144">
        <v>0</v>
      </c>
      <c r="E1144">
        <v>0</v>
      </c>
      <c r="F1144">
        <v>2400</v>
      </c>
      <c r="G1144">
        <v>1385.0281981999999</v>
      </c>
      <c r="H1144">
        <v>1371.0081786999999</v>
      </c>
      <c r="I1144">
        <v>1287.2856445</v>
      </c>
      <c r="J1144">
        <v>1267.9888916</v>
      </c>
      <c r="K1144">
        <v>80</v>
      </c>
      <c r="L1144">
        <v>79.948226929</v>
      </c>
      <c r="M1144">
        <v>50</v>
      </c>
      <c r="N1144">
        <v>46.984245299999998</v>
      </c>
    </row>
    <row r="1145" spans="1:14" x14ac:dyDescent="0.25">
      <c r="A1145">
        <v>769.45629799999995</v>
      </c>
      <c r="B1145" s="1">
        <f>DATE(2012,6,8) + TIME(10,57,4)</f>
        <v>41068.456296296295</v>
      </c>
      <c r="C1145">
        <v>2400</v>
      </c>
      <c r="D1145">
        <v>0</v>
      </c>
      <c r="E1145">
        <v>0</v>
      </c>
      <c r="F1145">
        <v>2400</v>
      </c>
      <c r="G1145">
        <v>1384.9642334</v>
      </c>
      <c r="H1145">
        <v>1370.9466553</v>
      </c>
      <c r="I1145">
        <v>1287.2595214999999</v>
      </c>
      <c r="J1145">
        <v>1267.953125</v>
      </c>
      <c r="K1145">
        <v>80</v>
      </c>
      <c r="L1145">
        <v>79.948265075999998</v>
      </c>
      <c r="M1145">
        <v>50</v>
      </c>
      <c r="N1145">
        <v>46.924858092999997</v>
      </c>
    </row>
    <row r="1146" spans="1:14" x14ac:dyDescent="0.25">
      <c r="A1146">
        <v>770.34460899999999</v>
      </c>
      <c r="B1146" s="1">
        <f>DATE(2012,6,9) + TIME(8,16,14)</f>
        <v>41069.344606481478</v>
      </c>
      <c r="C1146">
        <v>2400</v>
      </c>
      <c r="D1146">
        <v>0</v>
      </c>
      <c r="E1146">
        <v>0</v>
      </c>
      <c r="F1146">
        <v>2400</v>
      </c>
      <c r="G1146">
        <v>1384.9003906</v>
      </c>
      <c r="H1146">
        <v>1370.885376</v>
      </c>
      <c r="I1146">
        <v>1287.2325439000001</v>
      </c>
      <c r="J1146">
        <v>1267.9162598</v>
      </c>
      <c r="K1146">
        <v>80</v>
      </c>
      <c r="L1146">
        <v>79.948295592999997</v>
      </c>
      <c r="M1146">
        <v>50</v>
      </c>
      <c r="N1146">
        <v>46.864738463999998</v>
      </c>
    </row>
    <row r="1147" spans="1:14" x14ac:dyDescent="0.25">
      <c r="A1147">
        <v>771.25131199999998</v>
      </c>
      <c r="B1147" s="1">
        <f>DATE(2012,6,10) + TIME(6,1,53)</f>
        <v>41070.251307870371</v>
      </c>
      <c r="C1147">
        <v>2400</v>
      </c>
      <c r="D1147">
        <v>0</v>
      </c>
      <c r="E1147">
        <v>0</v>
      </c>
      <c r="F1147">
        <v>2400</v>
      </c>
      <c r="G1147">
        <v>1384.8366699000001</v>
      </c>
      <c r="H1147">
        <v>1370.8239745999999</v>
      </c>
      <c r="I1147">
        <v>1287.2048339999999</v>
      </c>
      <c r="J1147">
        <v>1267.8782959</v>
      </c>
      <c r="K1147">
        <v>80</v>
      </c>
      <c r="L1147">
        <v>79.948333739999995</v>
      </c>
      <c r="M1147">
        <v>50</v>
      </c>
      <c r="N1147">
        <v>46.803703308000003</v>
      </c>
    </row>
    <row r="1148" spans="1:14" x14ac:dyDescent="0.25">
      <c r="A1148">
        <v>772.179665</v>
      </c>
      <c r="B1148" s="1">
        <f>DATE(2012,6,11) + TIME(4,18,43)</f>
        <v>41071.179664351854</v>
      </c>
      <c r="C1148">
        <v>2400</v>
      </c>
      <c r="D1148">
        <v>0</v>
      </c>
      <c r="E1148">
        <v>0</v>
      </c>
      <c r="F1148">
        <v>2400</v>
      </c>
      <c r="G1148">
        <v>1384.7727050999999</v>
      </c>
      <c r="H1148">
        <v>1370.7623291</v>
      </c>
      <c r="I1148">
        <v>1287.1761475000001</v>
      </c>
      <c r="J1148">
        <v>1267.8388672000001</v>
      </c>
      <c r="K1148">
        <v>80</v>
      </c>
      <c r="L1148">
        <v>79.948364257999998</v>
      </c>
      <c r="M1148">
        <v>50</v>
      </c>
      <c r="N1148">
        <v>46.741554260000001</v>
      </c>
    </row>
    <row r="1149" spans="1:14" x14ac:dyDescent="0.25">
      <c r="A1149">
        <v>773.12874099999999</v>
      </c>
      <c r="B1149" s="1">
        <f>DATE(2012,6,12) + TIME(3,5,23)</f>
        <v>41072.128738425927</v>
      </c>
      <c r="C1149">
        <v>2400</v>
      </c>
      <c r="D1149">
        <v>0</v>
      </c>
      <c r="E1149">
        <v>0</v>
      </c>
      <c r="F1149">
        <v>2400</v>
      </c>
      <c r="G1149">
        <v>1384.7082519999999</v>
      </c>
      <c r="H1149">
        <v>1370.7003173999999</v>
      </c>
      <c r="I1149">
        <v>1287.1464844</v>
      </c>
      <c r="J1149">
        <v>1267.7978516000001</v>
      </c>
      <c r="K1149">
        <v>80</v>
      </c>
      <c r="L1149">
        <v>79.948402404999996</v>
      </c>
      <c r="M1149">
        <v>50</v>
      </c>
      <c r="N1149">
        <v>46.678211212000001</v>
      </c>
    </row>
    <row r="1150" spans="1:14" x14ac:dyDescent="0.25">
      <c r="A1150">
        <v>774.09158400000001</v>
      </c>
      <c r="B1150" s="1">
        <f>DATE(2012,6,13) + TIME(2,11,52)</f>
        <v>41073.091574074075</v>
      </c>
      <c r="C1150">
        <v>2400</v>
      </c>
      <c r="D1150">
        <v>0</v>
      </c>
      <c r="E1150">
        <v>0</v>
      </c>
      <c r="F1150">
        <v>2400</v>
      </c>
      <c r="G1150">
        <v>1384.6435547000001</v>
      </c>
      <c r="H1150">
        <v>1370.6379394999999</v>
      </c>
      <c r="I1150">
        <v>1287.1154785000001</v>
      </c>
      <c r="J1150">
        <v>1267.7553711</v>
      </c>
      <c r="K1150">
        <v>80</v>
      </c>
      <c r="L1150">
        <v>79.948440551999994</v>
      </c>
      <c r="M1150">
        <v>50</v>
      </c>
      <c r="N1150">
        <v>46.613853454999997</v>
      </c>
    </row>
    <row r="1151" spans="1:14" x14ac:dyDescent="0.25">
      <c r="A1151">
        <v>775.07179900000006</v>
      </c>
      <c r="B1151" s="1">
        <f>DATE(2012,6,14) + TIME(1,43,23)</f>
        <v>41074.071793981479</v>
      </c>
      <c r="C1151">
        <v>2400</v>
      </c>
      <c r="D1151">
        <v>0</v>
      </c>
      <c r="E1151">
        <v>0</v>
      </c>
      <c r="F1151">
        <v>2400</v>
      </c>
      <c r="G1151">
        <v>1384.5789795000001</v>
      </c>
      <c r="H1151">
        <v>1370.5755615</v>
      </c>
      <c r="I1151">
        <v>1287.0837402</v>
      </c>
      <c r="J1151">
        <v>1267.7114257999999</v>
      </c>
      <c r="K1151">
        <v>80</v>
      </c>
      <c r="L1151">
        <v>79.948478699000006</v>
      </c>
      <c r="M1151">
        <v>50</v>
      </c>
      <c r="N1151">
        <v>46.548469543000003</v>
      </c>
    </row>
    <row r="1152" spans="1:14" x14ac:dyDescent="0.25">
      <c r="A1152">
        <v>776.07368399999996</v>
      </c>
      <c r="B1152" s="1">
        <f>DATE(2012,6,15) + TIME(1,46,6)</f>
        <v>41075.073680555557</v>
      </c>
      <c r="C1152">
        <v>2400</v>
      </c>
      <c r="D1152">
        <v>0</v>
      </c>
      <c r="E1152">
        <v>0</v>
      </c>
      <c r="F1152">
        <v>2400</v>
      </c>
      <c r="G1152">
        <v>1384.5144043</v>
      </c>
      <c r="H1152">
        <v>1370.5131836</v>
      </c>
      <c r="I1152">
        <v>1287.0509033000001</v>
      </c>
      <c r="J1152">
        <v>1267.6660156</v>
      </c>
      <c r="K1152">
        <v>80</v>
      </c>
      <c r="L1152">
        <v>79.948524474999999</v>
      </c>
      <c r="M1152">
        <v>50</v>
      </c>
      <c r="N1152">
        <v>46.481903076000002</v>
      </c>
    </row>
    <row r="1153" spans="1:14" x14ac:dyDescent="0.25">
      <c r="A1153">
        <v>777.09326599999997</v>
      </c>
      <c r="B1153" s="1">
        <f>DATE(2012,6,16) + TIME(2,14,18)</f>
        <v>41076.093263888892</v>
      </c>
      <c r="C1153">
        <v>2400</v>
      </c>
      <c r="D1153">
        <v>0</v>
      </c>
      <c r="E1153">
        <v>0</v>
      </c>
      <c r="F1153">
        <v>2400</v>
      </c>
      <c r="G1153">
        <v>1384.4494629000001</v>
      </c>
      <c r="H1153">
        <v>1370.4504394999999</v>
      </c>
      <c r="I1153">
        <v>1287.0167236</v>
      </c>
      <c r="J1153">
        <v>1267.6187743999999</v>
      </c>
      <c r="K1153">
        <v>80</v>
      </c>
      <c r="L1153">
        <v>79.948562621999997</v>
      </c>
      <c r="M1153">
        <v>50</v>
      </c>
      <c r="N1153">
        <v>46.414169311999999</v>
      </c>
    </row>
    <row r="1154" spans="1:14" x14ac:dyDescent="0.25">
      <c r="A1154">
        <v>778.12038900000005</v>
      </c>
      <c r="B1154" s="1">
        <f>DATE(2012,6,17) + TIME(2,53,21)</f>
        <v>41077.120381944442</v>
      </c>
      <c r="C1154">
        <v>2400</v>
      </c>
      <c r="D1154">
        <v>0</v>
      </c>
      <c r="E1154">
        <v>0</v>
      </c>
      <c r="F1154">
        <v>2400</v>
      </c>
      <c r="G1154">
        <v>1384.3845214999999</v>
      </c>
      <c r="H1154">
        <v>1370.3875731999999</v>
      </c>
      <c r="I1154">
        <v>1286.9814452999999</v>
      </c>
      <c r="J1154">
        <v>1267.5698242000001</v>
      </c>
      <c r="K1154">
        <v>80</v>
      </c>
      <c r="L1154">
        <v>79.948600768999995</v>
      </c>
      <c r="M1154">
        <v>50</v>
      </c>
      <c r="N1154">
        <v>46.345607758</v>
      </c>
    </row>
    <row r="1155" spans="1:14" x14ac:dyDescent="0.25">
      <c r="A1155">
        <v>779.15828699999997</v>
      </c>
      <c r="B1155" s="1">
        <f>DATE(2012,6,18) + TIME(3,47,55)</f>
        <v>41078.158275462964</v>
      </c>
      <c r="C1155">
        <v>2400</v>
      </c>
      <c r="D1155">
        <v>0</v>
      </c>
      <c r="E1155">
        <v>0</v>
      </c>
      <c r="F1155">
        <v>2400</v>
      </c>
      <c r="G1155">
        <v>1384.3201904</v>
      </c>
      <c r="H1155">
        <v>1370.3251952999999</v>
      </c>
      <c r="I1155">
        <v>1286.9454346</v>
      </c>
      <c r="J1155">
        <v>1267.5195312000001</v>
      </c>
      <c r="K1155">
        <v>80</v>
      </c>
      <c r="L1155">
        <v>79.948646545000003</v>
      </c>
      <c r="M1155">
        <v>50</v>
      </c>
      <c r="N1155">
        <v>46.276309967000003</v>
      </c>
    </row>
    <row r="1156" spans="1:14" x14ac:dyDescent="0.25">
      <c r="A1156">
        <v>780.210283</v>
      </c>
      <c r="B1156" s="1">
        <f>DATE(2012,6,19) + TIME(5,2,48)</f>
        <v>41079.210277777776</v>
      </c>
      <c r="C1156">
        <v>2400</v>
      </c>
      <c r="D1156">
        <v>0</v>
      </c>
      <c r="E1156">
        <v>0</v>
      </c>
      <c r="F1156">
        <v>2400</v>
      </c>
      <c r="G1156">
        <v>1384.2562256000001</v>
      </c>
      <c r="H1156">
        <v>1370.2631836</v>
      </c>
      <c r="I1156">
        <v>1286.9083252</v>
      </c>
      <c r="J1156">
        <v>1267.4678954999999</v>
      </c>
      <c r="K1156">
        <v>80</v>
      </c>
      <c r="L1156">
        <v>79.948684692</v>
      </c>
      <c r="M1156">
        <v>50</v>
      </c>
      <c r="N1156">
        <v>46.206195831000002</v>
      </c>
    </row>
    <row r="1157" spans="1:14" x14ac:dyDescent="0.25">
      <c r="A1157">
        <v>781.27983700000004</v>
      </c>
      <c r="B1157" s="1">
        <f>DATE(2012,6,20) + TIME(6,42,57)</f>
        <v>41080.279826388891</v>
      </c>
      <c r="C1157">
        <v>2400</v>
      </c>
      <c r="D1157">
        <v>0</v>
      </c>
      <c r="E1157">
        <v>0</v>
      </c>
      <c r="F1157">
        <v>2400</v>
      </c>
      <c r="G1157">
        <v>1384.1923827999999</v>
      </c>
      <c r="H1157">
        <v>1370.2012939000001</v>
      </c>
      <c r="I1157">
        <v>1286.8701172000001</v>
      </c>
      <c r="J1157">
        <v>1267.4144286999999</v>
      </c>
      <c r="K1157">
        <v>80</v>
      </c>
      <c r="L1157">
        <v>79.948730468999997</v>
      </c>
      <c r="M1157">
        <v>50</v>
      </c>
      <c r="N1157">
        <v>46.135097504000001</v>
      </c>
    </row>
    <row r="1158" spans="1:14" x14ac:dyDescent="0.25">
      <c r="A1158">
        <v>782.37063699999999</v>
      </c>
      <c r="B1158" s="1">
        <f>DATE(2012,6,21) + TIME(8,53,43)</f>
        <v>41081.370636574073</v>
      </c>
      <c r="C1158">
        <v>2400</v>
      </c>
      <c r="D1158">
        <v>0</v>
      </c>
      <c r="E1158">
        <v>0</v>
      </c>
      <c r="F1158">
        <v>2400</v>
      </c>
      <c r="G1158">
        <v>1384.1285399999999</v>
      </c>
      <c r="H1158">
        <v>1370.1394043</v>
      </c>
      <c r="I1158">
        <v>1286.8306885</v>
      </c>
      <c r="J1158">
        <v>1267.3591309000001</v>
      </c>
      <c r="K1158">
        <v>80</v>
      </c>
      <c r="L1158">
        <v>79.948776245000005</v>
      </c>
      <c r="M1158">
        <v>50</v>
      </c>
      <c r="N1158">
        <v>46.062786101999997</v>
      </c>
    </row>
    <row r="1159" spans="1:14" x14ac:dyDescent="0.25">
      <c r="A1159">
        <v>783.475368</v>
      </c>
      <c r="B1159" s="1">
        <f>DATE(2012,6,22) + TIME(11,24,31)</f>
        <v>41082.475358796299</v>
      </c>
      <c r="C1159">
        <v>2400</v>
      </c>
      <c r="D1159">
        <v>0</v>
      </c>
      <c r="E1159">
        <v>0</v>
      </c>
      <c r="F1159">
        <v>2400</v>
      </c>
      <c r="G1159">
        <v>1384.0644531</v>
      </c>
      <c r="H1159">
        <v>1370.0771483999999</v>
      </c>
      <c r="I1159">
        <v>1286.7897949000001</v>
      </c>
      <c r="J1159">
        <v>1267.3017577999999</v>
      </c>
      <c r="K1159">
        <v>80</v>
      </c>
      <c r="L1159">
        <v>79.948822020999998</v>
      </c>
      <c r="M1159">
        <v>50</v>
      </c>
      <c r="N1159">
        <v>45.989337921000001</v>
      </c>
    </row>
    <row r="1160" spans="1:14" x14ac:dyDescent="0.25">
      <c r="A1160">
        <v>784.59106999999995</v>
      </c>
      <c r="B1160" s="1">
        <f>DATE(2012,6,23) + TIME(14,11,8)</f>
        <v>41083.591064814813</v>
      </c>
      <c r="C1160">
        <v>2400</v>
      </c>
      <c r="D1160">
        <v>0</v>
      </c>
      <c r="E1160">
        <v>0</v>
      </c>
      <c r="F1160">
        <v>2400</v>
      </c>
      <c r="G1160">
        <v>1384.0004882999999</v>
      </c>
      <c r="H1160">
        <v>1370.0150146000001</v>
      </c>
      <c r="I1160">
        <v>1286.7476807</v>
      </c>
      <c r="J1160">
        <v>1267.2424315999999</v>
      </c>
      <c r="K1160">
        <v>80</v>
      </c>
      <c r="L1160">
        <v>79.948867797999995</v>
      </c>
      <c r="M1160">
        <v>50</v>
      </c>
      <c r="N1160">
        <v>45.914916992000002</v>
      </c>
    </row>
    <row r="1161" spans="1:14" x14ac:dyDescent="0.25">
      <c r="A1161">
        <v>785.72145399999999</v>
      </c>
      <c r="B1161" s="1">
        <f>DATE(2012,6,24) + TIME(17,18,53)</f>
        <v>41084.721446759257</v>
      </c>
      <c r="C1161">
        <v>2400</v>
      </c>
      <c r="D1161">
        <v>0</v>
      </c>
      <c r="E1161">
        <v>0</v>
      </c>
      <c r="F1161">
        <v>2400</v>
      </c>
      <c r="G1161">
        <v>1383.9370117000001</v>
      </c>
      <c r="H1161">
        <v>1369.953125</v>
      </c>
      <c r="I1161">
        <v>1286.7043457</v>
      </c>
      <c r="J1161">
        <v>1267.1812743999999</v>
      </c>
      <c r="K1161">
        <v>80</v>
      </c>
      <c r="L1161">
        <v>79.948913574000002</v>
      </c>
      <c r="M1161">
        <v>50</v>
      </c>
      <c r="N1161">
        <v>45.839488983000003</v>
      </c>
    </row>
    <row r="1162" spans="1:14" x14ac:dyDescent="0.25">
      <c r="A1162">
        <v>786.87034300000005</v>
      </c>
      <c r="B1162" s="1">
        <f>DATE(2012,6,25) + TIME(20,53,17)</f>
        <v>41085.870335648149</v>
      </c>
      <c r="C1162">
        <v>2400</v>
      </c>
      <c r="D1162">
        <v>0</v>
      </c>
      <c r="E1162">
        <v>0</v>
      </c>
      <c r="F1162">
        <v>2400</v>
      </c>
      <c r="G1162">
        <v>1383.8736572</v>
      </c>
      <c r="H1162">
        <v>1369.8914795000001</v>
      </c>
      <c r="I1162">
        <v>1286.6597899999999</v>
      </c>
      <c r="J1162">
        <v>1267.1181641000001</v>
      </c>
      <c r="K1162">
        <v>80</v>
      </c>
      <c r="L1162">
        <v>79.948959350999999</v>
      </c>
      <c r="M1162">
        <v>50</v>
      </c>
      <c r="N1162">
        <v>45.762889862000002</v>
      </c>
    </row>
    <row r="1163" spans="1:14" x14ac:dyDescent="0.25">
      <c r="A1163">
        <v>788.04178100000001</v>
      </c>
      <c r="B1163" s="1">
        <f>DATE(2012,6,27) + TIME(1,0,9)</f>
        <v>41087.041770833333</v>
      </c>
      <c r="C1163">
        <v>2400</v>
      </c>
      <c r="D1163">
        <v>0</v>
      </c>
      <c r="E1163">
        <v>0</v>
      </c>
      <c r="F1163">
        <v>2400</v>
      </c>
      <c r="G1163">
        <v>1383.8101807</v>
      </c>
      <c r="H1163">
        <v>1369.8295897999999</v>
      </c>
      <c r="I1163">
        <v>1286.6136475000001</v>
      </c>
      <c r="J1163">
        <v>1267.0526123</v>
      </c>
      <c r="K1163">
        <v>80</v>
      </c>
      <c r="L1163">
        <v>79.949012756000002</v>
      </c>
      <c r="M1163">
        <v>50</v>
      </c>
      <c r="N1163">
        <v>45.684871674</v>
      </c>
    </row>
    <row r="1164" spans="1:14" x14ac:dyDescent="0.25">
      <c r="A1164">
        <v>789.24041699999998</v>
      </c>
      <c r="B1164" s="1">
        <f>DATE(2012,6,28) + TIME(5,46,12)</f>
        <v>41088.240416666667</v>
      </c>
      <c r="C1164">
        <v>2400</v>
      </c>
      <c r="D1164">
        <v>0</v>
      </c>
      <c r="E1164">
        <v>0</v>
      </c>
      <c r="F1164">
        <v>2400</v>
      </c>
      <c r="G1164">
        <v>1383.746582</v>
      </c>
      <c r="H1164">
        <v>1369.7674560999999</v>
      </c>
      <c r="I1164">
        <v>1286.5657959</v>
      </c>
      <c r="J1164">
        <v>1266.9844971</v>
      </c>
      <c r="K1164">
        <v>80</v>
      </c>
      <c r="L1164">
        <v>79.949058532999999</v>
      </c>
      <c r="M1164">
        <v>50</v>
      </c>
      <c r="N1164">
        <v>45.605144500999998</v>
      </c>
    </row>
    <row r="1165" spans="1:14" x14ac:dyDescent="0.25">
      <c r="A1165">
        <v>790.47122000000002</v>
      </c>
      <c r="B1165" s="1">
        <f>DATE(2012,6,29) + TIME(11,18,33)</f>
        <v>41089.471215277779</v>
      </c>
      <c r="C1165">
        <v>2400</v>
      </c>
      <c r="D1165">
        <v>0</v>
      </c>
      <c r="E1165">
        <v>0</v>
      </c>
      <c r="F1165">
        <v>2400</v>
      </c>
      <c r="G1165">
        <v>1383.6823730000001</v>
      </c>
      <c r="H1165">
        <v>1369.7048339999999</v>
      </c>
      <c r="I1165">
        <v>1286.5159911999999</v>
      </c>
      <c r="J1165">
        <v>1266.9134521000001</v>
      </c>
      <c r="K1165">
        <v>80</v>
      </c>
      <c r="L1165">
        <v>79.949111938000001</v>
      </c>
      <c r="M1165">
        <v>50</v>
      </c>
      <c r="N1165">
        <v>45.523372649999999</v>
      </c>
    </row>
    <row r="1166" spans="1:14" x14ac:dyDescent="0.25">
      <c r="A1166">
        <v>791.70745599999998</v>
      </c>
      <c r="B1166" s="1">
        <f>DATE(2012,6,30) + TIME(16,58,44)</f>
        <v>41090.707453703704</v>
      </c>
      <c r="C1166">
        <v>2400</v>
      </c>
      <c r="D1166">
        <v>0</v>
      </c>
      <c r="E1166">
        <v>0</v>
      </c>
      <c r="F1166">
        <v>2400</v>
      </c>
      <c r="G1166">
        <v>1383.6174315999999</v>
      </c>
      <c r="H1166">
        <v>1369.6413574000001</v>
      </c>
      <c r="I1166">
        <v>1286.4639893000001</v>
      </c>
      <c r="J1166">
        <v>1266.8392334</v>
      </c>
      <c r="K1166">
        <v>80</v>
      </c>
      <c r="L1166">
        <v>79.949165343999994</v>
      </c>
      <c r="M1166">
        <v>50</v>
      </c>
      <c r="N1166">
        <v>45.440067290999998</v>
      </c>
    </row>
    <row r="1167" spans="1:14" x14ac:dyDescent="0.25">
      <c r="A1167">
        <v>792</v>
      </c>
      <c r="B1167" s="1">
        <f>DATE(2012,7,1) + TIME(0,0,0)</f>
        <v>41091</v>
      </c>
      <c r="C1167">
        <v>2400</v>
      </c>
      <c r="D1167">
        <v>0</v>
      </c>
      <c r="E1167">
        <v>0</v>
      </c>
      <c r="F1167">
        <v>2400</v>
      </c>
      <c r="G1167">
        <v>1383.5538329999999</v>
      </c>
      <c r="H1167">
        <v>1369.5792236</v>
      </c>
      <c r="I1167">
        <v>1286.4085693</v>
      </c>
      <c r="J1167">
        <v>1266.7744141000001</v>
      </c>
      <c r="K1167">
        <v>80</v>
      </c>
      <c r="L1167">
        <v>79.949172974000007</v>
      </c>
      <c r="M1167">
        <v>50</v>
      </c>
      <c r="N1167">
        <v>45.404201508</v>
      </c>
    </row>
    <row r="1168" spans="1:14" x14ac:dyDescent="0.25">
      <c r="A1168">
        <v>793.23903499999994</v>
      </c>
      <c r="B1168" s="1">
        <f>DATE(2012,7,2) + TIME(5,44,12)</f>
        <v>41092.239027777781</v>
      </c>
      <c r="C1168">
        <v>2400</v>
      </c>
      <c r="D1168">
        <v>0</v>
      </c>
      <c r="E1168">
        <v>0</v>
      </c>
      <c r="F1168">
        <v>2400</v>
      </c>
      <c r="G1168">
        <v>1383.5379639</v>
      </c>
      <c r="H1168">
        <v>1369.5634766000001</v>
      </c>
      <c r="I1168">
        <v>1286.3972168</v>
      </c>
      <c r="J1168">
        <v>1266.7416992000001</v>
      </c>
      <c r="K1168">
        <v>80</v>
      </c>
      <c r="L1168">
        <v>79.949226378999995</v>
      </c>
      <c r="M1168">
        <v>50</v>
      </c>
      <c r="N1168">
        <v>45.329101561999998</v>
      </c>
    </row>
    <row r="1169" spans="1:14" x14ac:dyDescent="0.25">
      <c r="A1169">
        <v>794.48756000000003</v>
      </c>
      <c r="B1169" s="1">
        <f>DATE(2012,7,3) + TIME(11,42,5)</f>
        <v>41093.487557870372</v>
      </c>
      <c r="C1169">
        <v>2400</v>
      </c>
      <c r="D1169">
        <v>0</v>
      </c>
      <c r="E1169">
        <v>0</v>
      </c>
      <c r="F1169">
        <v>2400</v>
      </c>
      <c r="G1169">
        <v>1383.4750977000001</v>
      </c>
      <c r="H1169">
        <v>1369.5019531</v>
      </c>
      <c r="I1169">
        <v>1286.3431396000001</v>
      </c>
      <c r="J1169">
        <v>1266.6647949000001</v>
      </c>
      <c r="K1169">
        <v>80</v>
      </c>
      <c r="L1169">
        <v>79.949279785000002</v>
      </c>
      <c r="M1169">
        <v>50</v>
      </c>
      <c r="N1169">
        <v>45.24773407</v>
      </c>
    </row>
    <row r="1170" spans="1:14" x14ac:dyDescent="0.25">
      <c r="A1170">
        <v>795.74849400000005</v>
      </c>
      <c r="B1170" s="1">
        <f>DATE(2012,7,4) + TIME(17,57,49)</f>
        <v>41094.748483796298</v>
      </c>
      <c r="C1170">
        <v>2400</v>
      </c>
      <c r="D1170">
        <v>0</v>
      </c>
      <c r="E1170">
        <v>0</v>
      </c>
      <c r="F1170">
        <v>2400</v>
      </c>
      <c r="G1170">
        <v>1383.4123535000001</v>
      </c>
      <c r="H1170">
        <v>1369.4404297000001</v>
      </c>
      <c r="I1170">
        <v>1286.2872314000001</v>
      </c>
      <c r="J1170">
        <v>1266.5847168</v>
      </c>
      <c r="K1170">
        <v>80</v>
      </c>
      <c r="L1170">
        <v>79.949333190999994</v>
      </c>
      <c r="M1170">
        <v>50</v>
      </c>
      <c r="N1170">
        <v>45.163085938000002</v>
      </c>
    </row>
    <row r="1171" spans="1:14" x14ac:dyDescent="0.25">
      <c r="A1171">
        <v>797.02735600000005</v>
      </c>
      <c r="B1171" s="1">
        <f>DATE(2012,7,6) + TIME(0,39,23)</f>
        <v>41096.027349537035</v>
      </c>
      <c r="C1171">
        <v>2400</v>
      </c>
      <c r="D1171">
        <v>0</v>
      </c>
      <c r="E1171">
        <v>0</v>
      </c>
      <c r="F1171">
        <v>2400</v>
      </c>
      <c r="G1171">
        <v>1383.3498535000001</v>
      </c>
      <c r="H1171">
        <v>1369.3791504000001</v>
      </c>
      <c r="I1171">
        <v>1286.2298584</v>
      </c>
      <c r="J1171">
        <v>1266.5017089999999</v>
      </c>
      <c r="K1171">
        <v>80</v>
      </c>
      <c r="L1171">
        <v>79.949386597</v>
      </c>
      <c r="M1171">
        <v>50</v>
      </c>
      <c r="N1171">
        <v>45.076183319000002</v>
      </c>
    </row>
    <row r="1172" spans="1:14" x14ac:dyDescent="0.25">
      <c r="A1172">
        <v>798.32850299999996</v>
      </c>
      <c r="B1172" s="1">
        <f>DATE(2012,7,7) + TIME(7,53,2)</f>
        <v>41097.32849537037</v>
      </c>
      <c r="C1172">
        <v>2400</v>
      </c>
      <c r="D1172">
        <v>0</v>
      </c>
      <c r="E1172">
        <v>0</v>
      </c>
      <c r="F1172">
        <v>2400</v>
      </c>
      <c r="G1172">
        <v>1383.2873535000001</v>
      </c>
      <c r="H1172">
        <v>1369.317749</v>
      </c>
      <c r="I1172">
        <v>1286.1705322</v>
      </c>
      <c r="J1172">
        <v>1266.4156493999999</v>
      </c>
      <c r="K1172">
        <v>80</v>
      </c>
      <c r="L1172">
        <v>79.949447632000002</v>
      </c>
      <c r="M1172">
        <v>50</v>
      </c>
      <c r="N1172">
        <v>44.987251282000003</v>
      </c>
    </row>
    <row r="1173" spans="1:14" x14ac:dyDescent="0.25">
      <c r="A1173">
        <v>799.65657899999997</v>
      </c>
      <c r="B1173" s="1">
        <f>DATE(2012,7,8) + TIME(15,45,28)</f>
        <v>41098.656574074077</v>
      </c>
      <c r="C1173">
        <v>2400</v>
      </c>
      <c r="D1173">
        <v>0</v>
      </c>
      <c r="E1173">
        <v>0</v>
      </c>
      <c r="F1173">
        <v>2400</v>
      </c>
      <c r="G1173">
        <v>1383.2247314000001</v>
      </c>
      <c r="H1173">
        <v>1369.2562256000001</v>
      </c>
      <c r="I1173">
        <v>1286.1092529</v>
      </c>
      <c r="J1173">
        <v>1266.3262939000001</v>
      </c>
      <c r="K1173">
        <v>80</v>
      </c>
      <c r="L1173">
        <v>79.949501037999994</v>
      </c>
      <c r="M1173">
        <v>50</v>
      </c>
      <c r="N1173">
        <v>44.896163940000001</v>
      </c>
    </row>
    <row r="1174" spans="1:14" x14ac:dyDescent="0.25">
      <c r="A1174">
        <v>801.01713900000004</v>
      </c>
      <c r="B1174" s="1">
        <f>DATE(2012,7,10) + TIME(0,24,40)</f>
        <v>41100.017129629632</v>
      </c>
      <c r="C1174">
        <v>2400</v>
      </c>
      <c r="D1174">
        <v>0</v>
      </c>
      <c r="E1174">
        <v>0</v>
      </c>
      <c r="F1174">
        <v>2400</v>
      </c>
      <c r="G1174">
        <v>1383.1617432</v>
      </c>
      <c r="H1174">
        <v>1369.1940918</v>
      </c>
      <c r="I1174">
        <v>1286.0455322</v>
      </c>
      <c r="J1174">
        <v>1266.2332764</v>
      </c>
      <c r="K1174">
        <v>80</v>
      </c>
      <c r="L1174">
        <v>79.949562072999996</v>
      </c>
      <c r="M1174">
        <v>50</v>
      </c>
      <c r="N1174">
        <v>44.802627563000001</v>
      </c>
    </row>
    <row r="1175" spans="1:14" x14ac:dyDescent="0.25">
      <c r="A1175">
        <v>802.40325099999995</v>
      </c>
      <c r="B1175" s="1">
        <f>DATE(2012,7,11) + TIME(9,40,40)</f>
        <v>41101.403240740743</v>
      </c>
      <c r="C1175">
        <v>2400</v>
      </c>
      <c r="D1175">
        <v>0</v>
      </c>
      <c r="E1175">
        <v>0</v>
      </c>
      <c r="F1175">
        <v>2400</v>
      </c>
      <c r="G1175">
        <v>1383.0980225000001</v>
      </c>
      <c r="H1175">
        <v>1369.1314697</v>
      </c>
      <c r="I1175">
        <v>1285.9792480000001</v>
      </c>
      <c r="J1175">
        <v>1266.1362305</v>
      </c>
      <c r="K1175">
        <v>80</v>
      </c>
      <c r="L1175">
        <v>79.949615479000002</v>
      </c>
      <c r="M1175">
        <v>50</v>
      </c>
      <c r="N1175">
        <v>44.706592559999997</v>
      </c>
    </row>
    <row r="1176" spans="1:14" x14ac:dyDescent="0.25">
      <c r="A1176">
        <v>803.79383700000005</v>
      </c>
      <c r="B1176" s="1">
        <f>DATE(2012,7,12) + TIME(19,3,7)</f>
        <v>41102.79383101852</v>
      </c>
      <c r="C1176">
        <v>2400</v>
      </c>
      <c r="D1176">
        <v>0</v>
      </c>
      <c r="E1176">
        <v>0</v>
      </c>
      <c r="F1176">
        <v>2400</v>
      </c>
      <c r="G1176">
        <v>1383.0340576000001</v>
      </c>
      <c r="H1176">
        <v>1369.0683594</v>
      </c>
      <c r="I1176">
        <v>1285.9104004000001</v>
      </c>
      <c r="J1176">
        <v>1266.0354004000001</v>
      </c>
      <c r="K1176">
        <v>80</v>
      </c>
      <c r="L1176">
        <v>79.949676514000004</v>
      </c>
      <c r="M1176">
        <v>50</v>
      </c>
      <c r="N1176">
        <v>44.608680724999999</v>
      </c>
    </row>
    <row r="1177" spans="1:14" x14ac:dyDescent="0.25">
      <c r="A1177">
        <v>805.18971399999998</v>
      </c>
      <c r="B1177" s="1">
        <f>DATE(2012,7,14) + TIME(4,33,11)</f>
        <v>41104.189710648148</v>
      </c>
      <c r="C1177">
        <v>2400</v>
      </c>
      <c r="D1177">
        <v>0</v>
      </c>
      <c r="E1177">
        <v>0</v>
      </c>
      <c r="F1177">
        <v>2400</v>
      </c>
      <c r="G1177">
        <v>1382.9707031</v>
      </c>
      <c r="H1177">
        <v>1369.0058594</v>
      </c>
      <c r="I1177">
        <v>1285.8402100000001</v>
      </c>
      <c r="J1177">
        <v>1265.9320068</v>
      </c>
      <c r="K1177">
        <v>80</v>
      </c>
      <c r="L1177">
        <v>79.949737549000005</v>
      </c>
      <c r="M1177">
        <v>50</v>
      </c>
      <c r="N1177">
        <v>44.509429932000003</v>
      </c>
    </row>
    <row r="1178" spans="1:14" x14ac:dyDescent="0.25">
      <c r="A1178">
        <v>806.58559000000002</v>
      </c>
      <c r="B1178" s="1">
        <f>DATE(2012,7,15) + TIME(14,3,14)</f>
        <v>41105.585578703707</v>
      </c>
      <c r="C1178">
        <v>2400</v>
      </c>
      <c r="D1178">
        <v>0</v>
      </c>
      <c r="E1178">
        <v>0</v>
      </c>
      <c r="F1178">
        <v>2400</v>
      </c>
      <c r="G1178">
        <v>1382.9080810999999</v>
      </c>
      <c r="H1178">
        <v>1368.9439697</v>
      </c>
      <c r="I1178">
        <v>1285.7685547000001</v>
      </c>
      <c r="J1178">
        <v>1265.8261719</v>
      </c>
      <c r="K1178">
        <v>80</v>
      </c>
      <c r="L1178">
        <v>79.949798584000007</v>
      </c>
      <c r="M1178">
        <v>50</v>
      </c>
      <c r="N1178">
        <v>44.409168243000003</v>
      </c>
    </row>
    <row r="1179" spans="1:14" x14ac:dyDescent="0.25">
      <c r="A1179">
        <v>808.00595299999998</v>
      </c>
      <c r="B1179" s="1">
        <f>DATE(2012,7,17) + TIME(0,8,34)</f>
        <v>41107.005949074075</v>
      </c>
      <c r="C1179">
        <v>2400</v>
      </c>
      <c r="D1179">
        <v>0</v>
      </c>
      <c r="E1179">
        <v>0</v>
      </c>
      <c r="F1179">
        <v>2400</v>
      </c>
      <c r="G1179">
        <v>1382.8461914</v>
      </c>
      <c r="H1179">
        <v>1368.8826904</v>
      </c>
      <c r="I1179">
        <v>1285.6958007999999</v>
      </c>
      <c r="J1179">
        <v>1265.7181396000001</v>
      </c>
      <c r="K1179">
        <v>80</v>
      </c>
      <c r="L1179">
        <v>79.949851989999999</v>
      </c>
      <c r="M1179">
        <v>50</v>
      </c>
      <c r="N1179">
        <v>44.307411193999997</v>
      </c>
    </row>
    <row r="1180" spans="1:14" x14ac:dyDescent="0.25">
      <c r="A1180">
        <v>809.44609800000001</v>
      </c>
      <c r="B1180" s="1">
        <f>DATE(2012,7,18) + TIME(10,42,22)</f>
        <v>41108.446087962962</v>
      </c>
      <c r="C1180">
        <v>2400</v>
      </c>
      <c r="D1180">
        <v>0</v>
      </c>
      <c r="E1180">
        <v>0</v>
      </c>
      <c r="F1180">
        <v>2400</v>
      </c>
      <c r="G1180">
        <v>1382.7840576000001</v>
      </c>
      <c r="H1180">
        <v>1368.8212891000001</v>
      </c>
      <c r="I1180">
        <v>1285.6206055</v>
      </c>
      <c r="J1180">
        <v>1265.6062012</v>
      </c>
      <c r="K1180">
        <v>80</v>
      </c>
      <c r="L1180">
        <v>79.949913025000001</v>
      </c>
      <c r="M1180">
        <v>50</v>
      </c>
      <c r="N1180">
        <v>44.203678130999997</v>
      </c>
    </row>
    <row r="1181" spans="1:14" x14ac:dyDescent="0.25">
      <c r="A1181">
        <v>810.91322100000002</v>
      </c>
      <c r="B1181" s="1">
        <f>DATE(2012,7,19) + TIME(21,55,2)</f>
        <v>41109.913217592592</v>
      </c>
      <c r="C1181">
        <v>2400</v>
      </c>
      <c r="D1181">
        <v>0</v>
      </c>
      <c r="E1181">
        <v>0</v>
      </c>
      <c r="F1181">
        <v>2400</v>
      </c>
      <c r="G1181">
        <v>1382.7219238</v>
      </c>
      <c r="H1181">
        <v>1368.7596435999999</v>
      </c>
      <c r="I1181">
        <v>1285.5432129000001</v>
      </c>
      <c r="J1181">
        <v>1265.4907227000001</v>
      </c>
      <c r="K1181">
        <v>80</v>
      </c>
      <c r="L1181">
        <v>79.949981688999998</v>
      </c>
      <c r="M1181">
        <v>50</v>
      </c>
      <c r="N1181">
        <v>44.097629546999997</v>
      </c>
    </row>
    <row r="1182" spans="1:14" x14ac:dyDescent="0.25">
      <c r="A1182">
        <v>812.40296000000001</v>
      </c>
      <c r="B1182" s="1">
        <f>DATE(2012,7,21) + TIME(9,40,15)</f>
        <v>41111.402951388889</v>
      </c>
      <c r="C1182">
        <v>2400</v>
      </c>
      <c r="D1182">
        <v>0</v>
      </c>
      <c r="E1182">
        <v>0</v>
      </c>
      <c r="F1182">
        <v>2400</v>
      </c>
      <c r="G1182">
        <v>1382.6594238</v>
      </c>
      <c r="H1182">
        <v>1368.6977539</v>
      </c>
      <c r="I1182">
        <v>1285.4631348</v>
      </c>
      <c r="J1182">
        <v>1265.3708495999999</v>
      </c>
      <c r="K1182">
        <v>80</v>
      </c>
      <c r="L1182">
        <v>79.950042725000003</v>
      </c>
      <c r="M1182">
        <v>50</v>
      </c>
      <c r="N1182">
        <v>43.989093781000001</v>
      </c>
    </row>
    <row r="1183" spans="1:14" x14ac:dyDescent="0.25">
      <c r="A1183">
        <v>813.91540799999996</v>
      </c>
      <c r="B1183" s="1">
        <f>DATE(2012,7,22) + TIME(21,58,11)</f>
        <v>41112.915405092594</v>
      </c>
      <c r="C1183">
        <v>2400</v>
      </c>
      <c r="D1183">
        <v>0</v>
      </c>
      <c r="E1183">
        <v>0</v>
      </c>
      <c r="F1183">
        <v>2400</v>
      </c>
      <c r="G1183">
        <v>1382.5968018000001</v>
      </c>
      <c r="H1183">
        <v>1368.6354980000001</v>
      </c>
      <c r="I1183">
        <v>1285.3807373</v>
      </c>
      <c r="J1183">
        <v>1265.2470702999999</v>
      </c>
      <c r="K1183">
        <v>80</v>
      </c>
      <c r="L1183">
        <v>79.950103760000005</v>
      </c>
      <c r="M1183">
        <v>50</v>
      </c>
      <c r="N1183">
        <v>43.878051757999998</v>
      </c>
    </row>
    <row r="1184" spans="1:14" x14ac:dyDescent="0.25">
      <c r="A1184">
        <v>815.45805800000005</v>
      </c>
      <c r="B1184" s="1">
        <f>DATE(2012,7,24) + TIME(10,59,36)</f>
        <v>41114.458055555559</v>
      </c>
      <c r="C1184">
        <v>2400</v>
      </c>
      <c r="D1184">
        <v>0</v>
      </c>
      <c r="E1184">
        <v>0</v>
      </c>
      <c r="F1184">
        <v>2400</v>
      </c>
      <c r="G1184">
        <v>1382.5340576000001</v>
      </c>
      <c r="H1184">
        <v>1368.5731201000001</v>
      </c>
      <c r="I1184">
        <v>1285.2957764</v>
      </c>
      <c r="J1184">
        <v>1265.1190185999999</v>
      </c>
      <c r="K1184">
        <v>80</v>
      </c>
      <c r="L1184">
        <v>79.950172424000002</v>
      </c>
      <c r="M1184">
        <v>50</v>
      </c>
      <c r="N1184">
        <v>43.764259338000002</v>
      </c>
    </row>
    <row r="1185" spans="1:14" x14ac:dyDescent="0.25">
      <c r="A1185">
        <v>817.01521100000002</v>
      </c>
      <c r="B1185" s="1">
        <f>DATE(2012,7,26) + TIME(0,21,54)</f>
        <v>41116.015208333331</v>
      </c>
      <c r="C1185">
        <v>2400</v>
      </c>
      <c r="D1185">
        <v>0</v>
      </c>
      <c r="E1185">
        <v>0</v>
      </c>
      <c r="F1185">
        <v>2400</v>
      </c>
      <c r="G1185">
        <v>1382.4708252</v>
      </c>
      <c r="H1185">
        <v>1368.5102539</v>
      </c>
      <c r="I1185">
        <v>1285.2078856999999</v>
      </c>
      <c r="J1185">
        <v>1264.9864502</v>
      </c>
      <c r="K1185">
        <v>80</v>
      </c>
      <c r="L1185">
        <v>79.950241089000002</v>
      </c>
      <c r="M1185">
        <v>50</v>
      </c>
      <c r="N1185">
        <v>43.647872925000001</v>
      </c>
    </row>
    <row r="1186" spans="1:14" x14ac:dyDescent="0.25">
      <c r="A1186">
        <v>818.58090600000003</v>
      </c>
      <c r="B1186" s="1">
        <f>DATE(2012,7,27) + TIME(13,56,30)</f>
        <v>41117.58090277778</v>
      </c>
      <c r="C1186">
        <v>2400</v>
      </c>
      <c r="D1186">
        <v>0</v>
      </c>
      <c r="E1186">
        <v>0</v>
      </c>
      <c r="F1186">
        <v>2400</v>
      </c>
      <c r="G1186">
        <v>1382.4078368999999</v>
      </c>
      <c r="H1186">
        <v>1368.4475098</v>
      </c>
      <c r="I1186">
        <v>1285.1180420000001</v>
      </c>
      <c r="J1186">
        <v>1264.8502197</v>
      </c>
      <c r="K1186">
        <v>80</v>
      </c>
      <c r="L1186">
        <v>79.950302124000004</v>
      </c>
      <c r="M1186">
        <v>50</v>
      </c>
      <c r="N1186">
        <v>43.529411316000001</v>
      </c>
    </row>
    <row r="1187" spans="1:14" x14ac:dyDescent="0.25">
      <c r="A1187">
        <v>820.16043100000002</v>
      </c>
      <c r="B1187" s="1">
        <f>DATE(2012,7,29) + TIME(3,51,1)</f>
        <v>41119.160428240742</v>
      </c>
      <c r="C1187">
        <v>2400</v>
      </c>
      <c r="D1187">
        <v>0</v>
      </c>
      <c r="E1187">
        <v>0</v>
      </c>
      <c r="F1187">
        <v>2400</v>
      </c>
      <c r="G1187">
        <v>1382.3452147999999</v>
      </c>
      <c r="H1187">
        <v>1368.3851318</v>
      </c>
      <c r="I1187">
        <v>1285.0263672000001</v>
      </c>
      <c r="J1187">
        <v>1264.7108154</v>
      </c>
      <c r="K1187">
        <v>80</v>
      </c>
      <c r="L1187">
        <v>79.950370789000004</v>
      </c>
      <c r="M1187">
        <v>50</v>
      </c>
      <c r="N1187">
        <v>43.409042358000001</v>
      </c>
    </row>
    <row r="1188" spans="1:14" x14ac:dyDescent="0.25">
      <c r="A1188">
        <v>821.73995600000001</v>
      </c>
      <c r="B1188" s="1">
        <f>DATE(2012,7,30) + TIME(17,45,32)</f>
        <v>41120.739953703705</v>
      </c>
      <c r="C1188">
        <v>2400</v>
      </c>
      <c r="D1188">
        <v>0</v>
      </c>
      <c r="E1188">
        <v>0</v>
      </c>
      <c r="F1188">
        <v>2400</v>
      </c>
      <c r="G1188">
        <v>1382.2828368999999</v>
      </c>
      <c r="H1188">
        <v>1368.322876</v>
      </c>
      <c r="I1188">
        <v>1284.9327393000001</v>
      </c>
      <c r="J1188">
        <v>1264.5679932</v>
      </c>
      <c r="K1188">
        <v>80</v>
      </c>
      <c r="L1188">
        <v>79.950439453000001</v>
      </c>
      <c r="M1188">
        <v>50</v>
      </c>
      <c r="N1188">
        <v>43.287086487000003</v>
      </c>
    </row>
    <row r="1189" spans="1:14" x14ac:dyDescent="0.25">
      <c r="A1189">
        <v>823</v>
      </c>
      <c r="B1189" s="1">
        <f>DATE(2012,8,1) + TIME(0,0,0)</f>
        <v>41122</v>
      </c>
      <c r="C1189">
        <v>2400</v>
      </c>
      <c r="D1189">
        <v>0</v>
      </c>
      <c r="E1189">
        <v>0</v>
      </c>
      <c r="F1189">
        <v>2400</v>
      </c>
      <c r="G1189">
        <v>1382.2211914</v>
      </c>
      <c r="H1189">
        <v>1368.2613524999999</v>
      </c>
      <c r="I1189">
        <v>1284.8380127</v>
      </c>
      <c r="J1189">
        <v>1264.4266356999999</v>
      </c>
      <c r="K1189">
        <v>80</v>
      </c>
      <c r="L1189">
        <v>79.950492858999993</v>
      </c>
      <c r="M1189">
        <v>50</v>
      </c>
      <c r="N1189">
        <v>43.174278258999998</v>
      </c>
    </row>
    <row r="1190" spans="1:14" x14ac:dyDescent="0.25">
      <c r="A1190">
        <v>824.57952499999999</v>
      </c>
      <c r="B1190" s="1">
        <f>DATE(2012,8,2) + TIME(13,54,30)</f>
        <v>41123.579513888886</v>
      </c>
      <c r="C1190">
        <v>2400</v>
      </c>
      <c r="D1190">
        <v>0</v>
      </c>
      <c r="E1190">
        <v>0</v>
      </c>
      <c r="F1190">
        <v>2400</v>
      </c>
      <c r="G1190">
        <v>1382.1726074000001</v>
      </c>
      <c r="H1190">
        <v>1368.2126464999999</v>
      </c>
      <c r="I1190">
        <v>1284.760376</v>
      </c>
      <c r="J1190">
        <v>1264.3020019999999</v>
      </c>
      <c r="K1190">
        <v>80</v>
      </c>
      <c r="L1190">
        <v>79.950561523000005</v>
      </c>
      <c r="M1190">
        <v>50</v>
      </c>
      <c r="N1190">
        <v>43.059661865000002</v>
      </c>
    </row>
    <row r="1191" spans="1:14" x14ac:dyDescent="0.25">
      <c r="A1191">
        <v>826.23501399999998</v>
      </c>
      <c r="B1191" s="1">
        <f>DATE(2012,8,4) + TIME(5,38,25)</f>
        <v>41125.235011574077</v>
      </c>
      <c r="C1191">
        <v>2400</v>
      </c>
      <c r="D1191">
        <v>0</v>
      </c>
      <c r="E1191">
        <v>0</v>
      </c>
      <c r="F1191">
        <v>2400</v>
      </c>
      <c r="G1191">
        <v>1382.1123047000001</v>
      </c>
      <c r="H1191">
        <v>1368.1524658000001</v>
      </c>
      <c r="I1191">
        <v>1284.6644286999999</v>
      </c>
      <c r="J1191">
        <v>1264.1545410000001</v>
      </c>
      <c r="K1191">
        <v>80</v>
      </c>
      <c r="L1191">
        <v>79.950630188000005</v>
      </c>
      <c r="M1191">
        <v>50</v>
      </c>
      <c r="N1191">
        <v>42.936100005999997</v>
      </c>
    </row>
    <row r="1192" spans="1:14" x14ac:dyDescent="0.25">
      <c r="A1192">
        <v>827.91770299999996</v>
      </c>
      <c r="B1192" s="1">
        <f>DATE(2012,8,5) + TIME(22,1,29)</f>
        <v>41126.917696759258</v>
      </c>
      <c r="C1192">
        <v>2400</v>
      </c>
      <c r="D1192">
        <v>0</v>
      </c>
      <c r="E1192">
        <v>0</v>
      </c>
      <c r="F1192">
        <v>2400</v>
      </c>
      <c r="G1192">
        <v>1382.0498047000001</v>
      </c>
      <c r="H1192">
        <v>1368.0898437999999</v>
      </c>
      <c r="I1192">
        <v>1284.5625</v>
      </c>
      <c r="J1192">
        <v>1263.9978027</v>
      </c>
      <c r="K1192">
        <v>80</v>
      </c>
      <c r="L1192">
        <v>79.950698853000006</v>
      </c>
      <c r="M1192">
        <v>50</v>
      </c>
      <c r="N1192">
        <v>42.806125641000001</v>
      </c>
    </row>
    <row r="1193" spans="1:14" x14ac:dyDescent="0.25">
      <c r="A1193">
        <v>829.63420799999994</v>
      </c>
      <c r="B1193" s="1">
        <f>DATE(2012,8,7) + TIME(15,13,15)</f>
        <v>41128.634201388886</v>
      </c>
      <c r="C1193">
        <v>2400</v>
      </c>
      <c r="D1193">
        <v>0</v>
      </c>
      <c r="E1193">
        <v>0</v>
      </c>
      <c r="F1193">
        <v>2400</v>
      </c>
      <c r="G1193">
        <v>1381.9870605000001</v>
      </c>
      <c r="H1193">
        <v>1368.0269774999999</v>
      </c>
      <c r="I1193">
        <v>1284.4577637</v>
      </c>
      <c r="J1193">
        <v>1263.8354492000001</v>
      </c>
      <c r="K1193">
        <v>80</v>
      </c>
      <c r="L1193">
        <v>79.950775145999998</v>
      </c>
      <c r="M1193">
        <v>50</v>
      </c>
      <c r="N1193">
        <v>42.671695708999998</v>
      </c>
    </row>
    <row r="1194" spans="1:14" x14ac:dyDescent="0.25">
      <c r="A1194">
        <v>831.37162699999999</v>
      </c>
      <c r="B1194" s="1">
        <f>DATE(2012,8,9) + TIME(8,55,8)</f>
        <v>41130.371620370373</v>
      </c>
      <c r="C1194">
        <v>2400</v>
      </c>
      <c r="D1194">
        <v>0</v>
      </c>
      <c r="E1194">
        <v>0</v>
      </c>
      <c r="F1194">
        <v>2400</v>
      </c>
      <c r="G1194">
        <v>1381.9237060999999</v>
      </c>
      <c r="H1194">
        <v>1367.963501</v>
      </c>
      <c r="I1194">
        <v>1284.3498535000001</v>
      </c>
      <c r="J1194">
        <v>1263.6676024999999</v>
      </c>
      <c r="K1194">
        <v>80</v>
      </c>
      <c r="L1194">
        <v>79.950843810999999</v>
      </c>
      <c r="M1194">
        <v>50</v>
      </c>
      <c r="N1194">
        <v>42.533695221000002</v>
      </c>
    </row>
    <row r="1195" spans="1:14" x14ac:dyDescent="0.25">
      <c r="A1195">
        <v>833.12174800000003</v>
      </c>
      <c r="B1195" s="1">
        <f>DATE(2012,8,11) + TIME(2,55,18)</f>
        <v>41132.121736111112</v>
      </c>
      <c r="C1195">
        <v>2400</v>
      </c>
      <c r="D1195">
        <v>0</v>
      </c>
      <c r="E1195">
        <v>0</v>
      </c>
      <c r="F1195">
        <v>2400</v>
      </c>
      <c r="G1195">
        <v>1381.8603516000001</v>
      </c>
      <c r="H1195">
        <v>1367.8997803</v>
      </c>
      <c r="I1195">
        <v>1284.239624</v>
      </c>
      <c r="J1195">
        <v>1263.4956055</v>
      </c>
      <c r="K1195">
        <v>80</v>
      </c>
      <c r="L1195">
        <v>79.950920104999994</v>
      </c>
      <c r="M1195">
        <v>50</v>
      </c>
      <c r="N1195">
        <v>42.392990112</v>
      </c>
    </row>
    <row r="1196" spans="1:14" x14ac:dyDescent="0.25">
      <c r="A1196">
        <v>834.88917000000004</v>
      </c>
      <c r="B1196" s="1">
        <f>DATE(2012,8,12) + TIME(21,20,24)</f>
        <v>41133.889166666668</v>
      </c>
      <c r="C1196">
        <v>2400</v>
      </c>
      <c r="D1196">
        <v>0</v>
      </c>
      <c r="E1196">
        <v>0</v>
      </c>
      <c r="F1196">
        <v>2400</v>
      </c>
      <c r="G1196">
        <v>1381.7973632999999</v>
      </c>
      <c r="H1196">
        <v>1367.8364257999999</v>
      </c>
      <c r="I1196">
        <v>1284.1275635</v>
      </c>
      <c r="J1196">
        <v>1263.3200684000001</v>
      </c>
      <c r="K1196">
        <v>80</v>
      </c>
      <c r="L1196">
        <v>79.950996399000005</v>
      </c>
      <c r="M1196">
        <v>50</v>
      </c>
      <c r="N1196">
        <v>42.250015259000001</v>
      </c>
    </row>
    <row r="1197" spans="1:14" x14ac:dyDescent="0.25">
      <c r="A1197">
        <v>836.66904999999997</v>
      </c>
      <c r="B1197" s="1">
        <f>DATE(2012,8,14) + TIME(16,3,25)</f>
        <v>41135.669039351851</v>
      </c>
      <c r="C1197">
        <v>2400</v>
      </c>
      <c r="D1197">
        <v>0</v>
      </c>
      <c r="E1197">
        <v>0</v>
      </c>
      <c r="F1197">
        <v>2400</v>
      </c>
      <c r="G1197">
        <v>1381.7342529</v>
      </c>
      <c r="H1197">
        <v>1367.7729492000001</v>
      </c>
      <c r="I1197">
        <v>1284.0137939000001</v>
      </c>
      <c r="J1197">
        <v>1263.1411132999999</v>
      </c>
      <c r="K1197">
        <v>80</v>
      </c>
      <c r="L1197">
        <v>79.951072693</v>
      </c>
      <c r="M1197">
        <v>50</v>
      </c>
      <c r="N1197">
        <v>42.104957581000001</v>
      </c>
    </row>
    <row r="1198" spans="1:14" x14ac:dyDescent="0.25">
      <c r="A1198">
        <v>838.44892900000002</v>
      </c>
      <c r="B1198" s="1">
        <f>DATE(2012,8,16) + TIME(10,46,27)</f>
        <v>41137.448923611111</v>
      </c>
      <c r="C1198">
        <v>2400</v>
      </c>
      <c r="D1198">
        <v>0</v>
      </c>
      <c r="E1198">
        <v>0</v>
      </c>
      <c r="F1198">
        <v>2400</v>
      </c>
      <c r="G1198">
        <v>1381.6715088000001</v>
      </c>
      <c r="H1198">
        <v>1367.7097168</v>
      </c>
      <c r="I1198">
        <v>1283.8984375</v>
      </c>
      <c r="J1198">
        <v>1262.9591064000001</v>
      </c>
      <c r="K1198">
        <v>80</v>
      </c>
      <c r="L1198">
        <v>79.951141356999997</v>
      </c>
      <c r="M1198">
        <v>50</v>
      </c>
      <c r="N1198">
        <v>41.958400726000001</v>
      </c>
    </row>
    <row r="1199" spans="1:14" x14ac:dyDescent="0.25">
      <c r="A1199">
        <v>840.27142600000002</v>
      </c>
      <c r="B1199" s="1">
        <f>DATE(2012,8,18) + TIME(6,30,51)</f>
        <v>41139.271423611113</v>
      </c>
      <c r="C1199">
        <v>2400</v>
      </c>
      <c r="D1199">
        <v>0</v>
      </c>
      <c r="E1199">
        <v>0</v>
      </c>
      <c r="F1199">
        <v>2400</v>
      </c>
      <c r="G1199">
        <v>1381.609375</v>
      </c>
      <c r="H1199">
        <v>1367.6470947</v>
      </c>
      <c r="I1199">
        <v>1283.7824707</v>
      </c>
      <c r="J1199">
        <v>1262.7749022999999</v>
      </c>
      <c r="K1199">
        <v>80</v>
      </c>
      <c r="L1199">
        <v>79.951217650999993</v>
      </c>
      <c r="M1199">
        <v>50</v>
      </c>
      <c r="N1199">
        <v>41.809791564999998</v>
      </c>
    </row>
    <row r="1200" spans="1:14" x14ac:dyDescent="0.25">
      <c r="A1200">
        <v>842.12413300000003</v>
      </c>
      <c r="B1200" s="1">
        <f>DATE(2012,8,20) + TIME(2,58,45)</f>
        <v>41141.124131944445</v>
      </c>
      <c r="C1200">
        <v>2400</v>
      </c>
      <c r="D1200">
        <v>0</v>
      </c>
      <c r="E1200">
        <v>0</v>
      </c>
      <c r="F1200">
        <v>2400</v>
      </c>
      <c r="G1200">
        <v>1381.5465088000001</v>
      </c>
      <c r="H1200">
        <v>1367.5836182</v>
      </c>
      <c r="I1200">
        <v>1283.6633300999999</v>
      </c>
      <c r="J1200">
        <v>1262.5855713000001</v>
      </c>
      <c r="K1200">
        <v>80</v>
      </c>
      <c r="L1200">
        <v>79.951293945000003</v>
      </c>
      <c r="M1200">
        <v>50</v>
      </c>
      <c r="N1200">
        <v>41.658149719000001</v>
      </c>
    </row>
    <row r="1201" spans="1:14" x14ac:dyDescent="0.25">
      <c r="A1201">
        <v>843.97683900000004</v>
      </c>
      <c r="B1201" s="1">
        <f>DATE(2012,8,21) + TIME(23,26,38)</f>
        <v>41142.9768287037</v>
      </c>
      <c r="C1201">
        <v>2400</v>
      </c>
      <c r="D1201">
        <v>0</v>
      </c>
      <c r="E1201">
        <v>0</v>
      </c>
      <c r="F1201">
        <v>2400</v>
      </c>
      <c r="G1201">
        <v>1381.4831543</v>
      </c>
      <c r="H1201">
        <v>1367.5196533000001</v>
      </c>
      <c r="I1201">
        <v>1283.5419922000001</v>
      </c>
      <c r="J1201">
        <v>1262.3920897999999</v>
      </c>
      <c r="K1201">
        <v>80</v>
      </c>
      <c r="L1201">
        <v>79.951370238999999</v>
      </c>
      <c r="M1201">
        <v>50</v>
      </c>
      <c r="N1201">
        <v>41.504367827999999</v>
      </c>
    </row>
    <row r="1202" spans="1:14" x14ac:dyDescent="0.25">
      <c r="A1202">
        <v>845.90283799999997</v>
      </c>
      <c r="B1202" s="1">
        <f>DATE(2012,8,23) + TIME(21,40,5)</f>
        <v>41144.90283564815</v>
      </c>
      <c r="C1202">
        <v>2400</v>
      </c>
      <c r="D1202">
        <v>0</v>
      </c>
      <c r="E1202">
        <v>0</v>
      </c>
      <c r="F1202">
        <v>2400</v>
      </c>
      <c r="G1202">
        <v>1381.4205322</v>
      </c>
      <c r="H1202">
        <v>1367.4562988</v>
      </c>
      <c r="I1202">
        <v>1283.4201660000001</v>
      </c>
      <c r="J1202">
        <v>1262.1962891000001</v>
      </c>
      <c r="K1202">
        <v>80</v>
      </c>
      <c r="L1202">
        <v>79.951454162999994</v>
      </c>
      <c r="M1202">
        <v>50</v>
      </c>
      <c r="N1202">
        <v>41.347808837999999</v>
      </c>
    </row>
    <row r="1203" spans="1:14" x14ac:dyDescent="0.25">
      <c r="A1203">
        <v>847.84028599999999</v>
      </c>
      <c r="B1203" s="1">
        <f>DATE(2012,8,25) + TIME(20,10,0)</f>
        <v>41146.840277777781</v>
      </c>
      <c r="C1203">
        <v>2400</v>
      </c>
      <c r="D1203">
        <v>0</v>
      </c>
      <c r="E1203">
        <v>0</v>
      </c>
      <c r="F1203">
        <v>2400</v>
      </c>
      <c r="G1203">
        <v>1381.355957</v>
      </c>
      <c r="H1203">
        <v>1367.3909911999999</v>
      </c>
      <c r="I1203">
        <v>1283.2938231999999</v>
      </c>
      <c r="J1203">
        <v>1261.9932861</v>
      </c>
      <c r="K1203">
        <v>80</v>
      </c>
      <c r="L1203">
        <v>79.951530457000004</v>
      </c>
      <c r="M1203">
        <v>50</v>
      </c>
      <c r="N1203">
        <v>41.187763214</v>
      </c>
    </row>
    <row r="1204" spans="1:14" x14ac:dyDescent="0.25">
      <c r="A1204">
        <v>849.78874499999995</v>
      </c>
      <c r="B1204" s="1">
        <f>DATE(2012,8,27) + TIME(18,55,47)</f>
        <v>41148.788738425923</v>
      </c>
      <c r="C1204">
        <v>2400</v>
      </c>
      <c r="D1204">
        <v>0</v>
      </c>
      <c r="E1204">
        <v>0</v>
      </c>
      <c r="F1204">
        <v>2400</v>
      </c>
      <c r="G1204">
        <v>1381.2917480000001</v>
      </c>
      <c r="H1204">
        <v>1367.3259277</v>
      </c>
      <c r="I1204">
        <v>1283.1665039</v>
      </c>
      <c r="J1204">
        <v>1261.7878418</v>
      </c>
      <c r="K1204">
        <v>80</v>
      </c>
      <c r="L1204">
        <v>79.951614379999995</v>
      </c>
      <c r="M1204">
        <v>50</v>
      </c>
      <c r="N1204">
        <v>41.026046753000003</v>
      </c>
    </row>
    <row r="1205" spans="1:14" x14ac:dyDescent="0.25">
      <c r="A1205">
        <v>851.75204799999995</v>
      </c>
      <c r="B1205" s="1">
        <f>DATE(2012,8,29) + TIME(18,2,56)</f>
        <v>41150.75203703704</v>
      </c>
      <c r="C1205">
        <v>2400</v>
      </c>
      <c r="D1205">
        <v>0</v>
      </c>
      <c r="E1205">
        <v>0</v>
      </c>
      <c r="F1205">
        <v>2400</v>
      </c>
      <c r="G1205">
        <v>1381.2277832</v>
      </c>
      <c r="H1205">
        <v>1367.2611084</v>
      </c>
      <c r="I1205">
        <v>1283.0386963000001</v>
      </c>
      <c r="J1205">
        <v>1261.5805664</v>
      </c>
      <c r="K1205">
        <v>80</v>
      </c>
      <c r="L1205">
        <v>79.951690674000005</v>
      </c>
      <c r="M1205">
        <v>50</v>
      </c>
      <c r="N1205">
        <v>40.863307953000003</v>
      </c>
    </row>
    <row r="1206" spans="1:14" x14ac:dyDescent="0.25">
      <c r="A1206">
        <v>853.73594900000001</v>
      </c>
      <c r="B1206" s="1">
        <f>DATE(2012,8,31) + TIME(17,39,46)</f>
        <v>41152.735949074071</v>
      </c>
      <c r="C1206">
        <v>2400</v>
      </c>
      <c r="D1206">
        <v>0</v>
      </c>
      <c r="E1206">
        <v>0</v>
      </c>
      <c r="F1206">
        <v>2400</v>
      </c>
      <c r="G1206">
        <v>1381.1639404</v>
      </c>
      <c r="H1206">
        <v>1367.1962891000001</v>
      </c>
      <c r="I1206">
        <v>1282.9102783000001</v>
      </c>
      <c r="J1206">
        <v>1261.3714600000001</v>
      </c>
      <c r="K1206">
        <v>80</v>
      </c>
      <c r="L1206">
        <v>79.951774596999996</v>
      </c>
      <c r="M1206">
        <v>50</v>
      </c>
      <c r="N1206">
        <v>40.699676513999997</v>
      </c>
    </row>
    <row r="1207" spans="1:14" x14ac:dyDescent="0.25">
      <c r="A1207">
        <v>854</v>
      </c>
      <c r="B1207" s="1">
        <f>DATE(2012,9,1) + TIME(0,0,0)</f>
        <v>41153</v>
      </c>
      <c r="C1207">
        <v>2400</v>
      </c>
      <c r="D1207">
        <v>0</v>
      </c>
      <c r="E1207">
        <v>0</v>
      </c>
      <c r="F1207">
        <v>2400</v>
      </c>
      <c r="G1207">
        <v>1381.1013184000001</v>
      </c>
      <c r="H1207">
        <v>1367.1333007999999</v>
      </c>
      <c r="I1207">
        <v>1282.7867432</v>
      </c>
      <c r="J1207">
        <v>1261.2120361</v>
      </c>
      <c r="K1207">
        <v>80</v>
      </c>
      <c r="L1207">
        <v>79.951782226999995</v>
      </c>
      <c r="M1207">
        <v>50</v>
      </c>
      <c r="N1207">
        <v>40.645095824999999</v>
      </c>
    </row>
    <row r="1208" spans="1:14" x14ac:dyDescent="0.25">
      <c r="A1208">
        <v>855.98390099999995</v>
      </c>
      <c r="B1208" s="1">
        <f>DATE(2012,9,2) + TIME(23,36,49)</f>
        <v>41154.983900462961</v>
      </c>
      <c r="C1208">
        <v>2400</v>
      </c>
      <c r="D1208">
        <v>0</v>
      </c>
      <c r="E1208">
        <v>0</v>
      </c>
      <c r="F1208">
        <v>2400</v>
      </c>
      <c r="G1208">
        <v>1381.0911865</v>
      </c>
      <c r="H1208">
        <v>1367.1223144999999</v>
      </c>
      <c r="I1208">
        <v>1282.7609863</v>
      </c>
      <c r="J1208">
        <v>1261.1239014</v>
      </c>
      <c r="K1208">
        <v>80</v>
      </c>
      <c r="L1208">
        <v>79.951866150000001</v>
      </c>
      <c r="M1208">
        <v>50</v>
      </c>
      <c r="N1208">
        <v>40.503868103000002</v>
      </c>
    </row>
    <row r="1209" spans="1:14" x14ac:dyDescent="0.25">
      <c r="A1209">
        <v>857.967803</v>
      </c>
      <c r="B1209" s="1">
        <f>DATE(2012,9,4) + TIME(23,13,38)</f>
        <v>41156.967800925922</v>
      </c>
      <c r="C1209">
        <v>2400</v>
      </c>
      <c r="D1209">
        <v>0</v>
      </c>
      <c r="E1209">
        <v>0</v>
      </c>
      <c r="F1209">
        <v>2400</v>
      </c>
      <c r="G1209">
        <v>1381.0281981999999</v>
      </c>
      <c r="H1209">
        <v>1367.0584716999999</v>
      </c>
      <c r="I1209">
        <v>1282.6350098</v>
      </c>
      <c r="J1209">
        <v>1260.9194336</v>
      </c>
      <c r="K1209">
        <v>80</v>
      </c>
      <c r="L1209">
        <v>79.951950073000006</v>
      </c>
      <c r="M1209">
        <v>50</v>
      </c>
      <c r="N1209">
        <v>40.347709655999999</v>
      </c>
    </row>
    <row r="1210" spans="1:14" x14ac:dyDescent="0.25">
      <c r="A1210">
        <v>860.05749900000001</v>
      </c>
      <c r="B1210" s="1">
        <f>DATE(2012,9,7) + TIME(1,22,47)</f>
        <v>41159.057488425926</v>
      </c>
      <c r="C1210">
        <v>2400</v>
      </c>
      <c r="D1210">
        <v>0</v>
      </c>
      <c r="E1210">
        <v>0</v>
      </c>
      <c r="F1210">
        <v>2400</v>
      </c>
      <c r="G1210">
        <v>1380.9654541</v>
      </c>
      <c r="H1210">
        <v>1366.9946289</v>
      </c>
      <c r="I1210">
        <v>1282.5084228999999</v>
      </c>
      <c r="J1210">
        <v>1260.7103271000001</v>
      </c>
      <c r="K1210">
        <v>80</v>
      </c>
      <c r="L1210">
        <v>79.952033997000001</v>
      </c>
      <c r="M1210">
        <v>50</v>
      </c>
      <c r="N1210">
        <v>40.185497284</v>
      </c>
    </row>
    <row r="1211" spans="1:14" x14ac:dyDescent="0.25">
      <c r="A1211">
        <v>862.14719500000001</v>
      </c>
      <c r="B1211" s="1">
        <f>DATE(2012,9,9) + TIME(3,31,57)</f>
        <v>41161.147187499999</v>
      </c>
      <c r="C1211">
        <v>2400</v>
      </c>
      <c r="D1211">
        <v>0</v>
      </c>
      <c r="E1211">
        <v>0</v>
      </c>
      <c r="F1211">
        <v>2400</v>
      </c>
      <c r="G1211">
        <v>1380.8999022999999</v>
      </c>
      <c r="H1211">
        <v>1366.9279785000001</v>
      </c>
      <c r="I1211">
        <v>1282.3764647999999</v>
      </c>
      <c r="J1211">
        <v>1260.4927978999999</v>
      </c>
      <c r="K1211">
        <v>80</v>
      </c>
      <c r="L1211">
        <v>79.952117920000006</v>
      </c>
      <c r="M1211">
        <v>50</v>
      </c>
      <c r="N1211">
        <v>40.019325256000002</v>
      </c>
    </row>
    <row r="1212" spans="1:14" x14ac:dyDescent="0.25">
      <c r="A1212">
        <v>864.23689100000001</v>
      </c>
      <c r="B1212" s="1">
        <f>DATE(2012,9,11) + TIME(5,41,7)</f>
        <v>41163.236886574072</v>
      </c>
      <c r="C1212">
        <v>2400</v>
      </c>
      <c r="D1212">
        <v>0</v>
      </c>
      <c r="E1212">
        <v>0</v>
      </c>
      <c r="F1212">
        <v>2400</v>
      </c>
      <c r="G1212">
        <v>1380.8349608999999</v>
      </c>
      <c r="H1212">
        <v>1366.8618164</v>
      </c>
      <c r="I1212">
        <v>1282.2457274999999</v>
      </c>
      <c r="J1212">
        <v>1260.2755127</v>
      </c>
      <c r="K1212">
        <v>80</v>
      </c>
      <c r="L1212">
        <v>79.952201842999997</v>
      </c>
      <c r="M1212">
        <v>50</v>
      </c>
      <c r="N1212">
        <v>39.853744507000002</v>
      </c>
    </row>
    <row r="1213" spans="1:14" x14ac:dyDescent="0.25">
      <c r="A1213">
        <v>866.32658700000002</v>
      </c>
      <c r="B1213" s="1">
        <f>DATE(2012,9,13) + TIME(7,50,17)</f>
        <v>41165.326585648145</v>
      </c>
      <c r="C1213">
        <v>2400</v>
      </c>
      <c r="D1213">
        <v>0</v>
      </c>
      <c r="E1213">
        <v>0</v>
      </c>
      <c r="F1213">
        <v>2400</v>
      </c>
      <c r="G1213">
        <v>1380.7705077999999</v>
      </c>
      <c r="H1213">
        <v>1366.7961425999999</v>
      </c>
      <c r="I1213">
        <v>1282.1166992000001</v>
      </c>
      <c r="J1213">
        <v>1260.0600586</v>
      </c>
      <c r="K1213">
        <v>80</v>
      </c>
      <c r="L1213">
        <v>79.952285767000006</v>
      </c>
      <c r="M1213">
        <v>50</v>
      </c>
      <c r="N1213">
        <v>39.690345764</v>
      </c>
    </row>
    <row r="1214" spans="1:14" x14ac:dyDescent="0.25">
      <c r="A1214">
        <v>868.49824899999999</v>
      </c>
      <c r="B1214" s="1">
        <f>DATE(2012,9,15) + TIME(11,57,28)</f>
        <v>41167.498240740744</v>
      </c>
      <c r="C1214">
        <v>2400</v>
      </c>
      <c r="D1214">
        <v>0</v>
      </c>
      <c r="E1214">
        <v>0</v>
      </c>
      <c r="F1214">
        <v>2400</v>
      </c>
      <c r="G1214">
        <v>1380.7066649999999</v>
      </c>
      <c r="H1214">
        <v>1366.730957</v>
      </c>
      <c r="I1214">
        <v>1281.989624</v>
      </c>
      <c r="J1214">
        <v>1259.8463135</v>
      </c>
      <c r="K1214">
        <v>80</v>
      </c>
      <c r="L1214">
        <v>79.952369689999998</v>
      </c>
      <c r="M1214">
        <v>50</v>
      </c>
      <c r="N1214">
        <v>39.528114318999997</v>
      </c>
    </row>
    <row r="1215" spans="1:14" x14ac:dyDescent="0.25">
      <c r="A1215">
        <v>870.66991199999995</v>
      </c>
      <c r="B1215" s="1">
        <f>DATE(2012,9,17) + TIME(16,4,40)</f>
        <v>41169.669907407406</v>
      </c>
      <c r="C1215">
        <v>2400</v>
      </c>
      <c r="D1215">
        <v>0</v>
      </c>
      <c r="E1215">
        <v>0</v>
      </c>
      <c r="F1215">
        <v>2400</v>
      </c>
      <c r="G1215">
        <v>1380.6407471</v>
      </c>
      <c r="H1215">
        <v>1366.6636963000001</v>
      </c>
      <c r="I1215">
        <v>1281.8605957</v>
      </c>
      <c r="J1215">
        <v>1259.6295166</v>
      </c>
      <c r="K1215">
        <v>80</v>
      </c>
      <c r="L1215">
        <v>79.952453613000003</v>
      </c>
      <c r="M1215">
        <v>50</v>
      </c>
      <c r="N1215">
        <v>39.366477965999998</v>
      </c>
    </row>
    <row r="1216" spans="1:14" x14ac:dyDescent="0.25">
      <c r="A1216">
        <v>872.84157400000004</v>
      </c>
      <c r="B1216" s="1">
        <f>DATE(2012,9,19) + TIME(20,11,52)</f>
        <v>41171.841574074075</v>
      </c>
      <c r="C1216">
        <v>2400</v>
      </c>
      <c r="D1216">
        <v>0</v>
      </c>
      <c r="E1216">
        <v>0</v>
      </c>
      <c r="F1216">
        <v>2400</v>
      </c>
      <c r="G1216">
        <v>1380.5753173999999</v>
      </c>
      <c r="H1216">
        <v>1366.5969238</v>
      </c>
      <c r="I1216">
        <v>1281.7342529</v>
      </c>
      <c r="J1216">
        <v>1259.4160156</v>
      </c>
      <c r="K1216">
        <v>80</v>
      </c>
      <c r="L1216">
        <v>79.952545165999993</v>
      </c>
      <c r="M1216">
        <v>50</v>
      </c>
      <c r="N1216">
        <v>39.20835495</v>
      </c>
    </row>
    <row r="1217" spans="1:14" x14ac:dyDescent="0.25">
      <c r="A1217">
        <v>875.013237</v>
      </c>
      <c r="B1217" s="1">
        <f>DATE(2012,9,22) + TIME(0,19,3)</f>
        <v>41174.013229166667</v>
      </c>
      <c r="C1217">
        <v>2400</v>
      </c>
      <c r="D1217">
        <v>0</v>
      </c>
      <c r="E1217">
        <v>0</v>
      </c>
      <c r="F1217">
        <v>2400</v>
      </c>
      <c r="G1217">
        <v>1380.510376</v>
      </c>
      <c r="H1217">
        <v>1366.5305175999999</v>
      </c>
      <c r="I1217">
        <v>1281.6109618999999</v>
      </c>
      <c r="J1217">
        <v>1259.2067870999999</v>
      </c>
      <c r="K1217">
        <v>80</v>
      </c>
      <c r="L1217">
        <v>79.952629088999998</v>
      </c>
      <c r="M1217">
        <v>50</v>
      </c>
      <c r="N1217">
        <v>39.055027008000003</v>
      </c>
    </row>
    <row r="1218" spans="1:14" x14ac:dyDescent="0.25">
      <c r="A1218">
        <v>877.30837299999996</v>
      </c>
      <c r="B1218" s="1">
        <f>DATE(2012,9,24) + TIME(7,24,3)</f>
        <v>41176.308368055557</v>
      </c>
      <c r="C1218">
        <v>2400</v>
      </c>
      <c r="D1218">
        <v>0</v>
      </c>
      <c r="E1218">
        <v>0</v>
      </c>
      <c r="F1218">
        <v>2400</v>
      </c>
      <c r="G1218">
        <v>1380.4459228999999</v>
      </c>
      <c r="H1218">
        <v>1366.4645995999999</v>
      </c>
      <c r="I1218">
        <v>1281.4909668</v>
      </c>
      <c r="J1218">
        <v>1259.0013428</v>
      </c>
      <c r="K1218">
        <v>80</v>
      </c>
      <c r="L1218">
        <v>79.952720642000003</v>
      </c>
      <c r="M1218">
        <v>50</v>
      </c>
      <c r="N1218">
        <v>38.904983520999998</v>
      </c>
    </row>
    <row r="1219" spans="1:14" x14ac:dyDescent="0.25">
      <c r="A1219">
        <v>879.61623899999995</v>
      </c>
      <c r="B1219" s="1">
        <f>DATE(2012,9,26) + TIME(14,47,23)</f>
        <v>41178.616238425922</v>
      </c>
      <c r="C1219">
        <v>2400</v>
      </c>
      <c r="D1219">
        <v>0</v>
      </c>
      <c r="E1219">
        <v>0</v>
      </c>
      <c r="F1219">
        <v>2400</v>
      </c>
      <c r="G1219">
        <v>1380.378418</v>
      </c>
      <c r="H1219">
        <v>1366.3955077999999</v>
      </c>
      <c r="I1219">
        <v>1281.3687743999999</v>
      </c>
      <c r="J1219">
        <v>1258.7932129000001</v>
      </c>
      <c r="K1219">
        <v>80</v>
      </c>
      <c r="L1219">
        <v>79.952804564999994</v>
      </c>
      <c r="M1219">
        <v>50</v>
      </c>
      <c r="N1219">
        <v>38.757137299</v>
      </c>
    </row>
    <row r="1220" spans="1:14" x14ac:dyDescent="0.25">
      <c r="A1220">
        <v>881.94641000000001</v>
      </c>
      <c r="B1220" s="1">
        <f>DATE(2012,9,28) + TIME(22,42,49)</f>
        <v>41180.946400462963</v>
      </c>
      <c r="C1220">
        <v>2400</v>
      </c>
      <c r="D1220">
        <v>0</v>
      </c>
      <c r="E1220">
        <v>0</v>
      </c>
      <c r="F1220">
        <v>2400</v>
      </c>
      <c r="G1220">
        <v>1380.3109131000001</v>
      </c>
      <c r="H1220">
        <v>1366.3262939000001</v>
      </c>
      <c r="I1220">
        <v>1281.2501221</v>
      </c>
      <c r="J1220">
        <v>1258.5897216999999</v>
      </c>
      <c r="K1220">
        <v>80</v>
      </c>
      <c r="L1220">
        <v>79.952896117999998</v>
      </c>
      <c r="M1220">
        <v>50</v>
      </c>
      <c r="N1220">
        <v>38.615089417</v>
      </c>
    </row>
    <row r="1221" spans="1:14" x14ac:dyDescent="0.25">
      <c r="A1221">
        <v>884</v>
      </c>
      <c r="B1221" s="1">
        <f>DATE(2012,10,1) + TIME(0,0,0)</f>
        <v>41183</v>
      </c>
      <c r="C1221">
        <v>2400</v>
      </c>
      <c r="D1221">
        <v>0</v>
      </c>
      <c r="E1221">
        <v>0</v>
      </c>
      <c r="F1221">
        <v>2400</v>
      </c>
      <c r="G1221">
        <v>1380.2431641000001</v>
      </c>
      <c r="H1221">
        <v>1366.2569579999999</v>
      </c>
      <c r="I1221">
        <v>1281.1356201000001</v>
      </c>
      <c r="J1221">
        <v>1258.3950195</v>
      </c>
      <c r="K1221">
        <v>80</v>
      </c>
      <c r="L1221">
        <v>79.952980041999993</v>
      </c>
      <c r="M1221">
        <v>50</v>
      </c>
      <c r="N1221">
        <v>38.485446930000002</v>
      </c>
    </row>
    <row r="1222" spans="1:14" x14ac:dyDescent="0.25">
      <c r="A1222">
        <v>886.33017099999995</v>
      </c>
      <c r="B1222" s="1">
        <f>DATE(2012,10,3) + TIME(7,55,26)</f>
        <v>41185.33016203704</v>
      </c>
      <c r="C1222">
        <v>2400</v>
      </c>
      <c r="D1222">
        <v>0</v>
      </c>
      <c r="E1222">
        <v>0</v>
      </c>
      <c r="F1222">
        <v>2400</v>
      </c>
      <c r="G1222">
        <v>1380.1839600000001</v>
      </c>
      <c r="H1222">
        <v>1366.1961670000001</v>
      </c>
      <c r="I1222">
        <v>1281.0369873</v>
      </c>
      <c r="J1222">
        <v>1258.2222899999999</v>
      </c>
      <c r="K1222">
        <v>80</v>
      </c>
      <c r="L1222">
        <v>79.953063964999998</v>
      </c>
      <c r="M1222">
        <v>50</v>
      </c>
      <c r="N1222">
        <v>38.367370604999998</v>
      </c>
    </row>
    <row r="1223" spans="1:14" x14ac:dyDescent="0.25">
      <c r="A1223">
        <v>888.76212199999998</v>
      </c>
      <c r="B1223" s="1">
        <f>DATE(2012,10,5) + TIME(18,17,27)</f>
        <v>41187.762118055558</v>
      </c>
      <c r="C1223">
        <v>2400</v>
      </c>
      <c r="D1223">
        <v>0</v>
      </c>
      <c r="E1223">
        <v>0</v>
      </c>
      <c r="F1223">
        <v>2400</v>
      </c>
      <c r="G1223">
        <v>1380.1171875</v>
      </c>
      <c r="H1223">
        <v>1366.1278076000001</v>
      </c>
      <c r="I1223">
        <v>1280.9326172000001</v>
      </c>
      <c r="J1223">
        <v>1258.0426024999999</v>
      </c>
      <c r="K1223">
        <v>80</v>
      </c>
      <c r="L1223">
        <v>79.953163146999998</v>
      </c>
      <c r="M1223">
        <v>50</v>
      </c>
      <c r="N1223">
        <v>38.252429962000001</v>
      </c>
    </row>
    <row r="1224" spans="1:14" x14ac:dyDescent="0.25">
      <c r="A1224">
        <v>891.194073</v>
      </c>
      <c r="B1224" s="1">
        <f>DATE(2012,10,8) + TIME(4,39,27)</f>
        <v>41190.194062499999</v>
      </c>
      <c r="C1224">
        <v>2400</v>
      </c>
      <c r="D1224">
        <v>0</v>
      </c>
      <c r="E1224">
        <v>0</v>
      </c>
      <c r="F1224">
        <v>2400</v>
      </c>
      <c r="G1224">
        <v>1380.0480957</v>
      </c>
      <c r="H1224">
        <v>1366.0568848</v>
      </c>
      <c r="I1224">
        <v>1280.8295897999999</v>
      </c>
      <c r="J1224">
        <v>1257.8654785000001</v>
      </c>
      <c r="K1224">
        <v>80</v>
      </c>
      <c r="L1224">
        <v>79.953254700000002</v>
      </c>
      <c r="M1224">
        <v>50</v>
      </c>
      <c r="N1224">
        <v>38.145008087000001</v>
      </c>
    </row>
    <row r="1225" spans="1:14" x14ac:dyDescent="0.25">
      <c r="A1225">
        <v>893.69158300000004</v>
      </c>
      <c r="B1225" s="1">
        <f>DATE(2012,10,10) + TIME(16,35,52)</f>
        <v>41192.691574074073</v>
      </c>
      <c r="C1225">
        <v>2400</v>
      </c>
      <c r="D1225">
        <v>0</v>
      </c>
      <c r="E1225">
        <v>0</v>
      </c>
      <c r="F1225">
        <v>2400</v>
      </c>
      <c r="G1225">
        <v>1379.9793701000001</v>
      </c>
      <c r="H1225">
        <v>1365.9864502</v>
      </c>
      <c r="I1225">
        <v>1280.7321777</v>
      </c>
      <c r="J1225">
        <v>1257.6977539</v>
      </c>
      <c r="K1225">
        <v>80</v>
      </c>
      <c r="L1225">
        <v>79.953346252000003</v>
      </c>
      <c r="M1225">
        <v>50</v>
      </c>
      <c r="N1225">
        <v>38.048797606999997</v>
      </c>
    </row>
    <row r="1226" spans="1:14" x14ac:dyDescent="0.25">
      <c r="A1226">
        <v>896.18909299999996</v>
      </c>
      <c r="B1226" s="1">
        <f>DATE(2012,10,13) + TIME(4,32,17)</f>
        <v>41195.189085648148</v>
      </c>
      <c r="C1226">
        <v>2400</v>
      </c>
      <c r="D1226">
        <v>0</v>
      </c>
      <c r="E1226">
        <v>0</v>
      </c>
      <c r="F1226">
        <v>2400</v>
      </c>
      <c r="G1226">
        <v>1379.9094238</v>
      </c>
      <c r="H1226">
        <v>1365.9145507999999</v>
      </c>
      <c r="I1226">
        <v>1280.6391602000001</v>
      </c>
      <c r="J1226">
        <v>1257.5384521000001</v>
      </c>
      <c r="K1226">
        <v>80</v>
      </c>
      <c r="L1226">
        <v>79.953437804999993</v>
      </c>
      <c r="M1226">
        <v>50</v>
      </c>
      <c r="N1226">
        <v>37.965267181000002</v>
      </c>
    </row>
    <row r="1227" spans="1:14" x14ac:dyDescent="0.25">
      <c r="A1227">
        <v>898.68660199999999</v>
      </c>
      <c r="B1227" s="1">
        <f>DATE(2012,10,15) + TIME(16,28,42)</f>
        <v>41197.686597222222</v>
      </c>
      <c r="C1227">
        <v>2400</v>
      </c>
      <c r="D1227">
        <v>0</v>
      </c>
      <c r="E1227">
        <v>0</v>
      </c>
      <c r="F1227">
        <v>2400</v>
      </c>
      <c r="G1227">
        <v>1379.8399658000001</v>
      </c>
      <c r="H1227">
        <v>1365.8432617000001</v>
      </c>
      <c r="I1227">
        <v>1280.5529785000001</v>
      </c>
      <c r="J1227">
        <v>1257.3914795000001</v>
      </c>
      <c r="K1227">
        <v>80</v>
      </c>
      <c r="L1227">
        <v>79.953536987000007</v>
      </c>
      <c r="M1227">
        <v>50</v>
      </c>
      <c r="N1227">
        <v>37.896682738999999</v>
      </c>
    </row>
    <row r="1228" spans="1:14" x14ac:dyDescent="0.25">
      <c r="A1228">
        <v>901.18411200000003</v>
      </c>
      <c r="B1228" s="1">
        <f>DATE(2012,10,18) + TIME(4,25,7)</f>
        <v>41200.184108796297</v>
      </c>
      <c r="C1228">
        <v>2400</v>
      </c>
      <c r="D1228">
        <v>0</v>
      </c>
      <c r="E1228">
        <v>0</v>
      </c>
      <c r="F1228">
        <v>2400</v>
      </c>
      <c r="G1228">
        <v>1379.7709961</v>
      </c>
      <c r="H1228">
        <v>1365.7724608999999</v>
      </c>
      <c r="I1228">
        <v>1280.4737548999999</v>
      </c>
      <c r="J1228">
        <v>1257.2576904</v>
      </c>
      <c r="K1228">
        <v>80</v>
      </c>
      <c r="L1228">
        <v>79.953628539999997</v>
      </c>
      <c r="M1228">
        <v>50</v>
      </c>
      <c r="N1228">
        <v>37.844081879000001</v>
      </c>
    </row>
    <row r="1229" spans="1:14" x14ac:dyDescent="0.25">
      <c r="A1229">
        <v>903.68162199999995</v>
      </c>
      <c r="B1229" s="1">
        <f>DATE(2012,10,20) + TIME(16,21,32)</f>
        <v>41202.681620370371</v>
      </c>
      <c r="C1229">
        <v>2400</v>
      </c>
      <c r="D1229">
        <v>0</v>
      </c>
      <c r="E1229">
        <v>0</v>
      </c>
      <c r="F1229">
        <v>2400</v>
      </c>
      <c r="G1229">
        <v>1379.7026367000001</v>
      </c>
      <c r="H1229">
        <v>1365.7022704999999</v>
      </c>
      <c r="I1229">
        <v>1280.4017334</v>
      </c>
      <c r="J1229">
        <v>1257.1374512</v>
      </c>
      <c r="K1229">
        <v>80</v>
      </c>
      <c r="L1229">
        <v>79.953720093000001</v>
      </c>
      <c r="M1229">
        <v>50</v>
      </c>
      <c r="N1229">
        <v>37.808059692</v>
      </c>
    </row>
    <row r="1230" spans="1:14" x14ac:dyDescent="0.25">
      <c r="A1230">
        <v>906.17913199999998</v>
      </c>
      <c r="B1230" s="1">
        <f>DATE(2012,10,23) + TIME(4,17,56)</f>
        <v>41205.179120370369</v>
      </c>
      <c r="C1230">
        <v>2400</v>
      </c>
      <c r="D1230">
        <v>0</v>
      </c>
      <c r="E1230">
        <v>0</v>
      </c>
      <c r="F1230">
        <v>2400</v>
      </c>
      <c r="G1230">
        <v>1379.6348877</v>
      </c>
      <c r="H1230">
        <v>1365.6326904</v>
      </c>
      <c r="I1230">
        <v>1280.3366699000001</v>
      </c>
      <c r="J1230">
        <v>1257.0310059000001</v>
      </c>
      <c r="K1230">
        <v>80</v>
      </c>
      <c r="L1230">
        <v>79.953811646000005</v>
      </c>
      <c r="M1230">
        <v>50</v>
      </c>
      <c r="N1230">
        <v>37.788940429999997</v>
      </c>
    </row>
    <row r="1231" spans="1:14" x14ac:dyDescent="0.25">
      <c r="A1231">
        <v>908.82652299999995</v>
      </c>
      <c r="B1231" s="1">
        <f>DATE(2012,10,25) + TIME(19,50,11)</f>
        <v>41207.826516203706</v>
      </c>
      <c r="C1231">
        <v>2400</v>
      </c>
      <c r="D1231">
        <v>0</v>
      </c>
      <c r="E1231">
        <v>0</v>
      </c>
      <c r="F1231">
        <v>2400</v>
      </c>
      <c r="G1231">
        <v>1379.567749</v>
      </c>
      <c r="H1231">
        <v>1365.5637207</v>
      </c>
      <c r="I1231">
        <v>1280.2781981999999</v>
      </c>
      <c r="J1231">
        <v>1256.9375</v>
      </c>
      <c r="K1231">
        <v>80</v>
      </c>
      <c r="L1231">
        <v>79.953903198000006</v>
      </c>
      <c r="M1231">
        <v>50</v>
      </c>
      <c r="N1231">
        <v>37.786800384999999</v>
      </c>
    </row>
    <row r="1232" spans="1:14" x14ac:dyDescent="0.25">
      <c r="A1232">
        <v>911.47391400000004</v>
      </c>
      <c r="B1232" s="1">
        <f>DATE(2012,10,28) + TIME(11,22,26)</f>
        <v>41210.473912037036</v>
      </c>
      <c r="C1232">
        <v>2400</v>
      </c>
      <c r="D1232">
        <v>0</v>
      </c>
      <c r="E1232">
        <v>0</v>
      </c>
      <c r="F1232">
        <v>2400</v>
      </c>
      <c r="G1232">
        <v>1379.4973144999999</v>
      </c>
      <c r="H1232">
        <v>1365.4914550999999</v>
      </c>
      <c r="I1232">
        <v>1280.2242432</v>
      </c>
      <c r="J1232">
        <v>1256.8542480000001</v>
      </c>
      <c r="K1232">
        <v>80</v>
      </c>
      <c r="L1232">
        <v>79.954002380000006</v>
      </c>
      <c r="M1232">
        <v>50</v>
      </c>
      <c r="N1232">
        <v>37.802795410000002</v>
      </c>
    </row>
    <row r="1233" spans="1:14" x14ac:dyDescent="0.25">
      <c r="A1233">
        <v>914.12130500000001</v>
      </c>
      <c r="B1233" s="1">
        <f>DATE(2012,10,31) + TIME(2,54,40)</f>
        <v>41213.121296296296</v>
      </c>
      <c r="C1233">
        <v>2400</v>
      </c>
      <c r="D1233">
        <v>0</v>
      </c>
      <c r="E1233">
        <v>0</v>
      </c>
      <c r="F1233">
        <v>2400</v>
      </c>
      <c r="G1233">
        <v>1379.4276123</v>
      </c>
      <c r="H1233">
        <v>1365.4199219</v>
      </c>
      <c r="I1233">
        <v>1280.1772461</v>
      </c>
      <c r="J1233">
        <v>1256.7852783000001</v>
      </c>
      <c r="K1233">
        <v>80</v>
      </c>
      <c r="L1233">
        <v>79.954093932999996</v>
      </c>
      <c r="M1233">
        <v>50</v>
      </c>
      <c r="N1233">
        <v>37.837169647000003</v>
      </c>
    </row>
    <row r="1234" spans="1:14" x14ac:dyDescent="0.25">
      <c r="A1234">
        <v>915</v>
      </c>
      <c r="B1234" s="1">
        <f>DATE(2012,11,1) + TIME(0,0,0)</f>
        <v>41214</v>
      </c>
      <c r="C1234">
        <v>2400</v>
      </c>
      <c r="D1234">
        <v>0</v>
      </c>
      <c r="E1234">
        <v>0</v>
      </c>
      <c r="F1234">
        <v>2400</v>
      </c>
      <c r="G1234">
        <v>1379.3588867000001</v>
      </c>
      <c r="H1234">
        <v>1365.3498535000001</v>
      </c>
      <c r="I1234">
        <v>1280.1464844</v>
      </c>
      <c r="J1234">
        <v>1256.7382812000001</v>
      </c>
      <c r="K1234">
        <v>80</v>
      </c>
      <c r="L1234">
        <v>79.954124450999998</v>
      </c>
      <c r="M1234">
        <v>50</v>
      </c>
      <c r="N1234">
        <v>37.872211456000002</v>
      </c>
    </row>
    <row r="1235" spans="1:14" x14ac:dyDescent="0.25">
      <c r="A1235">
        <v>915.000001</v>
      </c>
      <c r="B1235" s="1">
        <f>DATE(2012,11,1) + TIME(0,0,0)</f>
        <v>41214</v>
      </c>
      <c r="C1235">
        <v>0</v>
      </c>
      <c r="D1235">
        <v>2400</v>
      </c>
      <c r="E1235">
        <v>2400</v>
      </c>
      <c r="F1235">
        <v>0</v>
      </c>
      <c r="G1235">
        <v>1364.4780272999999</v>
      </c>
      <c r="H1235">
        <v>1353.1728516000001</v>
      </c>
      <c r="I1235">
        <v>1304.5047606999999</v>
      </c>
      <c r="J1235">
        <v>1281.0140381000001</v>
      </c>
      <c r="K1235">
        <v>80</v>
      </c>
      <c r="L1235">
        <v>79.954002380000006</v>
      </c>
      <c r="M1235">
        <v>50</v>
      </c>
      <c r="N1235">
        <v>37.872329712000003</v>
      </c>
    </row>
    <row r="1236" spans="1:14" x14ac:dyDescent="0.25">
      <c r="A1236">
        <v>915.00000399999999</v>
      </c>
      <c r="B1236" s="1">
        <f>DATE(2012,11,1) + TIME(0,0,0)</f>
        <v>41214</v>
      </c>
      <c r="C1236">
        <v>0</v>
      </c>
      <c r="D1236">
        <v>2400</v>
      </c>
      <c r="E1236">
        <v>2400</v>
      </c>
      <c r="F1236">
        <v>0</v>
      </c>
      <c r="G1236">
        <v>1362.2753906</v>
      </c>
      <c r="H1236">
        <v>1350.9697266000001</v>
      </c>
      <c r="I1236">
        <v>1306.8990478999999</v>
      </c>
      <c r="J1236">
        <v>1283.3820800999999</v>
      </c>
      <c r="K1236">
        <v>80</v>
      </c>
      <c r="L1236">
        <v>79.953689574999999</v>
      </c>
      <c r="M1236">
        <v>50</v>
      </c>
      <c r="N1236">
        <v>37.872653960999997</v>
      </c>
    </row>
    <row r="1237" spans="1:14" x14ac:dyDescent="0.25">
      <c r="A1237">
        <v>915.00001299999997</v>
      </c>
      <c r="B1237" s="1">
        <f>DATE(2012,11,1) + TIME(0,0,1)</f>
        <v>41214.000011574077</v>
      </c>
      <c r="C1237">
        <v>0</v>
      </c>
      <c r="D1237">
        <v>2400</v>
      </c>
      <c r="E1237">
        <v>2400</v>
      </c>
      <c r="F1237">
        <v>0</v>
      </c>
      <c r="G1237">
        <v>1357.8293457</v>
      </c>
      <c r="H1237">
        <v>1346.5230713000001</v>
      </c>
      <c r="I1237">
        <v>1312.5120850000001</v>
      </c>
      <c r="J1237">
        <v>1288.9593506000001</v>
      </c>
      <c r="K1237">
        <v>80</v>
      </c>
      <c r="L1237">
        <v>79.953056334999999</v>
      </c>
      <c r="M1237">
        <v>50</v>
      </c>
      <c r="N1237">
        <v>37.873443604000002</v>
      </c>
    </row>
    <row r="1238" spans="1:14" x14ac:dyDescent="0.25">
      <c r="A1238">
        <v>915.00004000000001</v>
      </c>
      <c r="B1238" s="1">
        <f>DATE(2012,11,1) + TIME(0,0,3)</f>
        <v>41214.000034722223</v>
      </c>
      <c r="C1238">
        <v>0</v>
      </c>
      <c r="D1238">
        <v>2400</v>
      </c>
      <c r="E1238">
        <v>2400</v>
      </c>
      <c r="F1238">
        <v>0</v>
      </c>
      <c r="G1238">
        <v>1351.3334961</v>
      </c>
      <c r="H1238">
        <v>1340.0291748</v>
      </c>
      <c r="I1238">
        <v>1322.5001221</v>
      </c>
      <c r="J1238">
        <v>1298.9348144999999</v>
      </c>
      <c r="K1238">
        <v>80</v>
      </c>
      <c r="L1238">
        <v>79.952133179</v>
      </c>
      <c r="M1238">
        <v>50</v>
      </c>
      <c r="N1238">
        <v>37.875007629000002</v>
      </c>
    </row>
    <row r="1239" spans="1:14" x14ac:dyDescent="0.25">
      <c r="A1239">
        <v>915.00012100000004</v>
      </c>
      <c r="B1239" s="1">
        <f>DATE(2012,11,1) + TIME(0,0,10)</f>
        <v>41214.000115740739</v>
      </c>
      <c r="C1239">
        <v>0</v>
      </c>
      <c r="D1239">
        <v>2400</v>
      </c>
      <c r="E1239">
        <v>2400</v>
      </c>
      <c r="F1239">
        <v>0</v>
      </c>
      <c r="G1239">
        <v>1344.1042480000001</v>
      </c>
      <c r="H1239">
        <v>1332.8051757999999</v>
      </c>
      <c r="I1239">
        <v>1335.3835449000001</v>
      </c>
      <c r="J1239">
        <v>1311.8449707</v>
      </c>
      <c r="K1239">
        <v>80</v>
      </c>
      <c r="L1239">
        <v>79.951087951999995</v>
      </c>
      <c r="M1239">
        <v>50</v>
      </c>
      <c r="N1239">
        <v>37.877689361999998</v>
      </c>
    </row>
    <row r="1240" spans="1:14" x14ac:dyDescent="0.25">
      <c r="A1240">
        <v>915.00036399999999</v>
      </c>
      <c r="B1240" s="1">
        <f>DATE(2012,11,1) + TIME(0,0,31)</f>
        <v>41214.000358796293</v>
      </c>
      <c r="C1240">
        <v>0</v>
      </c>
      <c r="D1240">
        <v>2400</v>
      </c>
      <c r="E1240">
        <v>2400</v>
      </c>
      <c r="F1240">
        <v>0</v>
      </c>
      <c r="G1240">
        <v>1336.8356934000001</v>
      </c>
      <c r="H1240">
        <v>1325.5444336</v>
      </c>
      <c r="I1240">
        <v>1349.0196533000001</v>
      </c>
      <c r="J1240">
        <v>1325.5185547000001</v>
      </c>
      <c r="K1240">
        <v>80</v>
      </c>
      <c r="L1240">
        <v>79.950004578000005</v>
      </c>
      <c r="M1240">
        <v>50</v>
      </c>
      <c r="N1240">
        <v>37.882747649999999</v>
      </c>
    </row>
    <row r="1241" spans="1:14" x14ac:dyDescent="0.25">
      <c r="A1241">
        <v>915.00109299999997</v>
      </c>
      <c r="B1241" s="1">
        <f>DATE(2012,11,1) + TIME(0,1,34)</f>
        <v>41214.001087962963</v>
      </c>
      <c r="C1241">
        <v>0</v>
      </c>
      <c r="D1241">
        <v>2400</v>
      </c>
      <c r="E1241">
        <v>2400</v>
      </c>
      <c r="F1241">
        <v>0</v>
      </c>
      <c r="G1241">
        <v>1329.5141602000001</v>
      </c>
      <c r="H1241">
        <v>1318.2158202999999</v>
      </c>
      <c r="I1241">
        <v>1362.9064940999999</v>
      </c>
      <c r="J1241">
        <v>1339.4346923999999</v>
      </c>
      <c r="K1241">
        <v>80</v>
      </c>
      <c r="L1241">
        <v>79.948814392000003</v>
      </c>
      <c r="M1241">
        <v>50</v>
      </c>
      <c r="N1241">
        <v>37.894691467000001</v>
      </c>
    </row>
    <row r="1242" spans="1:14" x14ac:dyDescent="0.25">
      <c r="A1242">
        <v>915.00328000000002</v>
      </c>
      <c r="B1242" s="1">
        <f>DATE(2012,11,1) + TIME(0,4,43)</f>
        <v>41214.003275462965</v>
      </c>
      <c r="C1242">
        <v>0</v>
      </c>
      <c r="D1242">
        <v>2400</v>
      </c>
      <c r="E1242">
        <v>2400</v>
      </c>
      <c r="F1242">
        <v>0</v>
      </c>
      <c r="G1242">
        <v>1321.8485106999999</v>
      </c>
      <c r="H1242">
        <v>1310.4716797000001</v>
      </c>
      <c r="I1242">
        <v>1377.0676269999999</v>
      </c>
      <c r="J1242">
        <v>1353.6063231999999</v>
      </c>
      <c r="K1242">
        <v>80</v>
      </c>
      <c r="L1242">
        <v>79.947273253999995</v>
      </c>
      <c r="M1242">
        <v>50</v>
      </c>
      <c r="N1242">
        <v>37.927165985000002</v>
      </c>
    </row>
    <row r="1243" spans="1:14" x14ac:dyDescent="0.25">
      <c r="A1243">
        <v>915.00984100000005</v>
      </c>
      <c r="B1243" s="1">
        <f>DATE(2012,11,1) + TIME(0,14,10)</f>
        <v>41214.009837962964</v>
      </c>
      <c r="C1243">
        <v>0</v>
      </c>
      <c r="D1243">
        <v>2400</v>
      </c>
      <c r="E1243">
        <v>2400</v>
      </c>
      <c r="F1243">
        <v>0</v>
      </c>
      <c r="G1243">
        <v>1313.9168701000001</v>
      </c>
      <c r="H1243">
        <v>1302.380249</v>
      </c>
      <c r="I1243">
        <v>1390.3679199000001</v>
      </c>
      <c r="J1243">
        <v>1366.9206543</v>
      </c>
      <c r="K1243">
        <v>80</v>
      </c>
      <c r="L1243">
        <v>79.944763183999996</v>
      </c>
      <c r="M1243">
        <v>50</v>
      </c>
      <c r="N1243">
        <v>38.020519256999997</v>
      </c>
    </row>
    <row r="1244" spans="1:14" x14ac:dyDescent="0.25">
      <c r="A1244">
        <v>915.02952400000004</v>
      </c>
      <c r="B1244" s="1">
        <f>DATE(2012,11,1) + TIME(0,42,30)</f>
        <v>41214.029513888891</v>
      </c>
      <c r="C1244">
        <v>0</v>
      </c>
      <c r="D1244">
        <v>2400</v>
      </c>
      <c r="E1244">
        <v>2400</v>
      </c>
      <c r="F1244">
        <v>0</v>
      </c>
      <c r="G1244">
        <v>1307.2128906</v>
      </c>
      <c r="H1244">
        <v>1295.5279541</v>
      </c>
      <c r="I1244">
        <v>1399.9232178</v>
      </c>
      <c r="J1244">
        <v>1376.5679932</v>
      </c>
      <c r="K1244">
        <v>80</v>
      </c>
      <c r="L1244">
        <v>79.939689635999997</v>
      </c>
      <c r="M1244">
        <v>50</v>
      </c>
      <c r="N1244">
        <v>38.291091919000003</v>
      </c>
    </row>
    <row r="1245" spans="1:14" x14ac:dyDescent="0.25">
      <c r="A1245">
        <v>915.08274100000006</v>
      </c>
      <c r="B1245" s="1">
        <f>DATE(2012,11,1) + TIME(1,59,8)</f>
        <v>41214.082731481481</v>
      </c>
      <c r="C1245">
        <v>0</v>
      </c>
      <c r="D1245">
        <v>2400</v>
      </c>
      <c r="E1245">
        <v>2400</v>
      </c>
      <c r="F1245">
        <v>0</v>
      </c>
      <c r="G1245">
        <v>1303.7364502</v>
      </c>
      <c r="H1245">
        <v>1291.9749756000001</v>
      </c>
      <c r="I1245">
        <v>1403.5909423999999</v>
      </c>
      <c r="J1245">
        <v>1380.4995117000001</v>
      </c>
      <c r="K1245">
        <v>80</v>
      </c>
      <c r="L1245">
        <v>79.928459167</v>
      </c>
      <c r="M1245">
        <v>50</v>
      </c>
      <c r="N1245">
        <v>38.978446959999999</v>
      </c>
    </row>
    <row r="1246" spans="1:14" x14ac:dyDescent="0.25">
      <c r="A1246">
        <v>915.13866499999995</v>
      </c>
      <c r="B1246" s="1">
        <f>DATE(2012,11,1) + TIME(3,19,40)</f>
        <v>41214.138657407406</v>
      </c>
      <c r="C1246">
        <v>0</v>
      </c>
      <c r="D1246">
        <v>2400</v>
      </c>
      <c r="E1246">
        <v>2400</v>
      </c>
      <c r="F1246">
        <v>0</v>
      </c>
      <c r="G1246">
        <v>1302.9082031</v>
      </c>
      <c r="H1246">
        <v>1291.1273193</v>
      </c>
      <c r="I1246">
        <v>1403.9313964999999</v>
      </c>
      <c r="J1246">
        <v>1381.0869141000001</v>
      </c>
      <c r="K1246">
        <v>80</v>
      </c>
      <c r="L1246">
        <v>79.917228699000006</v>
      </c>
      <c r="M1246">
        <v>50</v>
      </c>
      <c r="N1246">
        <v>39.657485962000003</v>
      </c>
    </row>
    <row r="1247" spans="1:14" x14ac:dyDescent="0.25">
      <c r="A1247">
        <v>915.19751199999996</v>
      </c>
      <c r="B1247" s="1">
        <f>DATE(2012,11,1) + TIME(4,44,25)</f>
        <v>41214.197511574072</v>
      </c>
      <c r="C1247">
        <v>0</v>
      </c>
      <c r="D1247">
        <v>2400</v>
      </c>
      <c r="E1247">
        <v>2400</v>
      </c>
      <c r="F1247">
        <v>0</v>
      </c>
      <c r="G1247">
        <v>1302.6893310999999</v>
      </c>
      <c r="H1247">
        <v>1290.9027100000001</v>
      </c>
      <c r="I1247">
        <v>1403.6783447</v>
      </c>
      <c r="J1247">
        <v>1381.0726318</v>
      </c>
      <c r="K1247">
        <v>80</v>
      </c>
      <c r="L1247">
        <v>79.905723571999999</v>
      </c>
      <c r="M1247">
        <v>50</v>
      </c>
      <c r="N1247">
        <v>40.327281952</v>
      </c>
    </row>
    <row r="1248" spans="1:14" x14ac:dyDescent="0.25">
      <c r="A1248">
        <v>915.25962800000002</v>
      </c>
      <c r="B1248" s="1">
        <f>DATE(2012,11,1) + TIME(6,13,51)</f>
        <v>41214.259618055556</v>
      </c>
      <c r="C1248">
        <v>0</v>
      </c>
      <c r="D1248">
        <v>2400</v>
      </c>
      <c r="E1248">
        <v>2400</v>
      </c>
      <c r="F1248">
        <v>0</v>
      </c>
      <c r="G1248">
        <v>1302.6252440999999</v>
      </c>
      <c r="H1248">
        <v>1290.8364257999999</v>
      </c>
      <c r="I1248">
        <v>1403.3374022999999</v>
      </c>
      <c r="J1248">
        <v>1380.9617920000001</v>
      </c>
      <c r="K1248">
        <v>80</v>
      </c>
      <c r="L1248">
        <v>79.893821716000005</v>
      </c>
      <c r="M1248">
        <v>50</v>
      </c>
      <c r="N1248">
        <v>40.987567902000002</v>
      </c>
    </row>
    <row r="1249" spans="1:14" x14ac:dyDescent="0.25">
      <c r="A1249">
        <v>915.32543199999998</v>
      </c>
      <c r="B1249" s="1">
        <f>DATE(2012,11,1) + TIME(7,48,37)</f>
        <v>41214.325428240743</v>
      </c>
      <c r="C1249">
        <v>0</v>
      </c>
      <c r="D1249">
        <v>2400</v>
      </c>
      <c r="E1249">
        <v>2400</v>
      </c>
      <c r="F1249">
        <v>0</v>
      </c>
      <c r="G1249">
        <v>1302.6040039</v>
      </c>
      <c r="H1249">
        <v>1290.8139647999999</v>
      </c>
      <c r="I1249">
        <v>1402.9973144999999</v>
      </c>
      <c r="J1249">
        <v>1380.8433838000001</v>
      </c>
      <c r="K1249">
        <v>80</v>
      </c>
      <c r="L1249">
        <v>79.881469726999995</v>
      </c>
      <c r="M1249">
        <v>50</v>
      </c>
      <c r="N1249">
        <v>41.637981414999999</v>
      </c>
    </row>
    <row r="1250" spans="1:14" x14ac:dyDescent="0.25">
      <c r="A1250">
        <v>915.39542500000005</v>
      </c>
      <c r="B1250" s="1">
        <f>DATE(2012,11,1) + TIME(9,29,24)</f>
        <v>41214.395416666666</v>
      </c>
      <c r="C1250">
        <v>0</v>
      </c>
      <c r="D1250">
        <v>2400</v>
      </c>
      <c r="E1250">
        <v>2400</v>
      </c>
      <c r="F1250">
        <v>0</v>
      </c>
      <c r="G1250">
        <v>1302.5954589999999</v>
      </c>
      <c r="H1250">
        <v>1290.8044434000001</v>
      </c>
      <c r="I1250">
        <v>1402.6697998</v>
      </c>
      <c r="J1250">
        <v>1380.7294922000001</v>
      </c>
      <c r="K1250">
        <v>80</v>
      </c>
      <c r="L1250">
        <v>79.868591308999996</v>
      </c>
      <c r="M1250">
        <v>50</v>
      </c>
      <c r="N1250">
        <v>42.278152466000002</v>
      </c>
    </row>
    <row r="1251" spans="1:14" x14ac:dyDescent="0.25">
      <c r="A1251">
        <v>915.47020899999995</v>
      </c>
      <c r="B1251" s="1">
        <f>DATE(2012,11,1) + TIME(11,17,6)</f>
        <v>41214.470208333332</v>
      </c>
      <c r="C1251">
        <v>0</v>
      </c>
      <c r="D1251">
        <v>2400</v>
      </c>
      <c r="E1251">
        <v>2400</v>
      </c>
      <c r="F1251">
        <v>0</v>
      </c>
      <c r="G1251">
        <v>1302.5909423999999</v>
      </c>
      <c r="H1251">
        <v>1290.7988281</v>
      </c>
      <c r="I1251">
        <v>1402.3540039</v>
      </c>
      <c r="J1251">
        <v>1380.6195068</v>
      </c>
      <c r="K1251">
        <v>80</v>
      </c>
      <c r="L1251">
        <v>79.855110167999996</v>
      </c>
      <c r="M1251">
        <v>50</v>
      </c>
      <c r="N1251">
        <v>42.907615661999998</v>
      </c>
    </row>
    <row r="1252" spans="1:14" x14ac:dyDescent="0.25">
      <c r="A1252">
        <v>915.550523</v>
      </c>
      <c r="B1252" s="1">
        <f>DATE(2012,11,1) + TIME(13,12,45)</f>
        <v>41214.550520833334</v>
      </c>
      <c r="C1252">
        <v>0</v>
      </c>
      <c r="D1252">
        <v>2400</v>
      </c>
      <c r="E1252">
        <v>2400</v>
      </c>
      <c r="F1252">
        <v>0</v>
      </c>
      <c r="G1252">
        <v>1302.5875243999999</v>
      </c>
      <c r="H1252">
        <v>1290.7944336</v>
      </c>
      <c r="I1252">
        <v>1402.0484618999999</v>
      </c>
      <c r="J1252">
        <v>1380.5120850000001</v>
      </c>
      <c r="K1252">
        <v>80</v>
      </c>
      <c r="L1252">
        <v>79.840934752999999</v>
      </c>
      <c r="M1252">
        <v>50</v>
      </c>
      <c r="N1252">
        <v>43.525817871000001</v>
      </c>
    </row>
    <row r="1253" spans="1:14" x14ac:dyDescent="0.25">
      <c r="A1253">
        <v>915.63727900000004</v>
      </c>
      <c r="B1253" s="1">
        <f>DATE(2012,11,1) + TIME(15,17,40)</f>
        <v>41214.63726851852</v>
      </c>
      <c r="C1253">
        <v>0</v>
      </c>
      <c r="D1253">
        <v>2400</v>
      </c>
      <c r="E1253">
        <v>2400</v>
      </c>
      <c r="F1253">
        <v>0</v>
      </c>
      <c r="G1253">
        <v>1302.5843506000001</v>
      </c>
      <c r="H1253">
        <v>1290.7901611</v>
      </c>
      <c r="I1253">
        <v>1401.7518310999999</v>
      </c>
      <c r="J1253">
        <v>1380.4060059000001</v>
      </c>
      <c r="K1253">
        <v>80</v>
      </c>
      <c r="L1253">
        <v>79.825950622999997</v>
      </c>
      <c r="M1253">
        <v>50</v>
      </c>
      <c r="N1253">
        <v>44.132076263000002</v>
      </c>
    </row>
    <row r="1254" spans="1:14" x14ac:dyDescent="0.25">
      <c r="A1254">
        <v>915.731628</v>
      </c>
      <c r="B1254" s="1">
        <f>DATE(2012,11,1) + TIME(17,33,32)</f>
        <v>41214.731620370374</v>
      </c>
      <c r="C1254">
        <v>0</v>
      </c>
      <c r="D1254">
        <v>2400</v>
      </c>
      <c r="E1254">
        <v>2400</v>
      </c>
      <c r="F1254">
        <v>0</v>
      </c>
      <c r="G1254">
        <v>1302.5810547000001</v>
      </c>
      <c r="H1254">
        <v>1290.7857666</v>
      </c>
      <c r="I1254">
        <v>1401.4636230000001</v>
      </c>
      <c r="J1254">
        <v>1380.3007812000001</v>
      </c>
      <c r="K1254">
        <v>80</v>
      </c>
      <c r="L1254">
        <v>79.810020446999999</v>
      </c>
      <c r="M1254">
        <v>50</v>
      </c>
      <c r="N1254">
        <v>44.725570679</v>
      </c>
    </row>
    <row r="1255" spans="1:14" x14ac:dyDescent="0.25">
      <c r="A1255">
        <v>915.83501799999999</v>
      </c>
      <c r="B1255" s="1">
        <f>DATE(2012,11,1) + TIME(20,2,25)</f>
        <v>41214.835011574076</v>
      </c>
      <c r="C1255">
        <v>0</v>
      </c>
      <c r="D1255">
        <v>2400</v>
      </c>
      <c r="E1255">
        <v>2400</v>
      </c>
      <c r="F1255">
        <v>0</v>
      </c>
      <c r="G1255">
        <v>1302.5775146000001</v>
      </c>
      <c r="H1255">
        <v>1290.7808838000001</v>
      </c>
      <c r="I1255">
        <v>1401.1829834</v>
      </c>
      <c r="J1255">
        <v>1380.1958007999999</v>
      </c>
      <c r="K1255">
        <v>80</v>
      </c>
      <c r="L1255">
        <v>79.792976378999995</v>
      </c>
      <c r="M1255">
        <v>50</v>
      </c>
      <c r="N1255">
        <v>45.305156707999998</v>
      </c>
    </row>
    <row r="1256" spans="1:14" x14ac:dyDescent="0.25">
      <c r="A1256">
        <v>915.94939299999999</v>
      </c>
      <c r="B1256" s="1">
        <f>DATE(2012,11,1) + TIME(22,47,7)</f>
        <v>41214.949386574073</v>
      </c>
      <c r="C1256">
        <v>0</v>
      </c>
      <c r="D1256">
        <v>2400</v>
      </c>
      <c r="E1256">
        <v>2400</v>
      </c>
      <c r="F1256">
        <v>0</v>
      </c>
      <c r="G1256">
        <v>1302.5734863</v>
      </c>
      <c r="H1256">
        <v>1290.7756348</v>
      </c>
      <c r="I1256">
        <v>1400.909668</v>
      </c>
      <c r="J1256">
        <v>1380.090332</v>
      </c>
      <c r="K1256">
        <v>80</v>
      </c>
      <c r="L1256">
        <v>79.774581909000005</v>
      </c>
      <c r="M1256">
        <v>50</v>
      </c>
      <c r="N1256">
        <v>45.869712829999997</v>
      </c>
    </row>
    <row r="1257" spans="1:14" x14ac:dyDescent="0.25">
      <c r="A1257">
        <v>916.07733199999996</v>
      </c>
      <c r="B1257" s="1">
        <f>DATE(2012,11,2) + TIME(1,51,21)</f>
        <v>41215.077326388891</v>
      </c>
      <c r="C1257">
        <v>0</v>
      </c>
      <c r="D1257">
        <v>2400</v>
      </c>
      <c r="E1257">
        <v>2400</v>
      </c>
      <c r="F1257">
        <v>0</v>
      </c>
      <c r="G1257">
        <v>1302.5689697</v>
      </c>
      <c r="H1257">
        <v>1290.7698975000001</v>
      </c>
      <c r="I1257">
        <v>1400.6428223</v>
      </c>
      <c r="J1257">
        <v>1379.9836425999999</v>
      </c>
      <c r="K1257">
        <v>80</v>
      </c>
      <c r="L1257">
        <v>79.754539489999999</v>
      </c>
      <c r="M1257">
        <v>50</v>
      </c>
      <c r="N1257">
        <v>46.417682648000003</v>
      </c>
    </row>
    <row r="1258" spans="1:14" x14ac:dyDescent="0.25">
      <c r="A1258">
        <v>916.22239200000001</v>
      </c>
      <c r="B1258" s="1">
        <f>DATE(2012,11,2) + TIME(5,20,14)</f>
        <v>41215.222384259258</v>
      </c>
      <c r="C1258">
        <v>0</v>
      </c>
      <c r="D1258">
        <v>2400</v>
      </c>
      <c r="E1258">
        <v>2400</v>
      </c>
      <c r="F1258">
        <v>0</v>
      </c>
      <c r="G1258">
        <v>1302.5639647999999</v>
      </c>
      <c r="H1258">
        <v>1290.7634277</v>
      </c>
      <c r="I1258">
        <v>1400.3819579999999</v>
      </c>
      <c r="J1258">
        <v>1379.8751221</v>
      </c>
      <c r="K1258">
        <v>80</v>
      </c>
      <c r="L1258">
        <v>79.732452393000003</v>
      </c>
      <c r="M1258">
        <v>50</v>
      </c>
      <c r="N1258">
        <v>46.947086333999998</v>
      </c>
    </row>
    <row r="1259" spans="1:14" x14ac:dyDescent="0.25">
      <c r="A1259">
        <v>916.38964699999997</v>
      </c>
      <c r="B1259" s="1">
        <f>DATE(2012,11,2) + TIME(9,21,5)</f>
        <v>41215.389641203707</v>
      </c>
      <c r="C1259">
        <v>0</v>
      </c>
      <c r="D1259">
        <v>2400</v>
      </c>
      <c r="E1259">
        <v>2400</v>
      </c>
      <c r="F1259">
        <v>0</v>
      </c>
      <c r="G1259">
        <v>1302.5582274999999</v>
      </c>
      <c r="H1259">
        <v>1290.7561035000001</v>
      </c>
      <c r="I1259">
        <v>1400.1265868999999</v>
      </c>
      <c r="J1259">
        <v>1379.7634277</v>
      </c>
      <c r="K1259">
        <v>80</v>
      </c>
      <c r="L1259">
        <v>79.707771300999994</v>
      </c>
      <c r="M1259">
        <v>50</v>
      </c>
      <c r="N1259">
        <v>47.455371857000003</v>
      </c>
    </row>
    <row r="1260" spans="1:14" x14ac:dyDescent="0.25">
      <c r="A1260">
        <v>916.58664999999996</v>
      </c>
      <c r="B1260" s="1">
        <f>DATE(2012,11,2) + TIME(14,4,46)</f>
        <v>41215.586643518516</v>
      </c>
      <c r="C1260">
        <v>0</v>
      </c>
      <c r="D1260">
        <v>2400</v>
      </c>
      <c r="E1260">
        <v>2400</v>
      </c>
      <c r="F1260">
        <v>0</v>
      </c>
      <c r="G1260">
        <v>1302.5515137</v>
      </c>
      <c r="H1260">
        <v>1290.7476807</v>
      </c>
      <c r="I1260">
        <v>1399.8757324000001</v>
      </c>
      <c r="J1260">
        <v>1379.6474608999999</v>
      </c>
      <c r="K1260">
        <v>80</v>
      </c>
      <c r="L1260">
        <v>79.679710388000004</v>
      </c>
      <c r="M1260">
        <v>50</v>
      </c>
      <c r="N1260">
        <v>47.939155579000001</v>
      </c>
    </row>
    <row r="1261" spans="1:14" x14ac:dyDescent="0.25">
      <c r="A1261">
        <v>916.80159300000003</v>
      </c>
      <c r="B1261" s="1">
        <f>DATE(2012,11,2) + TIME(19,14,17)</f>
        <v>41215.801585648151</v>
      </c>
      <c r="C1261">
        <v>0</v>
      </c>
      <c r="D1261">
        <v>2400</v>
      </c>
      <c r="E1261">
        <v>2400</v>
      </c>
      <c r="F1261">
        <v>0</v>
      </c>
      <c r="G1261">
        <v>1302.543457</v>
      </c>
      <c r="H1261">
        <v>1290.7379149999999</v>
      </c>
      <c r="I1261">
        <v>1399.6461182</v>
      </c>
      <c r="J1261">
        <v>1379.5317382999999</v>
      </c>
      <c r="K1261">
        <v>80</v>
      </c>
      <c r="L1261">
        <v>79.649665833</v>
      </c>
      <c r="M1261">
        <v>50</v>
      </c>
      <c r="N1261">
        <v>48.358116150000001</v>
      </c>
    </row>
    <row r="1262" spans="1:14" x14ac:dyDescent="0.25">
      <c r="A1262">
        <v>917.019094</v>
      </c>
      <c r="B1262" s="1">
        <f>DATE(2012,11,3) + TIME(0,27,29)</f>
        <v>41216.019085648149</v>
      </c>
      <c r="C1262">
        <v>0</v>
      </c>
      <c r="D1262">
        <v>2400</v>
      </c>
      <c r="E1262">
        <v>2400</v>
      </c>
      <c r="F1262">
        <v>0</v>
      </c>
      <c r="G1262">
        <v>1302.5345459</v>
      </c>
      <c r="H1262">
        <v>1290.7274170000001</v>
      </c>
      <c r="I1262">
        <v>1399.4471435999999</v>
      </c>
      <c r="J1262">
        <v>1379.4219971</v>
      </c>
      <c r="K1262">
        <v>80</v>
      </c>
      <c r="L1262">
        <v>79.619346618999998</v>
      </c>
      <c r="M1262">
        <v>50</v>
      </c>
      <c r="N1262">
        <v>48.693622589</v>
      </c>
    </row>
    <row r="1263" spans="1:14" x14ac:dyDescent="0.25">
      <c r="A1263">
        <v>917.24333200000001</v>
      </c>
      <c r="B1263" s="1">
        <f>DATE(2012,11,3) + TIME(5,50,23)</f>
        <v>41216.243321759262</v>
      </c>
      <c r="C1263">
        <v>0</v>
      </c>
      <c r="D1263">
        <v>2400</v>
      </c>
      <c r="E1263">
        <v>2400</v>
      </c>
      <c r="F1263">
        <v>0</v>
      </c>
      <c r="G1263">
        <v>1302.5256348</v>
      </c>
      <c r="H1263">
        <v>1290.7166748</v>
      </c>
      <c r="I1263">
        <v>1399.2728271000001</v>
      </c>
      <c r="J1263">
        <v>1379.3195800999999</v>
      </c>
      <c r="K1263">
        <v>80</v>
      </c>
      <c r="L1263">
        <v>79.588317871000001</v>
      </c>
      <c r="M1263">
        <v>50</v>
      </c>
      <c r="N1263">
        <v>48.965492249</v>
      </c>
    </row>
    <row r="1264" spans="1:14" x14ac:dyDescent="0.25">
      <c r="A1264">
        <v>917.47671300000002</v>
      </c>
      <c r="B1264" s="1">
        <f>DATE(2012,11,3) + TIME(11,26,27)</f>
        <v>41216.476701388892</v>
      </c>
      <c r="C1264">
        <v>0</v>
      </c>
      <c r="D1264">
        <v>2400</v>
      </c>
      <c r="E1264">
        <v>2400</v>
      </c>
      <c r="F1264">
        <v>0</v>
      </c>
      <c r="G1264">
        <v>1302.5162353999999</v>
      </c>
      <c r="H1264">
        <v>1290.7056885</v>
      </c>
      <c r="I1264">
        <v>1399.1177978999999</v>
      </c>
      <c r="J1264">
        <v>1379.2224120999999</v>
      </c>
      <c r="K1264">
        <v>80</v>
      </c>
      <c r="L1264">
        <v>79.556320189999994</v>
      </c>
      <c r="M1264">
        <v>50</v>
      </c>
      <c r="N1264">
        <v>49.185897826999998</v>
      </c>
    </row>
    <row r="1265" spans="1:14" x14ac:dyDescent="0.25">
      <c r="A1265">
        <v>917.72197900000003</v>
      </c>
      <c r="B1265" s="1">
        <f>DATE(2012,11,3) + TIME(17,19,38)</f>
        <v>41216.721967592595</v>
      </c>
      <c r="C1265">
        <v>0</v>
      </c>
      <c r="D1265">
        <v>2400</v>
      </c>
      <c r="E1265">
        <v>2400</v>
      </c>
      <c r="F1265">
        <v>0</v>
      </c>
      <c r="G1265">
        <v>1302.5065918</v>
      </c>
      <c r="H1265">
        <v>1290.6943358999999</v>
      </c>
      <c r="I1265">
        <v>1398.9777832</v>
      </c>
      <c r="J1265">
        <v>1379.1289062000001</v>
      </c>
      <c r="K1265">
        <v>80</v>
      </c>
      <c r="L1265">
        <v>79.523063660000005</v>
      </c>
      <c r="M1265">
        <v>50</v>
      </c>
      <c r="N1265">
        <v>49.364292145</v>
      </c>
    </row>
    <row r="1266" spans="1:14" x14ac:dyDescent="0.25">
      <c r="A1266">
        <v>917.98222999999996</v>
      </c>
      <c r="B1266" s="1">
        <f>DATE(2012,11,3) + TIME(23,34,24)</f>
        <v>41216.982222222221</v>
      </c>
      <c r="C1266">
        <v>0</v>
      </c>
      <c r="D1266">
        <v>2400</v>
      </c>
      <c r="E1266">
        <v>2400</v>
      </c>
      <c r="F1266">
        <v>0</v>
      </c>
      <c r="G1266">
        <v>1302.4964600000001</v>
      </c>
      <c r="H1266">
        <v>1290.6823730000001</v>
      </c>
      <c r="I1266">
        <v>1398.8497314000001</v>
      </c>
      <c r="J1266">
        <v>1379.0382079999999</v>
      </c>
      <c r="K1266">
        <v>80</v>
      </c>
      <c r="L1266">
        <v>79.488220214999998</v>
      </c>
      <c r="M1266">
        <v>50</v>
      </c>
      <c r="N1266">
        <v>49.508060454999999</v>
      </c>
    </row>
    <row r="1267" spans="1:14" x14ac:dyDescent="0.25">
      <c r="A1267">
        <v>918.26110600000004</v>
      </c>
      <c r="B1267" s="1">
        <f>DATE(2012,11,4) + TIME(6,15,59)</f>
        <v>41217.261099537034</v>
      </c>
      <c r="C1267">
        <v>0</v>
      </c>
      <c r="D1267">
        <v>2400</v>
      </c>
      <c r="E1267">
        <v>2400</v>
      </c>
      <c r="F1267">
        <v>0</v>
      </c>
      <c r="G1267">
        <v>1302.4855957</v>
      </c>
      <c r="H1267">
        <v>1290.6696777</v>
      </c>
      <c r="I1267">
        <v>1398.7308350000001</v>
      </c>
      <c r="J1267">
        <v>1378.9492187999999</v>
      </c>
      <c r="K1267">
        <v>80</v>
      </c>
      <c r="L1267">
        <v>79.451416015999996</v>
      </c>
      <c r="M1267">
        <v>50</v>
      </c>
      <c r="N1267">
        <v>49.623111725000001</v>
      </c>
    </row>
    <row r="1268" spans="1:14" x14ac:dyDescent="0.25">
      <c r="A1268">
        <v>918.56252600000005</v>
      </c>
      <c r="B1268" s="1">
        <f>DATE(2012,11,4) + TIME(13,30,2)</f>
        <v>41217.562523148146</v>
      </c>
      <c r="C1268">
        <v>0</v>
      </c>
      <c r="D1268">
        <v>2400</v>
      </c>
      <c r="E1268">
        <v>2400</v>
      </c>
      <c r="F1268">
        <v>0</v>
      </c>
      <c r="G1268">
        <v>1302.4741211</v>
      </c>
      <c r="H1268">
        <v>1290.65625</v>
      </c>
      <c r="I1268">
        <v>1398.6188964999999</v>
      </c>
      <c r="J1268">
        <v>1378.8608397999999</v>
      </c>
      <c r="K1268">
        <v>80</v>
      </c>
      <c r="L1268">
        <v>79.412239075000002</v>
      </c>
      <c r="M1268">
        <v>50</v>
      </c>
      <c r="N1268">
        <v>49.71414566</v>
      </c>
    </row>
    <row r="1269" spans="1:14" x14ac:dyDescent="0.25">
      <c r="A1269">
        <v>918.88583700000004</v>
      </c>
      <c r="B1269" s="1">
        <f>DATE(2012,11,4) + TIME(21,15,36)</f>
        <v>41217.885833333334</v>
      </c>
      <c r="C1269">
        <v>0</v>
      </c>
      <c r="D1269">
        <v>2400</v>
      </c>
      <c r="E1269">
        <v>2400</v>
      </c>
      <c r="F1269">
        <v>0</v>
      </c>
      <c r="G1269">
        <v>1302.4616699000001</v>
      </c>
      <c r="H1269">
        <v>1290.6417236</v>
      </c>
      <c r="I1269">
        <v>1398.5125731999999</v>
      </c>
      <c r="J1269">
        <v>1378.7725829999999</v>
      </c>
      <c r="K1269">
        <v>80</v>
      </c>
      <c r="L1269">
        <v>79.370727539000001</v>
      </c>
      <c r="M1269">
        <v>50</v>
      </c>
      <c r="N1269">
        <v>49.784313202</v>
      </c>
    </row>
    <row r="1270" spans="1:14" x14ac:dyDescent="0.25">
      <c r="A1270">
        <v>919.23647000000005</v>
      </c>
      <c r="B1270" s="1">
        <f>DATE(2012,11,5) + TIME(5,40,31)</f>
        <v>41218.23646990741</v>
      </c>
      <c r="C1270">
        <v>0</v>
      </c>
      <c r="D1270">
        <v>2400</v>
      </c>
      <c r="E1270">
        <v>2400</v>
      </c>
      <c r="F1270">
        <v>0</v>
      </c>
      <c r="G1270">
        <v>1302.4484863</v>
      </c>
      <c r="H1270">
        <v>1290.6262207</v>
      </c>
      <c r="I1270">
        <v>1398.4108887</v>
      </c>
      <c r="J1270">
        <v>1378.6848144999999</v>
      </c>
      <c r="K1270">
        <v>80</v>
      </c>
      <c r="L1270">
        <v>79.326339722</v>
      </c>
      <c r="M1270">
        <v>50</v>
      </c>
      <c r="N1270">
        <v>49.837779998999999</v>
      </c>
    </row>
    <row r="1271" spans="1:14" x14ac:dyDescent="0.25">
      <c r="A1271">
        <v>919.620812</v>
      </c>
      <c r="B1271" s="1">
        <f>DATE(2012,11,5) + TIME(14,53,58)</f>
        <v>41218.620810185188</v>
      </c>
      <c r="C1271">
        <v>0</v>
      </c>
      <c r="D1271">
        <v>2400</v>
      </c>
      <c r="E1271">
        <v>2400</v>
      </c>
      <c r="F1271">
        <v>0</v>
      </c>
      <c r="G1271">
        <v>1302.434082</v>
      </c>
      <c r="H1271">
        <v>1290.609375</v>
      </c>
      <c r="I1271">
        <v>1398.3121338000001</v>
      </c>
      <c r="J1271">
        <v>1378.5965576000001</v>
      </c>
      <c r="K1271">
        <v>80</v>
      </c>
      <c r="L1271">
        <v>79.278488159000005</v>
      </c>
      <c r="M1271">
        <v>50</v>
      </c>
      <c r="N1271">
        <v>49.877876282000003</v>
      </c>
    </row>
    <row r="1272" spans="1:14" x14ac:dyDescent="0.25">
      <c r="A1272">
        <v>920.04733299999998</v>
      </c>
      <c r="B1272" s="1">
        <f>DATE(2012,11,6) + TIME(1,8,9)</f>
        <v>41219.047326388885</v>
      </c>
      <c r="C1272">
        <v>0</v>
      </c>
      <c r="D1272">
        <v>2400</v>
      </c>
      <c r="E1272">
        <v>2400</v>
      </c>
      <c r="F1272">
        <v>0</v>
      </c>
      <c r="G1272">
        <v>1302.418457</v>
      </c>
      <c r="H1272">
        <v>1290.5910644999999</v>
      </c>
      <c r="I1272">
        <v>1398.2145995999999</v>
      </c>
      <c r="J1272">
        <v>1378.5068358999999</v>
      </c>
      <c r="K1272">
        <v>80</v>
      </c>
      <c r="L1272">
        <v>79.226364136000001</v>
      </c>
      <c r="M1272">
        <v>50</v>
      </c>
      <c r="N1272">
        <v>49.907371521000002</v>
      </c>
    </row>
    <row r="1273" spans="1:14" x14ac:dyDescent="0.25">
      <c r="A1273">
        <v>920.51331000000005</v>
      </c>
      <c r="B1273" s="1">
        <f>DATE(2012,11,6) + TIME(12,19,9)</f>
        <v>41219.513298611113</v>
      </c>
      <c r="C1273">
        <v>0</v>
      </c>
      <c r="D1273">
        <v>2400</v>
      </c>
      <c r="E1273">
        <v>2400</v>
      </c>
      <c r="F1273">
        <v>0</v>
      </c>
      <c r="G1273">
        <v>1302.4011230000001</v>
      </c>
      <c r="H1273">
        <v>1290.5708007999999</v>
      </c>
      <c r="I1273">
        <v>1398.1166992000001</v>
      </c>
      <c r="J1273">
        <v>1378.4147949000001</v>
      </c>
      <c r="K1273">
        <v>80</v>
      </c>
      <c r="L1273">
        <v>79.170036315999994</v>
      </c>
      <c r="M1273">
        <v>50</v>
      </c>
      <c r="N1273">
        <v>49.928157806000002</v>
      </c>
    </row>
    <row r="1274" spans="1:14" x14ac:dyDescent="0.25">
      <c r="A1274">
        <v>920.984647</v>
      </c>
      <c r="B1274" s="1">
        <f>DATE(2012,11,6) + TIME(23,37,53)</f>
        <v>41219.9846412037</v>
      </c>
      <c r="C1274">
        <v>0</v>
      </c>
      <c r="D1274">
        <v>2400</v>
      </c>
      <c r="E1274">
        <v>2400</v>
      </c>
      <c r="F1274">
        <v>0</v>
      </c>
      <c r="G1274">
        <v>1302.3820800999999</v>
      </c>
      <c r="H1274">
        <v>1290.5488281</v>
      </c>
      <c r="I1274">
        <v>1398.0197754000001</v>
      </c>
      <c r="J1274">
        <v>1378.3220214999999</v>
      </c>
      <c r="K1274">
        <v>80</v>
      </c>
      <c r="L1274">
        <v>79.112075806000007</v>
      </c>
      <c r="M1274">
        <v>50</v>
      </c>
      <c r="N1274">
        <v>49.941719055</v>
      </c>
    </row>
    <row r="1275" spans="1:14" x14ac:dyDescent="0.25">
      <c r="A1275">
        <v>921.46440600000005</v>
      </c>
      <c r="B1275" s="1">
        <f>DATE(2012,11,7) + TIME(11,8,44)</f>
        <v>41220.464398148149</v>
      </c>
      <c r="C1275">
        <v>0</v>
      </c>
      <c r="D1275">
        <v>2400</v>
      </c>
      <c r="E1275">
        <v>2400</v>
      </c>
      <c r="F1275">
        <v>0</v>
      </c>
      <c r="G1275">
        <v>1302.362793</v>
      </c>
      <c r="H1275">
        <v>1290.5264893000001</v>
      </c>
      <c r="I1275">
        <v>1397.9298096</v>
      </c>
      <c r="J1275">
        <v>1378.2351074000001</v>
      </c>
      <c r="K1275">
        <v>80</v>
      </c>
      <c r="L1275">
        <v>79.052749633999994</v>
      </c>
      <c r="M1275">
        <v>50</v>
      </c>
      <c r="N1275">
        <v>49.950614928999997</v>
      </c>
    </row>
    <row r="1276" spans="1:14" x14ac:dyDescent="0.25">
      <c r="A1276">
        <v>921.95844599999998</v>
      </c>
      <c r="B1276" s="1">
        <f>DATE(2012,11,7) + TIME(23,0,9)</f>
        <v>41220.958437499998</v>
      </c>
      <c r="C1276">
        <v>0</v>
      </c>
      <c r="D1276">
        <v>2400</v>
      </c>
      <c r="E1276">
        <v>2400</v>
      </c>
      <c r="F1276">
        <v>0</v>
      </c>
      <c r="G1276">
        <v>1302.3433838000001</v>
      </c>
      <c r="H1276">
        <v>1290.5039062000001</v>
      </c>
      <c r="I1276">
        <v>1397.8450928</v>
      </c>
      <c r="J1276">
        <v>1378.152832</v>
      </c>
      <c r="K1276">
        <v>80</v>
      </c>
      <c r="L1276">
        <v>78.991859435999999</v>
      </c>
      <c r="M1276">
        <v>50</v>
      </c>
      <c r="N1276">
        <v>49.956501007</v>
      </c>
    </row>
    <row r="1277" spans="1:14" x14ac:dyDescent="0.25">
      <c r="A1277">
        <v>922.47247700000003</v>
      </c>
      <c r="B1277" s="1">
        <f>DATE(2012,11,8) + TIME(11,20,22)</f>
        <v>41221.47247685185</v>
      </c>
      <c r="C1277">
        <v>0</v>
      </c>
      <c r="D1277">
        <v>2400</v>
      </c>
      <c r="E1277">
        <v>2400</v>
      </c>
      <c r="F1277">
        <v>0</v>
      </c>
      <c r="G1277">
        <v>1302.3234863</v>
      </c>
      <c r="H1277">
        <v>1290.4804687999999</v>
      </c>
      <c r="I1277">
        <v>1397.7641602000001</v>
      </c>
      <c r="J1277">
        <v>1378.0739745999999</v>
      </c>
      <c r="K1277">
        <v>80</v>
      </c>
      <c r="L1277">
        <v>78.929054260000001</v>
      </c>
      <c r="M1277">
        <v>50</v>
      </c>
      <c r="N1277">
        <v>49.960414886000002</v>
      </c>
    </row>
    <row r="1278" spans="1:14" x14ac:dyDescent="0.25">
      <c r="A1278">
        <v>923.01263100000006</v>
      </c>
      <c r="B1278" s="1">
        <f>DATE(2012,11,9) + TIME(0,18,11)</f>
        <v>41222.012627314813</v>
      </c>
      <c r="C1278">
        <v>0</v>
      </c>
      <c r="D1278">
        <v>2400</v>
      </c>
      <c r="E1278">
        <v>2400</v>
      </c>
      <c r="F1278">
        <v>0</v>
      </c>
      <c r="G1278">
        <v>1302.3027344</v>
      </c>
      <c r="H1278">
        <v>1290.4561768000001</v>
      </c>
      <c r="I1278">
        <v>1397.6856689000001</v>
      </c>
      <c r="J1278">
        <v>1377.9971923999999</v>
      </c>
      <c r="K1278">
        <v>80</v>
      </c>
      <c r="L1278">
        <v>78.863876343000001</v>
      </c>
      <c r="M1278">
        <v>50</v>
      </c>
      <c r="N1278">
        <v>49.963027953999998</v>
      </c>
    </row>
    <row r="1279" spans="1:14" x14ac:dyDescent="0.25">
      <c r="A1279">
        <v>923.58588499999996</v>
      </c>
      <c r="B1279" s="1">
        <f>DATE(2012,11,9) + TIME(14,3,40)</f>
        <v>41222.585879629631</v>
      </c>
      <c r="C1279">
        <v>0</v>
      </c>
      <c r="D1279">
        <v>2400</v>
      </c>
      <c r="E1279">
        <v>2400</v>
      </c>
      <c r="F1279">
        <v>0</v>
      </c>
      <c r="G1279">
        <v>1302.2811279</v>
      </c>
      <c r="H1279">
        <v>1290.4307861</v>
      </c>
      <c r="I1279">
        <v>1397.6083983999999</v>
      </c>
      <c r="J1279">
        <v>1377.9217529</v>
      </c>
      <c r="K1279">
        <v>80</v>
      </c>
      <c r="L1279">
        <v>78.795722960999996</v>
      </c>
      <c r="M1279">
        <v>50</v>
      </c>
      <c r="N1279">
        <v>49.964778899999999</v>
      </c>
    </row>
    <row r="1280" spans="1:14" x14ac:dyDescent="0.25">
      <c r="A1280">
        <v>924.20081800000003</v>
      </c>
      <c r="B1280" s="1">
        <f>DATE(2012,11,10) + TIME(4,49,10)</f>
        <v>41223.200810185182</v>
      </c>
      <c r="C1280">
        <v>0</v>
      </c>
      <c r="D1280">
        <v>2400</v>
      </c>
      <c r="E1280">
        <v>2400</v>
      </c>
      <c r="F1280">
        <v>0</v>
      </c>
      <c r="G1280">
        <v>1302.2581786999999</v>
      </c>
      <c r="H1280">
        <v>1290.4038086</v>
      </c>
      <c r="I1280">
        <v>1397.5317382999999</v>
      </c>
      <c r="J1280">
        <v>1377.8468018000001</v>
      </c>
      <c r="K1280">
        <v>80</v>
      </c>
      <c r="L1280">
        <v>78.723838806000003</v>
      </c>
      <c r="M1280">
        <v>50</v>
      </c>
      <c r="N1280">
        <v>49.965957641999999</v>
      </c>
    </row>
    <row r="1281" spans="1:14" x14ac:dyDescent="0.25">
      <c r="A1281">
        <v>924.86820899999998</v>
      </c>
      <c r="B1281" s="1">
        <f>DATE(2012,11,10) + TIME(20,50,13)</f>
        <v>41223.868206018517</v>
      </c>
      <c r="C1281">
        <v>0</v>
      </c>
      <c r="D1281">
        <v>2400</v>
      </c>
      <c r="E1281">
        <v>2400</v>
      </c>
      <c r="F1281">
        <v>0</v>
      </c>
      <c r="G1281">
        <v>1302.2336425999999</v>
      </c>
      <c r="H1281">
        <v>1290.3747559000001</v>
      </c>
      <c r="I1281">
        <v>1397.4545897999999</v>
      </c>
      <c r="J1281">
        <v>1377.7713623</v>
      </c>
      <c r="K1281">
        <v>80</v>
      </c>
      <c r="L1281">
        <v>78.647285460999996</v>
      </c>
      <c r="M1281">
        <v>50</v>
      </c>
      <c r="N1281">
        <v>49.966758728000002</v>
      </c>
    </row>
    <row r="1282" spans="1:14" x14ac:dyDescent="0.25">
      <c r="A1282">
        <v>925.58529599999997</v>
      </c>
      <c r="B1282" s="1">
        <f>DATE(2012,11,11) + TIME(14,2,49)</f>
        <v>41224.585289351853</v>
      </c>
      <c r="C1282">
        <v>0</v>
      </c>
      <c r="D1282">
        <v>2400</v>
      </c>
      <c r="E1282">
        <v>2400</v>
      </c>
      <c r="F1282">
        <v>0</v>
      </c>
      <c r="G1282">
        <v>1302.2070312000001</v>
      </c>
      <c r="H1282">
        <v>1290.3433838000001</v>
      </c>
      <c r="I1282">
        <v>1397.3762207</v>
      </c>
      <c r="J1282">
        <v>1377.6948242000001</v>
      </c>
      <c r="K1282">
        <v>80</v>
      </c>
      <c r="L1282">
        <v>78.565895080999994</v>
      </c>
      <c r="M1282">
        <v>50</v>
      </c>
      <c r="N1282">
        <v>49.967300414999997</v>
      </c>
    </row>
    <row r="1283" spans="1:14" x14ac:dyDescent="0.25">
      <c r="A1283">
        <v>926.32007199999998</v>
      </c>
      <c r="B1283" s="1">
        <f>DATE(2012,11,12) + TIME(7,40,54)</f>
        <v>41225.320069444446</v>
      </c>
      <c r="C1283">
        <v>0</v>
      </c>
      <c r="D1283">
        <v>2400</v>
      </c>
      <c r="E1283">
        <v>2400</v>
      </c>
      <c r="F1283">
        <v>0</v>
      </c>
      <c r="G1283">
        <v>1302.1782227000001</v>
      </c>
      <c r="H1283">
        <v>1290.3098144999999</v>
      </c>
      <c r="I1283">
        <v>1397.2973632999999</v>
      </c>
      <c r="J1283">
        <v>1377.6179199000001</v>
      </c>
      <c r="K1283">
        <v>80</v>
      </c>
      <c r="L1283">
        <v>78.481506347999996</v>
      </c>
      <c r="M1283">
        <v>50</v>
      </c>
      <c r="N1283">
        <v>49.967658997000001</v>
      </c>
    </row>
    <row r="1284" spans="1:14" x14ac:dyDescent="0.25">
      <c r="A1284">
        <v>927.08346900000004</v>
      </c>
      <c r="B1284" s="1">
        <f>DATE(2012,11,13) + TIME(2,0,11)</f>
        <v>41226.083460648151</v>
      </c>
      <c r="C1284">
        <v>0</v>
      </c>
      <c r="D1284">
        <v>2400</v>
      </c>
      <c r="E1284">
        <v>2400</v>
      </c>
      <c r="F1284">
        <v>0</v>
      </c>
      <c r="G1284">
        <v>1302.1488036999999</v>
      </c>
      <c r="H1284">
        <v>1290.2751464999999</v>
      </c>
      <c r="I1284">
        <v>1397.2215576000001</v>
      </c>
      <c r="J1284">
        <v>1377.5441894999999</v>
      </c>
      <c r="K1284">
        <v>80</v>
      </c>
      <c r="L1284">
        <v>78.394180297999995</v>
      </c>
      <c r="M1284">
        <v>50</v>
      </c>
      <c r="N1284">
        <v>49.967903137</v>
      </c>
    </row>
    <row r="1285" spans="1:14" x14ac:dyDescent="0.25">
      <c r="A1285">
        <v>927.86531300000001</v>
      </c>
      <c r="B1285" s="1">
        <f>DATE(2012,11,13) + TIME(20,46,3)</f>
        <v>41226.865312499998</v>
      </c>
      <c r="C1285">
        <v>0</v>
      </c>
      <c r="D1285">
        <v>2400</v>
      </c>
      <c r="E1285">
        <v>2400</v>
      </c>
      <c r="F1285">
        <v>0</v>
      </c>
      <c r="G1285">
        <v>1302.1180420000001</v>
      </c>
      <c r="H1285">
        <v>1290.2390137</v>
      </c>
      <c r="I1285">
        <v>1397.1477050999999</v>
      </c>
      <c r="J1285">
        <v>1377.472168</v>
      </c>
      <c r="K1285">
        <v>80</v>
      </c>
      <c r="L1285">
        <v>78.304710388000004</v>
      </c>
      <c r="M1285">
        <v>50</v>
      </c>
      <c r="N1285">
        <v>49.968070984000001</v>
      </c>
    </row>
    <row r="1286" spans="1:14" x14ac:dyDescent="0.25">
      <c r="A1286">
        <v>928.66805499999998</v>
      </c>
      <c r="B1286" s="1">
        <f>DATE(2012,11,14) + TIME(16,1,59)</f>
        <v>41227.668043981481</v>
      </c>
      <c r="C1286">
        <v>0</v>
      </c>
      <c r="D1286">
        <v>2400</v>
      </c>
      <c r="E1286">
        <v>2400</v>
      </c>
      <c r="F1286">
        <v>0</v>
      </c>
      <c r="G1286">
        <v>1302.0866699000001</v>
      </c>
      <c r="H1286">
        <v>1290.2019043</v>
      </c>
      <c r="I1286">
        <v>1397.0764160000001</v>
      </c>
      <c r="J1286">
        <v>1377.4029541</v>
      </c>
      <c r="K1286">
        <v>80</v>
      </c>
      <c r="L1286">
        <v>78.213310242000006</v>
      </c>
      <c r="M1286">
        <v>50</v>
      </c>
      <c r="N1286">
        <v>49.968193053999997</v>
      </c>
    </row>
    <row r="1287" spans="1:14" x14ac:dyDescent="0.25">
      <c r="A1287">
        <v>929.50101099999995</v>
      </c>
      <c r="B1287" s="1">
        <f>DATE(2012,11,15) + TIME(12,1,27)</f>
        <v>41228.501006944447</v>
      </c>
      <c r="C1287">
        <v>0</v>
      </c>
      <c r="D1287">
        <v>2400</v>
      </c>
      <c r="E1287">
        <v>2400</v>
      </c>
      <c r="F1287">
        <v>0</v>
      </c>
      <c r="G1287">
        <v>1302.0543213000001</v>
      </c>
      <c r="H1287">
        <v>1290.1636963000001</v>
      </c>
      <c r="I1287">
        <v>1397.0074463000001</v>
      </c>
      <c r="J1287">
        <v>1377.3359375</v>
      </c>
      <c r="K1287">
        <v>80</v>
      </c>
      <c r="L1287">
        <v>78.119598389000004</v>
      </c>
      <c r="M1287">
        <v>50</v>
      </c>
      <c r="N1287">
        <v>49.968288422000001</v>
      </c>
    </row>
    <row r="1288" spans="1:14" x14ac:dyDescent="0.25">
      <c r="A1288">
        <v>930.37420699999996</v>
      </c>
      <c r="B1288" s="1">
        <f>DATE(2012,11,16) + TIME(8,58,51)</f>
        <v>41229.374201388891</v>
      </c>
      <c r="C1288">
        <v>0</v>
      </c>
      <c r="D1288">
        <v>2400</v>
      </c>
      <c r="E1288">
        <v>2400</v>
      </c>
      <c r="F1288">
        <v>0</v>
      </c>
      <c r="G1288">
        <v>1302.0207519999999</v>
      </c>
      <c r="H1288">
        <v>1290.1239014</v>
      </c>
      <c r="I1288">
        <v>1396.9398193</v>
      </c>
      <c r="J1288">
        <v>1377.2703856999999</v>
      </c>
      <c r="K1288">
        <v>80</v>
      </c>
      <c r="L1288">
        <v>78.022888183999996</v>
      </c>
      <c r="M1288">
        <v>50</v>
      </c>
      <c r="N1288">
        <v>49.968360900999997</v>
      </c>
    </row>
    <row r="1289" spans="1:14" x14ac:dyDescent="0.25">
      <c r="A1289">
        <v>931.29913199999999</v>
      </c>
      <c r="B1289" s="1">
        <f>DATE(2012,11,17) + TIME(7,10,45)</f>
        <v>41230.299131944441</v>
      </c>
      <c r="C1289">
        <v>0</v>
      </c>
      <c r="D1289">
        <v>2400</v>
      </c>
      <c r="E1289">
        <v>2400</v>
      </c>
      <c r="F1289">
        <v>0</v>
      </c>
      <c r="G1289">
        <v>1301.9854736</v>
      </c>
      <c r="H1289">
        <v>1290.0820312000001</v>
      </c>
      <c r="I1289">
        <v>1396.8726807</v>
      </c>
      <c r="J1289">
        <v>1377.2053223</v>
      </c>
      <c r="K1289">
        <v>80</v>
      </c>
      <c r="L1289">
        <v>77.922264099000003</v>
      </c>
      <c r="M1289">
        <v>50</v>
      </c>
      <c r="N1289">
        <v>49.968418120999999</v>
      </c>
    </row>
    <row r="1290" spans="1:14" x14ac:dyDescent="0.25">
      <c r="A1290">
        <v>932.29004799999996</v>
      </c>
      <c r="B1290" s="1">
        <f>DATE(2012,11,18) + TIME(6,57,40)</f>
        <v>41231.290046296293</v>
      </c>
      <c r="C1290">
        <v>0</v>
      </c>
      <c r="D1290">
        <v>2400</v>
      </c>
      <c r="E1290">
        <v>2400</v>
      </c>
      <c r="F1290">
        <v>0</v>
      </c>
      <c r="G1290">
        <v>1301.9479980000001</v>
      </c>
      <c r="H1290">
        <v>1290.0375977000001</v>
      </c>
      <c r="I1290">
        <v>1396.8054199000001</v>
      </c>
      <c r="J1290">
        <v>1377.1400146000001</v>
      </c>
      <c r="K1290">
        <v>80</v>
      </c>
      <c r="L1290">
        <v>77.816558838000006</v>
      </c>
      <c r="M1290">
        <v>50</v>
      </c>
      <c r="N1290">
        <v>49.968471526999998</v>
      </c>
    </row>
    <row r="1291" spans="1:14" x14ac:dyDescent="0.25">
      <c r="A1291">
        <v>933.34568400000001</v>
      </c>
      <c r="B1291" s="1">
        <f>DATE(2012,11,19) + TIME(8,17,47)</f>
        <v>41232.345682870371</v>
      </c>
      <c r="C1291">
        <v>0</v>
      </c>
      <c r="D1291">
        <v>2400</v>
      </c>
      <c r="E1291">
        <v>2400</v>
      </c>
      <c r="F1291">
        <v>0</v>
      </c>
      <c r="G1291">
        <v>1301.9075928</v>
      </c>
      <c r="H1291">
        <v>1289.989624</v>
      </c>
      <c r="I1291">
        <v>1396.7370605000001</v>
      </c>
      <c r="J1291">
        <v>1377.0739745999999</v>
      </c>
      <c r="K1291">
        <v>80</v>
      </c>
      <c r="L1291">
        <v>77.705276488999999</v>
      </c>
      <c r="M1291">
        <v>50</v>
      </c>
      <c r="N1291">
        <v>49.968517302999999</v>
      </c>
    </row>
    <row r="1292" spans="1:14" x14ac:dyDescent="0.25">
      <c r="A1292">
        <v>934.43669299999999</v>
      </c>
      <c r="B1292" s="1">
        <f>DATE(2012,11,20) + TIME(10,28,50)</f>
        <v>41233.436689814815</v>
      </c>
      <c r="C1292">
        <v>0</v>
      </c>
      <c r="D1292">
        <v>2400</v>
      </c>
      <c r="E1292">
        <v>2400</v>
      </c>
      <c r="F1292">
        <v>0</v>
      </c>
      <c r="G1292">
        <v>1301.8642577999999</v>
      </c>
      <c r="H1292">
        <v>1289.9382324000001</v>
      </c>
      <c r="I1292">
        <v>1396.6682129000001</v>
      </c>
      <c r="J1292">
        <v>1377.0072021000001</v>
      </c>
      <c r="K1292">
        <v>80</v>
      </c>
      <c r="L1292">
        <v>77.589599609000004</v>
      </c>
      <c r="M1292">
        <v>50</v>
      </c>
      <c r="N1292">
        <v>49.968559265000003</v>
      </c>
    </row>
    <row r="1293" spans="1:14" x14ac:dyDescent="0.25">
      <c r="A1293">
        <v>935.53963699999997</v>
      </c>
      <c r="B1293" s="1">
        <f>DATE(2012,11,21) + TIME(12,57,4)</f>
        <v>41234.539629629631</v>
      </c>
      <c r="C1293">
        <v>0</v>
      </c>
      <c r="D1293">
        <v>2400</v>
      </c>
      <c r="E1293">
        <v>2400</v>
      </c>
      <c r="F1293">
        <v>0</v>
      </c>
      <c r="G1293">
        <v>1301.8190918</v>
      </c>
      <c r="H1293">
        <v>1289.8847656</v>
      </c>
      <c r="I1293">
        <v>1396.6007079999999</v>
      </c>
      <c r="J1293">
        <v>1376.9420166</v>
      </c>
      <c r="K1293">
        <v>80</v>
      </c>
      <c r="L1293">
        <v>77.471565247000001</v>
      </c>
      <c r="M1293">
        <v>50</v>
      </c>
      <c r="N1293">
        <v>49.968597412000001</v>
      </c>
    </row>
    <row r="1294" spans="1:14" x14ac:dyDescent="0.25">
      <c r="A1294">
        <v>936.66761299999996</v>
      </c>
      <c r="B1294" s="1">
        <f>DATE(2012,11,22) + TIME(16,1,21)</f>
        <v>41235.667604166665</v>
      </c>
      <c r="C1294">
        <v>0</v>
      </c>
      <c r="D1294">
        <v>2400</v>
      </c>
      <c r="E1294">
        <v>2400</v>
      </c>
      <c r="F1294">
        <v>0</v>
      </c>
      <c r="G1294">
        <v>1301.7730713000001</v>
      </c>
      <c r="H1294">
        <v>1289.8300781</v>
      </c>
      <c r="I1294">
        <v>1396.5361327999999</v>
      </c>
      <c r="J1294">
        <v>1376.8795166</v>
      </c>
      <c r="K1294">
        <v>80</v>
      </c>
      <c r="L1294">
        <v>77.351806640999996</v>
      </c>
      <c r="M1294">
        <v>50</v>
      </c>
      <c r="N1294">
        <v>49.968631744</v>
      </c>
    </row>
    <row r="1295" spans="1:14" x14ac:dyDescent="0.25">
      <c r="A1295">
        <v>937.83379300000001</v>
      </c>
      <c r="B1295" s="1">
        <f>DATE(2012,11,23) + TIME(20,0,39)</f>
        <v>41236.833784722221</v>
      </c>
      <c r="C1295">
        <v>0</v>
      </c>
      <c r="D1295">
        <v>2400</v>
      </c>
      <c r="E1295">
        <v>2400</v>
      </c>
      <c r="F1295">
        <v>0</v>
      </c>
      <c r="G1295">
        <v>1301.7257079999999</v>
      </c>
      <c r="H1295">
        <v>1289.7735596</v>
      </c>
      <c r="I1295">
        <v>1396.4733887</v>
      </c>
      <c r="J1295">
        <v>1376.8187256000001</v>
      </c>
      <c r="K1295">
        <v>80</v>
      </c>
      <c r="L1295">
        <v>77.229866028000004</v>
      </c>
      <c r="M1295">
        <v>50</v>
      </c>
      <c r="N1295">
        <v>49.968669890999998</v>
      </c>
    </row>
    <row r="1296" spans="1:14" x14ac:dyDescent="0.25">
      <c r="A1296">
        <v>939.05238799999995</v>
      </c>
      <c r="B1296" s="1">
        <f>DATE(2012,11,25) + TIME(1,15,26)</f>
        <v>41238.052384259259</v>
      </c>
      <c r="C1296">
        <v>0</v>
      </c>
      <c r="D1296">
        <v>2400</v>
      </c>
      <c r="E1296">
        <v>2400</v>
      </c>
      <c r="F1296">
        <v>0</v>
      </c>
      <c r="G1296">
        <v>1301.6762695</v>
      </c>
      <c r="H1296">
        <v>1289.7144774999999</v>
      </c>
      <c r="I1296">
        <v>1396.4116211</v>
      </c>
      <c r="J1296">
        <v>1376.7589111</v>
      </c>
      <c r="K1296">
        <v>80</v>
      </c>
      <c r="L1296">
        <v>77.104797363000003</v>
      </c>
      <c r="M1296">
        <v>50</v>
      </c>
      <c r="N1296">
        <v>49.968708038000003</v>
      </c>
    </row>
    <row r="1297" spans="1:14" x14ac:dyDescent="0.25">
      <c r="A1297">
        <v>940.33963900000003</v>
      </c>
      <c r="B1297" s="1">
        <f>DATE(2012,11,26) + TIME(8,9,4)</f>
        <v>41239.339629629627</v>
      </c>
      <c r="C1297">
        <v>0</v>
      </c>
      <c r="D1297">
        <v>2400</v>
      </c>
      <c r="E1297">
        <v>2400</v>
      </c>
      <c r="F1297">
        <v>0</v>
      </c>
      <c r="G1297">
        <v>1301.6241454999999</v>
      </c>
      <c r="H1297">
        <v>1289.6520995999999</v>
      </c>
      <c r="I1297">
        <v>1396.3500977000001</v>
      </c>
      <c r="J1297">
        <v>1376.6993408000001</v>
      </c>
      <c r="K1297">
        <v>80</v>
      </c>
      <c r="L1297">
        <v>76.975357056000007</v>
      </c>
      <c r="M1297">
        <v>50</v>
      </c>
      <c r="N1297">
        <v>49.968746185000001</v>
      </c>
    </row>
    <row r="1298" spans="1:14" x14ac:dyDescent="0.25">
      <c r="A1298">
        <v>941.70304399999998</v>
      </c>
      <c r="B1298" s="1">
        <f>DATE(2012,11,27) + TIME(16,52,22)</f>
        <v>41240.703032407408</v>
      </c>
      <c r="C1298">
        <v>0</v>
      </c>
      <c r="D1298">
        <v>2400</v>
      </c>
      <c r="E1298">
        <v>2400</v>
      </c>
      <c r="F1298">
        <v>0</v>
      </c>
      <c r="G1298">
        <v>1301.5684814000001</v>
      </c>
      <c r="H1298">
        <v>1289.5854492000001</v>
      </c>
      <c r="I1298">
        <v>1396.2882079999999</v>
      </c>
      <c r="J1298">
        <v>1376.6394043</v>
      </c>
      <c r="K1298">
        <v>80</v>
      </c>
      <c r="L1298">
        <v>76.840499878000003</v>
      </c>
      <c r="M1298">
        <v>50</v>
      </c>
      <c r="N1298">
        <v>49.968784331999998</v>
      </c>
    </row>
    <row r="1299" spans="1:14" x14ac:dyDescent="0.25">
      <c r="A1299">
        <v>943.130044</v>
      </c>
      <c r="B1299" s="1">
        <f>DATE(2012,11,29) + TIME(3,7,15)</f>
        <v>41242.13003472222</v>
      </c>
      <c r="C1299">
        <v>0</v>
      </c>
      <c r="D1299">
        <v>2400</v>
      </c>
      <c r="E1299">
        <v>2400</v>
      </c>
      <c r="F1299">
        <v>0</v>
      </c>
      <c r="G1299">
        <v>1301.5086670000001</v>
      </c>
      <c r="H1299">
        <v>1289.5139160000001</v>
      </c>
      <c r="I1299">
        <v>1396.2255858999999</v>
      </c>
      <c r="J1299">
        <v>1376.5787353999999</v>
      </c>
      <c r="K1299">
        <v>80</v>
      </c>
      <c r="L1299">
        <v>76.700210571</v>
      </c>
      <c r="M1299">
        <v>50</v>
      </c>
      <c r="N1299">
        <v>49.968826294000003</v>
      </c>
    </row>
    <row r="1300" spans="1:14" x14ac:dyDescent="0.25">
      <c r="A1300">
        <v>944.599019</v>
      </c>
      <c r="B1300" s="1">
        <f>DATE(2012,11,30) + TIME(14,22,35)</f>
        <v>41243.599016203705</v>
      </c>
      <c r="C1300">
        <v>0</v>
      </c>
      <c r="D1300">
        <v>2400</v>
      </c>
      <c r="E1300">
        <v>2400</v>
      </c>
      <c r="F1300">
        <v>0</v>
      </c>
      <c r="G1300">
        <v>1301.4451904</v>
      </c>
      <c r="H1300">
        <v>1289.4378661999999</v>
      </c>
      <c r="I1300">
        <v>1396.1632079999999</v>
      </c>
      <c r="J1300">
        <v>1376.5181885</v>
      </c>
      <c r="K1300">
        <v>80</v>
      </c>
      <c r="L1300">
        <v>76.555641174000002</v>
      </c>
      <c r="M1300">
        <v>50</v>
      </c>
      <c r="N1300">
        <v>49.968872070000003</v>
      </c>
    </row>
    <row r="1301" spans="1:14" x14ac:dyDescent="0.25">
      <c r="A1301">
        <v>945</v>
      </c>
      <c r="B1301" s="1">
        <f>DATE(2012,12,1) + TIME(0,0,0)</f>
        <v>41244</v>
      </c>
      <c r="C1301">
        <v>0</v>
      </c>
      <c r="D1301">
        <v>2400</v>
      </c>
      <c r="E1301">
        <v>2400</v>
      </c>
      <c r="F1301">
        <v>0</v>
      </c>
      <c r="G1301">
        <v>1301.3762207</v>
      </c>
      <c r="H1301">
        <v>1289.3629149999999</v>
      </c>
      <c r="I1301">
        <v>1396.1015625</v>
      </c>
      <c r="J1301">
        <v>1376.4582519999999</v>
      </c>
      <c r="K1301">
        <v>80</v>
      </c>
      <c r="L1301">
        <v>76.482841492000006</v>
      </c>
      <c r="M1301">
        <v>50</v>
      </c>
      <c r="N1301">
        <v>49.968875885000003</v>
      </c>
    </row>
    <row r="1302" spans="1:14" x14ac:dyDescent="0.25">
      <c r="A1302">
        <v>946.48700399999996</v>
      </c>
      <c r="B1302" s="1">
        <f>DATE(2012,12,2) + TIME(11,41,17)</f>
        <v>41245.487002314818</v>
      </c>
      <c r="C1302">
        <v>0</v>
      </c>
      <c r="D1302">
        <v>2400</v>
      </c>
      <c r="E1302">
        <v>2400</v>
      </c>
      <c r="F1302">
        <v>0</v>
      </c>
      <c r="G1302">
        <v>1301.3596190999999</v>
      </c>
      <c r="H1302">
        <v>1289.3337402</v>
      </c>
      <c r="I1302">
        <v>1396.0858154</v>
      </c>
      <c r="J1302">
        <v>1376.442749</v>
      </c>
      <c r="K1302">
        <v>80</v>
      </c>
      <c r="L1302">
        <v>76.356468200999998</v>
      </c>
      <c r="M1302">
        <v>50</v>
      </c>
      <c r="N1302">
        <v>49.968925476000003</v>
      </c>
    </row>
    <row r="1303" spans="1:14" x14ac:dyDescent="0.25">
      <c r="A1303">
        <v>948.02297099999998</v>
      </c>
      <c r="B1303" s="1">
        <f>DATE(2012,12,4) + TIME(0,33,4)</f>
        <v>41247.022962962961</v>
      </c>
      <c r="C1303">
        <v>0</v>
      </c>
      <c r="D1303">
        <v>2400</v>
      </c>
      <c r="E1303">
        <v>2400</v>
      </c>
      <c r="F1303">
        <v>0</v>
      </c>
      <c r="G1303">
        <v>1301.2915039</v>
      </c>
      <c r="H1303">
        <v>1289.2524414</v>
      </c>
      <c r="I1303">
        <v>1396.0274658000001</v>
      </c>
      <c r="J1303">
        <v>1376.3858643000001</v>
      </c>
      <c r="K1303">
        <v>80</v>
      </c>
      <c r="L1303">
        <v>76.215507506999998</v>
      </c>
      <c r="M1303">
        <v>50</v>
      </c>
      <c r="N1303">
        <v>49.968971252000003</v>
      </c>
    </row>
    <row r="1304" spans="1:14" x14ac:dyDescent="0.25">
      <c r="A1304">
        <v>949.61618699999997</v>
      </c>
      <c r="B1304" s="1">
        <f>DATE(2012,12,5) + TIME(14,47,18)</f>
        <v>41248.616180555553</v>
      </c>
      <c r="C1304">
        <v>0</v>
      </c>
      <c r="D1304">
        <v>2400</v>
      </c>
      <c r="E1304">
        <v>2400</v>
      </c>
      <c r="F1304">
        <v>0</v>
      </c>
      <c r="G1304">
        <v>1301.2194824000001</v>
      </c>
      <c r="H1304">
        <v>1289.1657714999999</v>
      </c>
      <c r="I1304">
        <v>1395.9696045000001</v>
      </c>
      <c r="J1304">
        <v>1376.3294678</v>
      </c>
      <c r="K1304">
        <v>80</v>
      </c>
      <c r="L1304">
        <v>76.066734314000001</v>
      </c>
      <c r="M1304">
        <v>50</v>
      </c>
      <c r="N1304">
        <v>49.969017029</v>
      </c>
    </row>
    <row r="1305" spans="1:14" x14ac:dyDescent="0.25">
      <c r="A1305">
        <v>951.28691600000002</v>
      </c>
      <c r="B1305" s="1">
        <f>DATE(2012,12,7) + TIME(6,53,9)</f>
        <v>41250.286909722221</v>
      </c>
      <c r="C1305">
        <v>0</v>
      </c>
      <c r="D1305">
        <v>2400</v>
      </c>
      <c r="E1305">
        <v>2400</v>
      </c>
      <c r="F1305">
        <v>0</v>
      </c>
      <c r="G1305">
        <v>1301.1431885</v>
      </c>
      <c r="H1305">
        <v>1289.0737305</v>
      </c>
      <c r="I1305">
        <v>1395.9121094</v>
      </c>
      <c r="J1305">
        <v>1376.2731934000001</v>
      </c>
      <c r="K1305">
        <v>80</v>
      </c>
      <c r="L1305">
        <v>75.911956786999994</v>
      </c>
      <c r="M1305">
        <v>50</v>
      </c>
      <c r="N1305">
        <v>49.96906662</v>
      </c>
    </row>
    <row r="1306" spans="1:14" x14ac:dyDescent="0.25">
      <c r="A1306">
        <v>952.95764599999995</v>
      </c>
      <c r="B1306" s="1">
        <f>DATE(2012,12,8) + TIME(22,59,0)</f>
        <v>41251.957638888889</v>
      </c>
      <c r="C1306">
        <v>0</v>
      </c>
      <c r="D1306">
        <v>2400</v>
      </c>
      <c r="E1306">
        <v>2400</v>
      </c>
      <c r="F1306">
        <v>0</v>
      </c>
      <c r="G1306">
        <v>1301.0615233999999</v>
      </c>
      <c r="H1306">
        <v>1288.9750977000001</v>
      </c>
      <c r="I1306">
        <v>1395.8543701000001</v>
      </c>
      <c r="J1306">
        <v>1376.2165527</v>
      </c>
      <c r="K1306">
        <v>80</v>
      </c>
      <c r="L1306">
        <v>75.753890991000006</v>
      </c>
      <c r="M1306">
        <v>50</v>
      </c>
      <c r="N1306">
        <v>49.969112396</v>
      </c>
    </row>
    <row r="1307" spans="1:14" x14ac:dyDescent="0.25">
      <c r="A1307">
        <v>954.80341499999997</v>
      </c>
      <c r="B1307" s="1">
        <f>DATE(2012,12,10) + TIME(19,16,55)</f>
        <v>41253.803414351853</v>
      </c>
      <c r="C1307">
        <v>0</v>
      </c>
      <c r="D1307">
        <v>2400</v>
      </c>
      <c r="E1307">
        <v>2400</v>
      </c>
      <c r="F1307">
        <v>0</v>
      </c>
      <c r="G1307">
        <v>1300.9782714999999</v>
      </c>
      <c r="H1307">
        <v>1288.8735352000001</v>
      </c>
      <c r="I1307">
        <v>1395.7990723</v>
      </c>
      <c r="J1307">
        <v>1376.1622314000001</v>
      </c>
      <c r="K1307">
        <v>80</v>
      </c>
      <c r="L1307">
        <v>75.590354919000006</v>
      </c>
      <c r="M1307">
        <v>50</v>
      </c>
      <c r="N1307">
        <v>49.969169616999999</v>
      </c>
    </row>
    <row r="1308" spans="1:14" x14ac:dyDescent="0.25">
      <c r="A1308">
        <v>956.64918499999999</v>
      </c>
      <c r="B1308" s="1">
        <f>DATE(2012,12,12) + TIME(15,34,49)</f>
        <v>41255.649178240739</v>
      </c>
      <c r="C1308">
        <v>0</v>
      </c>
      <c r="D1308">
        <v>2400</v>
      </c>
      <c r="E1308">
        <v>2400</v>
      </c>
      <c r="F1308">
        <v>0</v>
      </c>
      <c r="G1308">
        <v>1300.8841553</v>
      </c>
      <c r="H1308">
        <v>1288.7595214999999</v>
      </c>
      <c r="I1308">
        <v>1395.7402344</v>
      </c>
      <c r="J1308">
        <v>1376.1042480000001</v>
      </c>
      <c r="K1308">
        <v>80</v>
      </c>
      <c r="L1308">
        <v>75.420585631999998</v>
      </c>
      <c r="M1308">
        <v>50</v>
      </c>
      <c r="N1308">
        <v>49.969223022000001</v>
      </c>
    </row>
    <row r="1309" spans="1:14" x14ac:dyDescent="0.25">
      <c r="A1309">
        <v>958.55888000000004</v>
      </c>
      <c r="B1309" s="1">
        <f>DATE(2012,12,14) + TIME(13,24,47)</f>
        <v>41257.558877314812</v>
      </c>
      <c r="C1309">
        <v>0</v>
      </c>
      <c r="D1309">
        <v>2400</v>
      </c>
      <c r="E1309">
        <v>2400</v>
      </c>
      <c r="F1309">
        <v>0</v>
      </c>
      <c r="G1309">
        <v>1300.7875977000001</v>
      </c>
      <c r="H1309">
        <v>1288.6417236</v>
      </c>
      <c r="I1309">
        <v>1395.6839600000001</v>
      </c>
      <c r="J1309">
        <v>1376.0484618999999</v>
      </c>
      <c r="K1309">
        <v>80</v>
      </c>
      <c r="L1309">
        <v>75.248130798000005</v>
      </c>
      <c r="M1309">
        <v>50</v>
      </c>
      <c r="N1309">
        <v>49.969276428000001</v>
      </c>
    </row>
    <row r="1310" spans="1:14" x14ac:dyDescent="0.25">
      <c r="A1310">
        <v>960.46857599999998</v>
      </c>
      <c r="B1310" s="1">
        <f>DATE(2012,12,16) + TIME(11,14,44)</f>
        <v>41259.468564814815</v>
      </c>
      <c r="C1310">
        <v>0</v>
      </c>
      <c r="D1310">
        <v>2400</v>
      </c>
      <c r="E1310">
        <v>2400</v>
      </c>
      <c r="F1310">
        <v>0</v>
      </c>
      <c r="G1310">
        <v>1300.6851807</v>
      </c>
      <c r="H1310">
        <v>1288.5166016000001</v>
      </c>
      <c r="I1310">
        <v>1395.6279297000001</v>
      </c>
      <c r="J1310">
        <v>1375.9927978999999</v>
      </c>
      <c r="K1310">
        <v>80</v>
      </c>
      <c r="L1310">
        <v>75.073936462000006</v>
      </c>
      <c r="M1310">
        <v>50</v>
      </c>
      <c r="N1310">
        <v>49.969333648999999</v>
      </c>
    </row>
    <row r="1311" spans="1:14" x14ac:dyDescent="0.25">
      <c r="A1311">
        <v>962.498515</v>
      </c>
      <c r="B1311" s="1">
        <f>DATE(2012,12,18) + TIME(11,57,51)</f>
        <v>41261.498506944445</v>
      </c>
      <c r="C1311">
        <v>0</v>
      </c>
      <c r="D1311">
        <v>2400</v>
      </c>
      <c r="E1311">
        <v>2400</v>
      </c>
      <c r="F1311">
        <v>0</v>
      </c>
      <c r="G1311">
        <v>1300.5799560999999</v>
      </c>
      <c r="H1311">
        <v>1288.3873291</v>
      </c>
      <c r="I1311">
        <v>1395.5742187999999</v>
      </c>
      <c r="J1311">
        <v>1375.9392089999999</v>
      </c>
      <c r="K1311">
        <v>80</v>
      </c>
      <c r="L1311">
        <v>74.896972656000003</v>
      </c>
      <c r="M1311">
        <v>50</v>
      </c>
      <c r="N1311">
        <v>49.969390869000001</v>
      </c>
    </row>
    <row r="1312" spans="1:14" x14ac:dyDescent="0.25">
      <c r="A1312">
        <v>964.52845500000001</v>
      </c>
      <c r="B1312" s="1">
        <f>DATE(2012,12,20) + TIME(12,40,58)</f>
        <v>41263.528449074074</v>
      </c>
      <c r="C1312">
        <v>0</v>
      </c>
      <c r="D1312">
        <v>2400</v>
      </c>
      <c r="E1312">
        <v>2400</v>
      </c>
      <c r="F1312">
        <v>0</v>
      </c>
      <c r="G1312">
        <v>1300.465332</v>
      </c>
      <c r="H1312">
        <v>1288.2468262</v>
      </c>
      <c r="I1312">
        <v>1395.5191649999999</v>
      </c>
      <c r="J1312">
        <v>1375.8840332</v>
      </c>
      <c r="K1312">
        <v>80</v>
      </c>
      <c r="L1312">
        <v>74.716125488000003</v>
      </c>
      <c r="M1312">
        <v>50</v>
      </c>
      <c r="N1312">
        <v>49.969451904000003</v>
      </c>
    </row>
    <row r="1313" spans="1:14" x14ac:dyDescent="0.25">
      <c r="A1313">
        <v>966.74375999999995</v>
      </c>
      <c r="B1313" s="1">
        <f>DATE(2012,12,22) + TIME(17,51,0)</f>
        <v>41265.743750000001</v>
      </c>
      <c r="C1313">
        <v>0</v>
      </c>
      <c r="D1313">
        <v>2400</v>
      </c>
      <c r="E1313">
        <v>2400</v>
      </c>
      <c r="F1313">
        <v>0</v>
      </c>
      <c r="G1313">
        <v>1300.3474120999999</v>
      </c>
      <c r="H1313">
        <v>1288.1009521000001</v>
      </c>
      <c r="I1313">
        <v>1395.4661865</v>
      </c>
      <c r="J1313">
        <v>1375.8306885</v>
      </c>
      <c r="K1313">
        <v>80</v>
      </c>
      <c r="L1313">
        <v>74.530349731000001</v>
      </c>
      <c r="M1313">
        <v>50</v>
      </c>
      <c r="N1313">
        <v>49.969516753999997</v>
      </c>
    </row>
    <row r="1314" spans="1:14" x14ac:dyDescent="0.25">
      <c r="A1314">
        <v>968.97459700000002</v>
      </c>
      <c r="B1314" s="1">
        <f>DATE(2012,12,24) + TIME(23,23,25)</f>
        <v>41267.974594907406</v>
      </c>
      <c r="C1314">
        <v>0</v>
      </c>
      <c r="D1314">
        <v>2400</v>
      </c>
      <c r="E1314">
        <v>2400</v>
      </c>
      <c r="F1314">
        <v>0</v>
      </c>
      <c r="G1314">
        <v>1300.2154541</v>
      </c>
      <c r="H1314">
        <v>1287.9383545000001</v>
      </c>
      <c r="I1314">
        <v>1395.4105225000001</v>
      </c>
      <c r="J1314">
        <v>1375.7742920000001</v>
      </c>
      <c r="K1314">
        <v>80</v>
      </c>
      <c r="L1314">
        <v>74.336944579999994</v>
      </c>
      <c r="M1314">
        <v>50</v>
      </c>
      <c r="N1314">
        <v>49.969581603999998</v>
      </c>
    </row>
    <row r="1315" spans="1:14" x14ac:dyDescent="0.25">
      <c r="A1315">
        <v>971.24539800000002</v>
      </c>
      <c r="B1315" s="1">
        <f>DATE(2012,12,27) + TIME(5,53,22)</f>
        <v>41270.245393518519</v>
      </c>
      <c r="C1315">
        <v>0</v>
      </c>
      <c r="D1315">
        <v>2400</v>
      </c>
      <c r="E1315">
        <v>2400</v>
      </c>
      <c r="F1315">
        <v>0</v>
      </c>
      <c r="G1315">
        <v>1300.078125</v>
      </c>
      <c r="H1315">
        <v>1287.7680664</v>
      </c>
      <c r="I1315">
        <v>1395.3564452999999</v>
      </c>
      <c r="J1315">
        <v>1375.7192382999999</v>
      </c>
      <c r="K1315">
        <v>80</v>
      </c>
      <c r="L1315">
        <v>74.140731811999999</v>
      </c>
      <c r="M1315">
        <v>50</v>
      </c>
      <c r="N1315">
        <v>49.969646453999999</v>
      </c>
    </row>
    <row r="1316" spans="1:14" x14ac:dyDescent="0.25">
      <c r="A1316">
        <v>973.51620000000003</v>
      </c>
      <c r="B1316" s="1">
        <f>DATE(2012,12,29) + TIME(12,23,19)</f>
        <v>41272.516192129631</v>
      </c>
      <c r="C1316">
        <v>0</v>
      </c>
      <c r="D1316">
        <v>2400</v>
      </c>
      <c r="E1316">
        <v>2400</v>
      </c>
      <c r="F1316">
        <v>0</v>
      </c>
      <c r="G1316">
        <v>1299.9339600000001</v>
      </c>
      <c r="H1316">
        <v>1287.5888672000001</v>
      </c>
      <c r="I1316">
        <v>1395.3034668</v>
      </c>
      <c r="J1316">
        <v>1375.6649170000001</v>
      </c>
      <c r="K1316">
        <v>80</v>
      </c>
      <c r="L1316">
        <v>73.943038939999994</v>
      </c>
      <c r="M1316">
        <v>50</v>
      </c>
      <c r="N1316">
        <v>49.969715118000003</v>
      </c>
    </row>
    <row r="1317" spans="1:14" x14ac:dyDescent="0.25">
      <c r="A1317">
        <v>975.78700200000003</v>
      </c>
      <c r="B1317" s="1">
        <f>DATE(2012,12,31) + TIME(18,53,16)</f>
        <v>41274.786990740744</v>
      </c>
      <c r="C1317">
        <v>0</v>
      </c>
      <c r="D1317">
        <v>2400</v>
      </c>
      <c r="E1317">
        <v>2400</v>
      </c>
      <c r="F1317">
        <v>0</v>
      </c>
      <c r="G1317">
        <v>1299.7852783000001</v>
      </c>
      <c r="H1317">
        <v>1287.4033202999999</v>
      </c>
      <c r="I1317">
        <v>1395.2523193</v>
      </c>
      <c r="J1317">
        <v>1375.6121826000001</v>
      </c>
      <c r="K1317">
        <v>80</v>
      </c>
      <c r="L1317">
        <v>73.745559692</v>
      </c>
      <c r="M1317">
        <v>50</v>
      </c>
      <c r="N1317">
        <v>49.969779967999997</v>
      </c>
    </row>
    <row r="1318" spans="1:14" x14ac:dyDescent="0.25">
      <c r="A1318">
        <v>976</v>
      </c>
      <c r="B1318" s="1">
        <f>DATE(2013,1,1) + TIME(0,0,0)</f>
        <v>41275</v>
      </c>
      <c r="C1318">
        <v>0</v>
      </c>
      <c r="D1318">
        <v>2400</v>
      </c>
      <c r="E1318">
        <v>2400</v>
      </c>
      <c r="F1318">
        <v>0</v>
      </c>
      <c r="G1318">
        <v>1299.6391602000001</v>
      </c>
      <c r="H1318">
        <v>1287.2388916</v>
      </c>
      <c r="I1318">
        <v>1395.2027588000001</v>
      </c>
      <c r="J1318">
        <v>1375.5618896000001</v>
      </c>
      <c r="K1318">
        <v>80</v>
      </c>
      <c r="L1318">
        <v>73.692962645999998</v>
      </c>
      <c r="M1318">
        <v>50</v>
      </c>
      <c r="N1318">
        <v>49.969783782999997</v>
      </c>
    </row>
    <row r="1319" spans="1:14" x14ac:dyDescent="0.25">
      <c r="A1319">
        <v>978.270802</v>
      </c>
      <c r="B1319" s="1">
        <f>DATE(2013,1,3) + TIME(6,29,57)</f>
        <v>41277.270798611113</v>
      </c>
      <c r="C1319">
        <v>0</v>
      </c>
      <c r="D1319">
        <v>2400</v>
      </c>
      <c r="E1319">
        <v>2400</v>
      </c>
      <c r="F1319">
        <v>0</v>
      </c>
      <c r="G1319">
        <v>1299.6136475000001</v>
      </c>
      <c r="H1319">
        <v>1287.1866454999999</v>
      </c>
      <c r="I1319">
        <v>1395.1982422000001</v>
      </c>
      <c r="J1319">
        <v>1375.5557861</v>
      </c>
      <c r="K1319">
        <v>80</v>
      </c>
      <c r="L1319">
        <v>73.520378113000007</v>
      </c>
      <c r="M1319">
        <v>50</v>
      </c>
      <c r="N1319">
        <v>49.969852447999997</v>
      </c>
    </row>
    <row r="1320" spans="1:14" x14ac:dyDescent="0.25">
      <c r="A1320">
        <v>980.87454300000002</v>
      </c>
      <c r="B1320" s="1">
        <f>DATE(2013,1,5) + TIME(20,59,20)</f>
        <v>41279.874537037038</v>
      </c>
      <c r="C1320">
        <v>0</v>
      </c>
      <c r="D1320">
        <v>2400</v>
      </c>
      <c r="E1320">
        <v>2400</v>
      </c>
      <c r="F1320">
        <v>0</v>
      </c>
      <c r="G1320">
        <v>1299.4581298999999</v>
      </c>
      <c r="H1320">
        <v>1286.9913329999999</v>
      </c>
      <c r="I1320">
        <v>1395.1506348</v>
      </c>
      <c r="J1320">
        <v>1375.5063477000001</v>
      </c>
      <c r="K1320">
        <v>80</v>
      </c>
      <c r="L1320">
        <v>73.323455811000002</v>
      </c>
      <c r="M1320">
        <v>50</v>
      </c>
      <c r="N1320">
        <v>49.969928740999997</v>
      </c>
    </row>
    <row r="1321" spans="1:14" x14ac:dyDescent="0.25">
      <c r="A1321">
        <v>983.47828400000003</v>
      </c>
      <c r="B1321" s="1">
        <f>DATE(2013,1,8) + TIME(11,28,43)</f>
        <v>41282.478275462963</v>
      </c>
      <c r="C1321">
        <v>0</v>
      </c>
      <c r="D1321">
        <v>2400</v>
      </c>
      <c r="E1321">
        <v>2400</v>
      </c>
      <c r="F1321">
        <v>0</v>
      </c>
      <c r="G1321">
        <v>1299.2740478999999</v>
      </c>
      <c r="H1321">
        <v>1286.7606201000001</v>
      </c>
      <c r="I1321">
        <v>1395.0976562000001</v>
      </c>
      <c r="J1321">
        <v>1375.4508057</v>
      </c>
      <c r="K1321">
        <v>80</v>
      </c>
      <c r="L1321">
        <v>73.105590820000003</v>
      </c>
      <c r="M1321">
        <v>50</v>
      </c>
      <c r="N1321">
        <v>49.970005035</v>
      </c>
    </row>
    <row r="1322" spans="1:14" x14ac:dyDescent="0.25">
      <c r="A1322">
        <v>986.08202500000004</v>
      </c>
      <c r="B1322" s="1">
        <f>DATE(2013,1,11) + TIME(1,58,6)</f>
        <v>41285.082013888888</v>
      </c>
      <c r="C1322">
        <v>0</v>
      </c>
      <c r="D1322">
        <v>2400</v>
      </c>
      <c r="E1322">
        <v>2400</v>
      </c>
      <c r="F1322">
        <v>0</v>
      </c>
      <c r="G1322">
        <v>1299.0821533000001</v>
      </c>
      <c r="H1322">
        <v>1286.5179443</v>
      </c>
      <c r="I1322">
        <v>1395.0463867000001</v>
      </c>
      <c r="J1322">
        <v>1375.3964844</v>
      </c>
      <c r="K1322">
        <v>80</v>
      </c>
      <c r="L1322">
        <v>72.881980896000002</v>
      </c>
      <c r="M1322">
        <v>50</v>
      </c>
      <c r="N1322">
        <v>49.970081329000003</v>
      </c>
    </row>
    <row r="1323" spans="1:14" x14ac:dyDescent="0.25">
      <c r="A1323">
        <v>988.68576499999995</v>
      </c>
      <c r="B1323" s="1">
        <f>DATE(2013,1,13) + TIME(16,27,30)</f>
        <v>41287.685763888891</v>
      </c>
      <c r="C1323">
        <v>0</v>
      </c>
      <c r="D1323">
        <v>2400</v>
      </c>
      <c r="E1323">
        <v>2400</v>
      </c>
      <c r="F1323">
        <v>0</v>
      </c>
      <c r="G1323">
        <v>1298.8836670000001</v>
      </c>
      <c r="H1323">
        <v>1286.2657471</v>
      </c>
      <c r="I1323">
        <v>1394.9968262</v>
      </c>
      <c r="J1323">
        <v>1375.3436279</v>
      </c>
      <c r="K1323">
        <v>80</v>
      </c>
      <c r="L1323">
        <v>72.656204224000007</v>
      </c>
      <c r="M1323">
        <v>50</v>
      </c>
      <c r="N1323">
        <v>49.970157622999999</v>
      </c>
    </row>
    <row r="1324" spans="1:14" x14ac:dyDescent="0.25">
      <c r="A1324">
        <v>991.28950599999996</v>
      </c>
      <c r="B1324" s="1">
        <f>DATE(2013,1,16) + TIME(6,56,53)</f>
        <v>41290.289502314816</v>
      </c>
      <c r="C1324">
        <v>0</v>
      </c>
      <c r="D1324">
        <v>2400</v>
      </c>
      <c r="E1324">
        <v>2400</v>
      </c>
      <c r="F1324">
        <v>0</v>
      </c>
      <c r="G1324">
        <v>1298.6789550999999</v>
      </c>
      <c r="H1324">
        <v>1286.0047606999999</v>
      </c>
      <c r="I1324">
        <v>1394.9487305</v>
      </c>
      <c r="J1324">
        <v>1375.2919922000001</v>
      </c>
      <c r="K1324">
        <v>80</v>
      </c>
      <c r="L1324">
        <v>72.428810119999994</v>
      </c>
      <c r="M1324">
        <v>50</v>
      </c>
      <c r="N1324">
        <v>49.970233917000002</v>
      </c>
    </row>
    <row r="1325" spans="1:14" x14ac:dyDescent="0.25">
      <c r="A1325">
        <v>993.89324699999997</v>
      </c>
      <c r="B1325" s="1">
        <f>DATE(2013,1,18) + TIME(21,26,16)</f>
        <v>41292.893240740741</v>
      </c>
      <c r="C1325">
        <v>0</v>
      </c>
      <c r="D1325">
        <v>2400</v>
      </c>
      <c r="E1325">
        <v>2400</v>
      </c>
      <c r="F1325">
        <v>0</v>
      </c>
      <c r="G1325">
        <v>1298.4682617000001</v>
      </c>
      <c r="H1325">
        <v>1285.7349853999999</v>
      </c>
      <c r="I1325">
        <v>1394.9020995999999</v>
      </c>
      <c r="J1325">
        <v>1375.2414550999999</v>
      </c>
      <c r="K1325">
        <v>80</v>
      </c>
      <c r="L1325">
        <v>72.199584960999999</v>
      </c>
      <c r="M1325">
        <v>50</v>
      </c>
      <c r="N1325">
        <v>49.970306395999998</v>
      </c>
    </row>
    <row r="1326" spans="1:14" x14ac:dyDescent="0.25">
      <c r="A1326">
        <v>996.49698799999999</v>
      </c>
      <c r="B1326" s="1">
        <f>DATE(2013,1,21) + TIME(11,55,39)</f>
        <v>41295.496979166666</v>
      </c>
      <c r="C1326">
        <v>0</v>
      </c>
      <c r="D1326">
        <v>2400</v>
      </c>
      <c r="E1326">
        <v>2400</v>
      </c>
      <c r="F1326">
        <v>0</v>
      </c>
      <c r="G1326">
        <v>1298.2517089999999</v>
      </c>
      <c r="H1326">
        <v>1285.456543</v>
      </c>
      <c r="I1326">
        <v>1394.8568115</v>
      </c>
      <c r="J1326">
        <v>1375.1920166</v>
      </c>
      <c r="K1326">
        <v>80</v>
      </c>
      <c r="L1326">
        <v>71.968116760000001</v>
      </c>
      <c r="M1326">
        <v>50</v>
      </c>
      <c r="N1326">
        <v>49.970382690000001</v>
      </c>
    </row>
    <row r="1327" spans="1:14" x14ac:dyDescent="0.25">
      <c r="A1327">
        <v>999.100729</v>
      </c>
      <c r="B1327" s="1">
        <f>DATE(2013,1,24) + TIME(2,25,3)</f>
        <v>41298.100729166668</v>
      </c>
      <c r="C1327">
        <v>0</v>
      </c>
      <c r="D1327">
        <v>2400</v>
      </c>
      <c r="E1327">
        <v>2400</v>
      </c>
      <c r="F1327">
        <v>0</v>
      </c>
      <c r="G1327">
        <v>1298.0291748</v>
      </c>
      <c r="H1327">
        <v>1285.1694336</v>
      </c>
      <c r="I1327">
        <v>1394.8127440999999</v>
      </c>
      <c r="J1327">
        <v>1375.1436768000001</v>
      </c>
      <c r="K1327">
        <v>80</v>
      </c>
      <c r="L1327">
        <v>71.733947753999999</v>
      </c>
      <c r="M1327">
        <v>50</v>
      </c>
      <c r="N1327">
        <v>49.970458983999997</v>
      </c>
    </row>
    <row r="1328" spans="1:14" x14ac:dyDescent="0.25">
      <c r="A1328">
        <v>1001.9612980000001</v>
      </c>
      <c r="B1328" s="1">
        <f>DATE(2013,1,26) + TIME(23,4,16)</f>
        <v>41300.961296296293</v>
      </c>
      <c r="C1328">
        <v>0</v>
      </c>
      <c r="D1328">
        <v>2400</v>
      </c>
      <c r="E1328">
        <v>2400</v>
      </c>
      <c r="F1328">
        <v>0</v>
      </c>
      <c r="G1328">
        <v>1297.8005370999999</v>
      </c>
      <c r="H1328">
        <v>1284.8723144999999</v>
      </c>
      <c r="I1328">
        <v>1394.7698975000001</v>
      </c>
      <c r="J1328">
        <v>1375.0961914</v>
      </c>
      <c r="K1328">
        <v>80</v>
      </c>
      <c r="L1328">
        <v>71.491020203000005</v>
      </c>
      <c r="M1328">
        <v>50</v>
      </c>
      <c r="N1328">
        <v>49.970539092999999</v>
      </c>
    </row>
    <row r="1329" spans="1:14" x14ac:dyDescent="0.25">
      <c r="A1329">
        <v>1004.821867</v>
      </c>
      <c r="B1329" s="1">
        <f>DATE(2013,1,29) + TIME(19,43,29)</f>
        <v>41303.821863425925</v>
      </c>
      <c r="C1329">
        <v>0</v>
      </c>
      <c r="D1329">
        <v>2400</v>
      </c>
      <c r="E1329">
        <v>2400</v>
      </c>
      <c r="F1329">
        <v>0</v>
      </c>
      <c r="G1329">
        <v>1297.5460204999999</v>
      </c>
      <c r="H1329">
        <v>1284.5421143000001</v>
      </c>
      <c r="I1329">
        <v>1394.7238769999999</v>
      </c>
      <c r="J1329">
        <v>1375.0452881000001</v>
      </c>
      <c r="K1329">
        <v>80</v>
      </c>
      <c r="L1329">
        <v>71.230522156000006</v>
      </c>
      <c r="M1329">
        <v>50</v>
      </c>
      <c r="N1329">
        <v>49.970623015999998</v>
      </c>
    </row>
    <row r="1330" spans="1:14" x14ac:dyDescent="0.25">
      <c r="A1330">
        <v>1007</v>
      </c>
      <c r="B1330" s="1">
        <f>DATE(2013,2,1) + TIME(0,0,0)</f>
        <v>41306</v>
      </c>
      <c r="C1330">
        <v>0</v>
      </c>
      <c r="D1330">
        <v>2400</v>
      </c>
      <c r="E1330">
        <v>2400</v>
      </c>
      <c r="F1330">
        <v>0</v>
      </c>
      <c r="G1330">
        <v>1297.2840576000001</v>
      </c>
      <c r="H1330">
        <v>1284.2034911999999</v>
      </c>
      <c r="I1330">
        <v>1394.6787108999999</v>
      </c>
      <c r="J1330">
        <v>1374.9949951000001</v>
      </c>
      <c r="K1330">
        <v>80</v>
      </c>
      <c r="L1330">
        <v>70.980514525999993</v>
      </c>
      <c r="M1330">
        <v>50</v>
      </c>
      <c r="N1330">
        <v>49.970684052000003</v>
      </c>
    </row>
    <row r="1331" spans="1:14" x14ac:dyDescent="0.25">
      <c r="A1331">
        <v>1009.8605690000001</v>
      </c>
      <c r="B1331" s="1">
        <f>DATE(2013,2,3) + TIME(20,39,13)</f>
        <v>41308.860567129632</v>
      </c>
      <c r="C1331">
        <v>0</v>
      </c>
      <c r="D1331">
        <v>2400</v>
      </c>
      <c r="E1331">
        <v>2400</v>
      </c>
      <c r="F1331">
        <v>0</v>
      </c>
      <c r="G1331">
        <v>1297.0698242000001</v>
      </c>
      <c r="H1331">
        <v>1283.9169922000001</v>
      </c>
      <c r="I1331">
        <v>1394.6457519999999</v>
      </c>
      <c r="J1331">
        <v>1374.9572754000001</v>
      </c>
      <c r="K1331">
        <v>80</v>
      </c>
      <c r="L1331">
        <v>70.741630553999997</v>
      </c>
      <c r="M1331">
        <v>50</v>
      </c>
      <c r="N1331">
        <v>49.970764160000002</v>
      </c>
    </row>
    <row r="1332" spans="1:14" x14ac:dyDescent="0.25">
      <c r="A1332">
        <v>1012.721137</v>
      </c>
      <c r="B1332" s="1">
        <f>DATE(2013,2,6) + TIME(17,18,26)</f>
        <v>41311.721134259256</v>
      </c>
      <c r="C1332">
        <v>0</v>
      </c>
      <c r="D1332">
        <v>2400</v>
      </c>
      <c r="E1332">
        <v>2400</v>
      </c>
      <c r="F1332">
        <v>0</v>
      </c>
      <c r="G1332">
        <v>1296.800293</v>
      </c>
      <c r="H1332">
        <v>1283.5640868999999</v>
      </c>
      <c r="I1332">
        <v>1394.6027832</v>
      </c>
      <c r="J1332">
        <v>1374.9090576000001</v>
      </c>
      <c r="K1332">
        <v>80</v>
      </c>
      <c r="L1332">
        <v>70.470169067</v>
      </c>
      <c r="M1332">
        <v>50</v>
      </c>
      <c r="N1332">
        <v>49.970844268999997</v>
      </c>
    </row>
    <row r="1333" spans="1:14" x14ac:dyDescent="0.25">
      <c r="A1333">
        <v>1015.5817060000001</v>
      </c>
      <c r="B1333" s="1">
        <f>DATE(2013,2,9) + TIME(13,57,39)</f>
        <v>41314.581701388888</v>
      </c>
      <c r="C1333">
        <v>0</v>
      </c>
      <c r="D1333">
        <v>2400</v>
      </c>
      <c r="E1333">
        <v>2400</v>
      </c>
      <c r="F1333">
        <v>0</v>
      </c>
      <c r="G1333">
        <v>1296.5200195</v>
      </c>
      <c r="H1333">
        <v>1283.1942139</v>
      </c>
      <c r="I1333">
        <v>1394.5607910000001</v>
      </c>
      <c r="J1333">
        <v>1374.8614502</v>
      </c>
      <c r="K1333">
        <v>80</v>
      </c>
      <c r="L1333">
        <v>70.185890197999996</v>
      </c>
      <c r="M1333">
        <v>50</v>
      </c>
      <c r="N1333">
        <v>49.970924377000003</v>
      </c>
    </row>
    <row r="1334" spans="1:14" x14ac:dyDescent="0.25">
      <c r="A1334">
        <v>1018.442274</v>
      </c>
      <c r="B1334" s="1">
        <f>DATE(2013,2,12) + TIME(10,36,52)</f>
        <v>41317.44226851852</v>
      </c>
      <c r="C1334">
        <v>0</v>
      </c>
      <c r="D1334">
        <v>2400</v>
      </c>
      <c r="E1334">
        <v>2400</v>
      </c>
      <c r="F1334">
        <v>0</v>
      </c>
      <c r="G1334">
        <v>1296.2327881000001</v>
      </c>
      <c r="H1334">
        <v>1282.8131103999999</v>
      </c>
      <c r="I1334">
        <v>1394.5197754000001</v>
      </c>
      <c r="J1334">
        <v>1374.8145752</v>
      </c>
      <c r="K1334">
        <v>80</v>
      </c>
      <c r="L1334">
        <v>69.893257141000007</v>
      </c>
      <c r="M1334">
        <v>50</v>
      </c>
      <c r="N1334">
        <v>49.971004485999998</v>
      </c>
    </row>
    <row r="1335" spans="1:14" x14ac:dyDescent="0.25">
      <c r="A1335">
        <v>1021.3028430000001</v>
      </c>
      <c r="B1335" s="1">
        <f>DATE(2013,2,15) + TIME(7,16,5)</f>
        <v>41320.302835648145</v>
      </c>
      <c r="C1335">
        <v>0</v>
      </c>
      <c r="D1335">
        <v>2400</v>
      </c>
      <c r="E1335">
        <v>2400</v>
      </c>
      <c r="F1335">
        <v>0</v>
      </c>
      <c r="G1335">
        <v>1295.9394531</v>
      </c>
      <c r="H1335">
        <v>1282.4223632999999</v>
      </c>
      <c r="I1335">
        <v>1394.4796143000001</v>
      </c>
      <c r="J1335">
        <v>1374.7685547000001</v>
      </c>
      <c r="K1335">
        <v>80</v>
      </c>
      <c r="L1335">
        <v>69.592636107999994</v>
      </c>
      <c r="M1335">
        <v>50</v>
      </c>
      <c r="N1335">
        <v>49.971084595000001</v>
      </c>
    </row>
    <row r="1336" spans="1:14" x14ac:dyDescent="0.25">
      <c r="A1336">
        <v>1024.1634120000001</v>
      </c>
      <c r="B1336" s="1">
        <f>DATE(2013,2,18) + TIME(3,55,18)</f>
        <v>41323.163402777776</v>
      </c>
      <c r="C1336">
        <v>0</v>
      </c>
      <c r="D1336">
        <v>2400</v>
      </c>
      <c r="E1336">
        <v>2400</v>
      </c>
      <c r="F1336">
        <v>0</v>
      </c>
      <c r="G1336">
        <v>1295.6405029</v>
      </c>
      <c r="H1336">
        <v>1282.0223389</v>
      </c>
      <c r="I1336">
        <v>1394.4401855000001</v>
      </c>
      <c r="J1336">
        <v>1374.7231445</v>
      </c>
      <c r="K1336">
        <v>80</v>
      </c>
      <c r="L1336">
        <v>69.283874511999997</v>
      </c>
      <c r="M1336">
        <v>50</v>
      </c>
      <c r="N1336">
        <v>49.971164702999999</v>
      </c>
    </row>
    <row r="1337" spans="1:14" x14ac:dyDescent="0.25">
      <c r="A1337">
        <v>1027.0239799999999</v>
      </c>
      <c r="B1337" s="1">
        <f>DATE(2013,2,21) + TIME(0,34,31)</f>
        <v>41326.023969907408</v>
      </c>
      <c r="C1337">
        <v>0</v>
      </c>
      <c r="D1337">
        <v>2400</v>
      </c>
      <c r="E1337">
        <v>2400</v>
      </c>
      <c r="F1337">
        <v>0</v>
      </c>
      <c r="G1337">
        <v>1295.3361815999999</v>
      </c>
      <c r="H1337">
        <v>1281.6135254000001</v>
      </c>
      <c r="I1337">
        <v>1394.4014893000001</v>
      </c>
      <c r="J1337">
        <v>1374.6784668</v>
      </c>
      <c r="K1337">
        <v>80</v>
      </c>
      <c r="L1337">
        <v>68.966644286999994</v>
      </c>
      <c r="M1337">
        <v>50</v>
      </c>
      <c r="N1337">
        <v>49.971244812000002</v>
      </c>
    </row>
    <row r="1338" spans="1:14" x14ac:dyDescent="0.25">
      <c r="A1338">
        <v>1029.8845490000001</v>
      </c>
      <c r="B1338" s="1">
        <f>DATE(2013,2,23) + TIME(21,13,45)</f>
        <v>41328.884548611109</v>
      </c>
      <c r="C1338">
        <v>0</v>
      </c>
      <c r="D1338">
        <v>2400</v>
      </c>
      <c r="E1338">
        <v>2400</v>
      </c>
      <c r="F1338">
        <v>0</v>
      </c>
      <c r="G1338">
        <v>1295.0268555</v>
      </c>
      <c r="H1338">
        <v>1281.1961670000001</v>
      </c>
      <c r="I1338">
        <v>1394.3634033000001</v>
      </c>
      <c r="J1338">
        <v>1374.6343993999999</v>
      </c>
      <c r="K1338">
        <v>80</v>
      </c>
      <c r="L1338">
        <v>68.640602111999996</v>
      </c>
      <c r="M1338">
        <v>50</v>
      </c>
      <c r="N1338">
        <v>49.971321105999998</v>
      </c>
    </row>
    <row r="1339" spans="1:14" x14ac:dyDescent="0.25">
      <c r="A1339">
        <v>1032.7451169999999</v>
      </c>
      <c r="B1339" s="1">
        <f>DATE(2013,2,26) + TIME(17,52,58)</f>
        <v>41331.745115740741</v>
      </c>
      <c r="C1339">
        <v>0</v>
      </c>
      <c r="D1339">
        <v>2400</v>
      </c>
      <c r="E1339">
        <v>2400</v>
      </c>
      <c r="F1339">
        <v>0</v>
      </c>
      <c r="G1339">
        <v>1294.7127685999999</v>
      </c>
      <c r="H1339">
        <v>1280.7705077999999</v>
      </c>
      <c r="I1339">
        <v>1394.3259277</v>
      </c>
      <c r="J1339">
        <v>1374.5909423999999</v>
      </c>
      <c r="K1339">
        <v>80</v>
      </c>
      <c r="L1339">
        <v>68.305450438999998</v>
      </c>
      <c r="M1339">
        <v>50</v>
      </c>
      <c r="N1339">
        <v>49.971397400000001</v>
      </c>
    </row>
    <row r="1340" spans="1:14" x14ac:dyDescent="0.25">
      <c r="A1340">
        <v>1035</v>
      </c>
      <c r="B1340" s="1">
        <f>DATE(2013,3,1) + TIME(0,0,0)</f>
        <v>41334</v>
      </c>
      <c r="C1340">
        <v>0</v>
      </c>
      <c r="D1340">
        <v>2400</v>
      </c>
      <c r="E1340">
        <v>2400</v>
      </c>
      <c r="F1340">
        <v>0</v>
      </c>
      <c r="G1340">
        <v>1294.3957519999999</v>
      </c>
      <c r="H1340">
        <v>1280.3432617000001</v>
      </c>
      <c r="I1340">
        <v>1394.2888184000001</v>
      </c>
      <c r="J1340">
        <v>1374.5479736</v>
      </c>
      <c r="K1340">
        <v>80</v>
      </c>
      <c r="L1340">
        <v>67.981163025000001</v>
      </c>
      <c r="M1340">
        <v>50</v>
      </c>
      <c r="N1340">
        <v>49.971458435000002</v>
      </c>
    </row>
    <row r="1341" spans="1:14" x14ac:dyDescent="0.25">
      <c r="A1341">
        <v>1037.8605689999999</v>
      </c>
      <c r="B1341" s="1">
        <f>DATE(2013,3,3) + TIME(20,39,13)</f>
        <v>41336.860567129632</v>
      </c>
      <c r="C1341">
        <v>0</v>
      </c>
      <c r="D1341">
        <v>2400</v>
      </c>
      <c r="E1341">
        <v>2400</v>
      </c>
      <c r="F1341">
        <v>0</v>
      </c>
      <c r="G1341">
        <v>1294.1311035000001</v>
      </c>
      <c r="H1341">
        <v>1279.9750977000001</v>
      </c>
      <c r="I1341">
        <v>1394.260376</v>
      </c>
      <c r="J1341">
        <v>1374.5142822</v>
      </c>
      <c r="K1341">
        <v>80</v>
      </c>
      <c r="L1341">
        <v>67.669448853000006</v>
      </c>
      <c r="M1341">
        <v>50</v>
      </c>
      <c r="N1341">
        <v>49.971534728999998</v>
      </c>
    </row>
    <row r="1342" spans="1:14" x14ac:dyDescent="0.25">
      <c r="A1342">
        <v>1040.721137</v>
      </c>
      <c r="B1342" s="1">
        <f>DATE(2013,3,6) + TIME(17,18,26)</f>
        <v>41339.721134259256</v>
      </c>
      <c r="C1342">
        <v>0</v>
      </c>
      <c r="D1342">
        <v>2400</v>
      </c>
      <c r="E1342">
        <v>2400</v>
      </c>
      <c r="F1342">
        <v>0</v>
      </c>
      <c r="G1342">
        <v>1293.8118896000001</v>
      </c>
      <c r="H1342">
        <v>1279.5394286999999</v>
      </c>
      <c r="I1342">
        <v>1394.2243652</v>
      </c>
      <c r="J1342">
        <v>1374.4726562000001</v>
      </c>
      <c r="K1342">
        <v>80</v>
      </c>
      <c r="L1342">
        <v>67.317070006999998</v>
      </c>
      <c r="M1342">
        <v>50</v>
      </c>
      <c r="N1342">
        <v>49.971611023000001</v>
      </c>
    </row>
    <row r="1343" spans="1:14" x14ac:dyDescent="0.25">
      <c r="A1343">
        <v>1043.5817059999999</v>
      </c>
      <c r="B1343" s="1">
        <f>DATE(2013,3,9) + TIME(13,57,39)</f>
        <v>41342.581701388888</v>
      </c>
      <c r="C1343">
        <v>0</v>
      </c>
      <c r="D1343">
        <v>2400</v>
      </c>
      <c r="E1343">
        <v>2400</v>
      </c>
      <c r="F1343">
        <v>0</v>
      </c>
      <c r="G1343">
        <v>1293.4835204999999</v>
      </c>
      <c r="H1343">
        <v>1279.0882568</v>
      </c>
      <c r="I1343">
        <v>1394.1888428</v>
      </c>
      <c r="J1343">
        <v>1374.4313964999999</v>
      </c>
      <c r="K1343">
        <v>80</v>
      </c>
      <c r="L1343">
        <v>66.947662354000002</v>
      </c>
      <c r="M1343">
        <v>50</v>
      </c>
      <c r="N1343">
        <v>49.971687316999997</v>
      </c>
    </row>
    <row r="1344" spans="1:14" x14ac:dyDescent="0.25">
      <c r="A1344">
        <v>1046.442274</v>
      </c>
      <c r="B1344" s="1">
        <f>DATE(2013,3,12) + TIME(10,36,52)</f>
        <v>41345.44226851852</v>
      </c>
      <c r="C1344">
        <v>0</v>
      </c>
      <c r="D1344">
        <v>2400</v>
      </c>
      <c r="E1344">
        <v>2400</v>
      </c>
      <c r="F1344">
        <v>0</v>
      </c>
      <c r="G1344">
        <v>1293.1507568</v>
      </c>
      <c r="H1344">
        <v>1278.628418</v>
      </c>
      <c r="I1344">
        <v>1394.1536865</v>
      </c>
      <c r="J1344">
        <v>1374.3905029</v>
      </c>
      <c r="K1344">
        <v>80</v>
      </c>
      <c r="L1344">
        <v>66.566749572999996</v>
      </c>
      <c r="M1344">
        <v>50</v>
      </c>
      <c r="N1344">
        <v>49.971759796000001</v>
      </c>
    </row>
    <row r="1345" spans="1:14" x14ac:dyDescent="0.25">
      <c r="A1345">
        <v>1049.3028429999999</v>
      </c>
      <c r="B1345" s="1">
        <f>DATE(2013,3,15) + TIME(7,16,5)</f>
        <v>41348.302835648145</v>
      </c>
      <c r="C1345">
        <v>0</v>
      </c>
      <c r="D1345">
        <v>2400</v>
      </c>
      <c r="E1345">
        <v>2400</v>
      </c>
      <c r="F1345">
        <v>0</v>
      </c>
      <c r="G1345">
        <v>1292.8145752</v>
      </c>
      <c r="H1345">
        <v>1278.1619873</v>
      </c>
      <c r="I1345">
        <v>1394.1188964999999</v>
      </c>
      <c r="J1345">
        <v>1374.3500977000001</v>
      </c>
      <c r="K1345">
        <v>80</v>
      </c>
      <c r="L1345">
        <v>66.175628661999994</v>
      </c>
      <c r="M1345">
        <v>50</v>
      </c>
      <c r="N1345">
        <v>49.971832274999997</v>
      </c>
    </row>
    <row r="1346" spans="1:14" x14ac:dyDescent="0.25">
      <c r="A1346">
        <v>1052.199118</v>
      </c>
      <c r="B1346" s="1">
        <f>DATE(2013,3,18) + TIME(4,46,43)</f>
        <v>41351.199108796296</v>
      </c>
      <c r="C1346">
        <v>0</v>
      </c>
      <c r="D1346">
        <v>2400</v>
      </c>
      <c r="E1346">
        <v>2400</v>
      </c>
      <c r="F1346">
        <v>0</v>
      </c>
      <c r="G1346">
        <v>1292.4754639</v>
      </c>
      <c r="H1346">
        <v>1277.6892089999999</v>
      </c>
      <c r="I1346">
        <v>1394.0844727000001</v>
      </c>
      <c r="J1346">
        <v>1374.3101807</v>
      </c>
      <c r="K1346">
        <v>80</v>
      </c>
      <c r="L1346">
        <v>65.773498535000002</v>
      </c>
      <c r="M1346">
        <v>50</v>
      </c>
      <c r="N1346">
        <v>49.971908569</v>
      </c>
    </row>
    <row r="1347" spans="1:14" x14ac:dyDescent="0.25">
      <c r="A1347">
        <v>1055.1217160000001</v>
      </c>
      <c r="B1347" s="1">
        <f>DATE(2013,3,21) + TIME(2,55,16)</f>
        <v>41354.121712962966</v>
      </c>
      <c r="C1347">
        <v>0</v>
      </c>
      <c r="D1347">
        <v>2400</v>
      </c>
      <c r="E1347">
        <v>2400</v>
      </c>
      <c r="F1347">
        <v>0</v>
      </c>
      <c r="G1347">
        <v>1292.1301269999999</v>
      </c>
      <c r="H1347">
        <v>1277.2060547000001</v>
      </c>
      <c r="I1347">
        <v>1394.0499268000001</v>
      </c>
      <c r="J1347">
        <v>1374.2701416</v>
      </c>
      <c r="K1347">
        <v>80</v>
      </c>
      <c r="L1347">
        <v>65.357681274000001</v>
      </c>
      <c r="M1347">
        <v>50</v>
      </c>
      <c r="N1347">
        <v>49.971981049</v>
      </c>
    </row>
    <row r="1348" spans="1:14" x14ac:dyDescent="0.25">
      <c r="A1348">
        <v>1058.0443130000001</v>
      </c>
      <c r="B1348" s="1">
        <f>DATE(2013,3,24) + TIME(1,3,48)</f>
        <v>41357.044305555559</v>
      </c>
      <c r="C1348">
        <v>0</v>
      </c>
      <c r="D1348">
        <v>2400</v>
      </c>
      <c r="E1348">
        <v>2400</v>
      </c>
      <c r="F1348">
        <v>0</v>
      </c>
      <c r="G1348">
        <v>1291.7794189000001</v>
      </c>
      <c r="H1348">
        <v>1276.713501</v>
      </c>
      <c r="I1348">
        <v>1394.0153809000001</v>
      </c>
      <c r="J1348">
        <v>1374.2301024999999</v>
      </c>
      <c r="K1348">
        <v>80</v>
      </c>
      <c r="L1348">
        <v>64.929039001000007</v>
      </c>
      <c r="M1348">
        <v>50</v>
      </c>
      <c r="N1348">
        <v>49.972053528000004</v>
      </c>
    </row>
    <row r="1349" spans="1:14" x14ac:dyDescent="0.25">
      <c r="A1349">
        <v>1061.0280029999999</v>
      </c>
      <c r="B1349" s="1">
        <f>DATE(2013,3,27) + TIME(0,40,19)</f>
        <v>41360.027997685182</v>
      </c>
      <c r="C1349">
        <v>0</v>
      </c>
      <c r="D1349">
        <v>2400</v>
      </c>
      <c r="E1349">
        <v>2400</v>
      </c>
      <c r="F1349">
        <v>0</v>
      </c>
      <c r="G1349">
        <v>1291.4261475000001</v>
      </c>
      <c r="H1349">
        <v>1276.2147216999999</v>
      </c>
      <c r="I1349">
        <v>1393.9810791</v>
      </c>
      <c r="J1349">
        <v>1374.1905518000001</v>
      </c>
      <c r="K1349">
        <v>80</v>
      </c>
      <c r="L1349">
        <v>64.488265991000006</v>
      </c>
      <c r="M1349">
        <v>50</v>
      </c>
      <c r="N1349">
        <v>49.972129821999999</v>
      </c>
    </row>
    <row r="1350" spans="1:14" x14ac:dyDescent="0.25">
      <c r="A1350">
        <v>1064.0488769999999</v>
      </c>
      <c r="B1350" s="1">
        <f>DATE(2013,3,30) + TIME(1,10,22)</f>
        <v>41363.04886574074</v>
      </c>
      <c r="C1350">
        <v>0</v>
      </c>
      <c r="D1350">
        <v>2400</v>
      </c>
      <c r="E1350">
        <v>2400</v>
      </c>
      <c r="F1350">
        <v>0</v>
      </c>
      <c r="G1350">
        <v>1291.0648193</v>
      </c>
      <c r="H1350">
        <v>1275.7028809000001</v>
      </c>
      <c r="I1350">
        <v>1393.9461670000001</v>
      </c>
      <c r="J1350">
        <v>1374.1506348</v>
      </c>
      <c r="K1350">
        <v>80</v>
      </c>
      <c r="L1350">
        <v>64.031051636000001</v>
      </c>
      <c r="M1350">
        <v>50</v>
      </c>
      <c r="N1350">
        <v>49.972202301000003</v>
      </c>
    </row>
    <row r="1351" spans="1:14" x14ac:dyDescent="0.25">
      <c r="A1351">
        <v>1066</v>
      </c>
      <c r="B1351" s="1">
        <f>DATE(2013,4,1) + TIME(0,0,0)</f>
        <v>41365</v>
      </c>
      <c r="C1351">
        <v>0</v>
      </c>
      <c r="D1351">
        <v>2400</v>
      </c>
      <c r="E1351">
        <v>2400</v>
      </c>
      <c r="F1351">
        <v>0</v>
      </c>
      <c r="G1351">
        <v>1290.7005615</v>
      </c>
      <c r="H1351">
        <v>1275.1961670000001</v>
      </c>
      <c r="I1351">
        <v>1393.9107666</v>
      </c>
      <c r="J1351">
        <v>1374.1103516000001</v>
      </c>
      <c r="K1351">
        <v>80</v>
      </c>
      <c r="L1351">
        <v>63.609760283999996</v>
      </c>
      <c r="M1351">
        <v>50</v>
      </c>
      <c r="N1351">
        <v>49.972251892000003</v>
      </c>
    </row>
    <row r="1352" spans="1:14" x14ac:dyDescent="0.25">
      <c r="A1352">
        <v>1069.050029</v>
      </c>
      <c r="B1352" s="1">
        <f>DATE(2013,4,4) + TIME(1,12,2)</f>
        <v>41368.050023148149</v>
      </c>
      <c r="C1352">
        <v>0</v>
      </c>
      <c r="D1352">
        <v>2400</v>
      </c>
      <c r="E1352">
        <v>2400</v>
      </c>
      <c r="F1352">
        <v>0</v>
      </c>
      <c r="G1352">
        <v>1290.4440918</v>
      </c>
      <c r="H1352">
        <v>1274.8126221</v>
      </c>
      <c r="I1352">
        <v>1393.8886719</v>
      </c>
      <c r="J1352">
        <v>1374.0839844</v>
      </c>
      <c r="K1352">
        <v>80</v>
      </c>
      <c r="L1352">
        <v>63.222557068</v>
      </c>
      <c r="M1352">
        <v>50</v>
      </c>
      <c r="N1352">
        <v>49.972324370999999</v>
      </c>
    </row>
    <row r="1353" spans="1:14" x14ac:dyDescent="0.25">
      <c r="A1353">
        <v>1072.155794</v>
      </c>
      <c r="B1353" s="1">
        <f>DATE(2013,4,7) + TIME(3,44,20)</f>
        <v>41371.155787037038</v>
      </c>
      <c r="C1353">
        <v>0</v>
      </c>
      <c r="D1353">
        <v>2400</v>
      </c>
      <c r="E1353">
        <v>2400</v>
      </c>
      <c r="F1353">
        <v>0</v>
      </c>
      <c r="G1353">
        <v>1290.083374</v>
      </c>
      <c r="H1353">
        <v>1274.2998047000001</v>
      </c>
      <c r="I1353">
        <v>1393.8535156</v>
      </c>
      <c r="J1353">
        <v>1374.0446777</v>
      </c>
      <c r="K1353">
        <v>80</v>
      </c>
      <c r="L1353">
        <v>62.749603270999998</v>
      </c>
      <c r="M1353">
        <v>50</v>
      </c>
      <c r="N1353">
        <v>49.972396850999999</v>
      </c>
    </row>
    <row r="1354" spans="1:14" x14ac:dyDescent="0.25">
      <c r="A1354">
        <v>1075.2615579999999</v>
      </c>
      <c r="B1354" s="1">
        <f>DATE(2013,4,10) + TIME(6,16,38)</f>
        <v>41374.261550925927</v>
      </c>
      <c r="C1354">
        <v>0</v>
      </c>
      <c r="D1354">
        <v>2400</v>
      </c>
      <c r="E1354">
        <v>2400</v>
      </c>
      <c r="F1354">
        <v>0</v>
      </c>
      <c r="G1354">
        <v>1289.7064209</v>
      </c>
      <c r="H1354">
        <v>1273.7585449000001</v>
      </c>
      <c r="I1354">
        <v>1393.8178711</v>
      </c>
      <c r="J1354">
        <v>1374.0045166</v>
      </c>
      <c r="K1354">
        <v>80</v>
      </c>
      <c r="L1354">
        <v>62.246376038000001</v>
      </c>
      <c r="M1354">
        <v>50</v>
      </c>
      <c r="N1354">
        <v>49.972469330000003</v>
      </c>
    </row>
    <row r="1355" spans="1:14" x14ac:dyDescent="0.25">
      <c r="A1355">
        <v>1078.3673229999999</v>
      </c>
      <c r="B1355" s="1">
        <f>DATE(2013,4,13) + TIME(8,48,56)</f>
        <v>41377.367314814815</v>
      </c>
      <c r="C1355">
        <v>0</v>
      </c>
      <c r="D1355">
        <v>2400</v>
      </c>
      <c r="E1355">
        <v>2400</v>
      </c>
      <c r="F1355">
        <v>0</v>
      </c>
      <c r="G1355">
        <v>1289.3266602000001</v>
      </c>
      <c r="H1355">
        <v>1273.2098389</v>
      </c>
      <c r="I1355">
        <v>1393.7824707</v>
      </c>
      <c r="J1355">
        <v>1373.9645995999999</v>
      </c>
      <c r="K1355">
        <v>80</v>
      </c>
      <c r="L1355">
        <v>61.730792999000002</v>
      </c>
      <c r="M1355">
        <v>50</v>
      </c>
      <c r="N1355">
        <v>49.972541808999999</v>
      </c>
    </row>
    <row r="1356" spans="1:14" x14ac:dyDescent="0.25">
      <c r="A1356">
        <v>1081.4730870000001</v>
      </c>
      <c r="B1356" s="1">
        <f>DATE(2013,4,16) + TIME(11,21,14)</f>
        <v>41380.473078703704</v>
      </c>
      <c r="C1356">
        <v>0</v>
      </c>
      <c r="D1356">
        <v>2400</v>
      </c>
      <c r="E1356">
        <v>2400</v>
      </c>
      <c r="F1356">
        <v>0</v>
      </c>
      <c r="G1356">
        <v>1288.9467772999999</v>
      </c>
      <c r="H1356">
        <v>1272.6583252</v>
      </c>
      <c r="I1356">
        <v>1393.7470702999999</v>
      </c>
      <c r="J1356">
        <v>1373.9249268000001</v>
      </c>
      <c r="K1356">
        <v>80</v>
      </c>
      <c r="L1356">
        <v>61.207191467000001</v>
      </c>
      <c r="M1356">
        <v>50</v>
      </c>
      <c r="N1356">
        <v>49.972614288000003</v>
      </c>
    </row>
    <row r="1357" spans="1:14" x14ac:dyDescent="0.25">
      <c r="A1357">
        <v>1084.5788520000001</v>
      </c>
      <c r="B1357" s="1">
        <f>DATE(2013,4,19) + TIME(13,53,32)</f>
        <v>41383.578842592593</v>
      </c>
      <c r="C1357">
        <v>0</v>
      </c>
      <c r="D1357">
        <v>2400</v>
      </c>
      <c r="E1357">
        <v>2400</v>
      </c>
      <c r="F1357">
        <v>0</v>
      </c>
      <c r="G1357">
        <v>1288.5675048999999</v>
      </c>
      <c r="H1357">
        <v>1272.1052245999999</v>
      </c>
      <c r="I1357">
        <v>1393.7117920000001</v>
      </c>
      <c r="J1357">
        <v>1373.8856201000001</v>
      </c>
      <c r="K1357">
        <v>80</v>
      </c>
      <c r="L1357">
        <v>60.677230835000003</v>
      </c>
      <c r="M1357">
        <v>50</v>
      </c>
      <c r="N1357">
        <v>49.972682953000003</v>
      </c>
    </row>
    <row r="1358" spans="1:14" x14ac:dyDescent="0.25">
      <c r="A1358">
        <v>1087.876438</v>
      </c>
      <c r="B1358" s="1">
        <f>DATE(2013,4,22) + TIME(21,2,4)</f>
        <v>41386.876435185186</v>
      </c>
      <c r="C1358">
        <v>0</v>
      </c>
      <c r="D1358">
        <v>2400</v>
      </c>
      <c r="E1358">
        <v>2400</v>
      </c>
      <c r="F1358">
        <v>0</v>
      </c>
      <c r="G1358">
        <v>1288.1889647999999</v>
      </c>
      <c r="H1358">
        <v>1271.5493164</v>
      </c>
      <c r="I1358">
        <v>1393.6765137</v>
      </c>
      <c r="J1358">
        <v>1373.8465576000001</v>
      </c>
      <c r="K1358">
        <v>80</v>
      </c>
      <c r="L1358">
        <v>60.135452270999998</v>
      </c>
      <c r="M1358">
        <v>50</v>
      </c>
      <c r="N1358">
        <v>49.972755432</v>
      </c>
    </row>
    <row r="1359" spans="1:14" x14ac:dyDescent="0.25">
      <c r="A1359">
        <v>1091.174025</v>
      </c>
      <c r="B1359" s="1">
        <f>DATE(2013,4,26) + TIME(4,10,35)</f>
        <v>41390.174016203702</v>
      </c>
      <c r="C1359">
        <v>0</v>
      </c>
      <c r="D1359">
        <v>2400</v>
      </c>
      <c r="E1359">
        <v>2400</v>
      </c>
      <c r="F1359">
        <v>0</v>
      </c>
      <c r="G1359">
        <v>1287.7919922000001</v>
      </c>
      <c r="H1359">
        <v>1270.9664307</v>
      </c>
      <c r="I1359">
        <v>1393.6391602000001</v>
      </c>
      <c r="J1359">
        <v>1373.8054199000001</v>
      </c>
      <c r="K1359">
        <v>80</v>
      </c>
      <c r="L1359">
        <v>59.566997528000002</v>
      </c>
      <c r="M1359">
        <v>50</v>
      </c>
      <c r="N1359">
        <v>49.972827911000003</v>
      </c>
    </row>
    <row r="1360" spans="1:14" x14ac:dyDescent="0.25">
      <c r="A1360">
        <v>1094.5427179999999</v>
      </c>
      <c r="B1360" s="1">
        <f>DATE(2013,4,29) + TIME(13,1,30)</f>
        <v>41393.542708333334</v>
      </c>
      <c r="C1360">
        <v>0</v>
      </c>
      <c r="D1360">
        <v>2400</v>
      </c>
      <c r="E1360">
        <v>2400</v>
      </c>
      <c r="F1360">
        <v>0</v>
      </c>
      <c r="G1360">
        <v>1287.3946533000001</v>
      </c>
      <c r="H1360">
        <v>1270.3789062000001</v>
      </c>
      <c r="I1360">
        <v>1393.6019286999999</v>
      </c>
      <c r="J1360">
        <v>1373.7646483999999</v>
      </c>
      <c r="K1360">
        <v>80</v>
      </c>
      <c r="L1360">
        <v>58.987369536999999</v>
      </c>
      <c r="M1360">
        <v>50</v>
      </c>
      <c r="N1360">
        <v>49.972904204999999</v>
      </c>
    </row>
    <row r="1361" spans="1:14" x14ac:dyDescent="0.25">
      <c r="A1361">
        <v>1096</v>
      </c>
      <c r="B1361" s="1">
        <f>DATE(2013,5,1) + TIME(0,0,0)</f>
        <v>41395</v>
      </c>
      <c r="C1361">
        <v>0</v>
      </c>
      <c r="D1361">
        <v>2400</v>
      </c>
      <c r="E1361">
        <v>2400</v>
      </c>
      <c r="F1361">
        <v>0</v>
      </c>
      <c r="G1361">
        <v>1286.9969481999999</v>
      </c>
      <c r="H1361">
        <v>1269.8204346</v>
      </c>
      <c r="I1361">
        <v>1393.5633545000001</v>
      </c>
      <c r="J1361">
        <v>1373.7230225000001</v>
      </c>
      <c r="K1361">
        <v>80</v>
      </c>
      <c r="L1361">
        <v>58.515655518000003</v>
      </c>
      <c r="M1361">
        <v>50</v>
      </c>
      <c r="N1361">
        <v>49.972934723000002</v>
      </c>
    </row>
    <row r="1362" spans="1:14" x14ac:dyDescent="0.25">
      <c r="A1362">
        <v>1096.0000010000001</v>
      </c>
      <c r="B1362" s="1">
        <f>DATE(2013,5,1) + TIME(0,0,0)</f>
        <v>41395</v>
      </c>
      <c r="C1362">
        <v>2400</v>
      </c>
      <c r="D1362">
        <v>0</v>
      </c>
      <c r="E1362">
        <v>0</v>
      </c>
      <c r="F1362">
        <v>2400</v>
      </c>
      <c r="G1362">
        <v>1306.7679443</v>
      </c>
      <c r="H1362">
        <v>1287.9346923999999</v>
      </c>
      <c r="I1362">
        <v>1372.8486327999999</v>
      </c>
      <c r="J1362">
        <v>1354.3479004000001</v>
      </c>
      <c r="K1362">
        <v>80</v>
      </c>
      <c r="L1362">
        <v>58.515808104999998</v>
      </c>
      <c r="M1362">
        <v>50</v>
      </c>
      <c r="N1362">
        <v>49.972824097</v>
      </c>
    </row>
    <row r="1363" spans="1:14" x14ac:dyDescent="0.25">
      <c r="A1363">
        <v>1096.000004</v>
      </c>
      <c r="B1363" s="1">
        <f>DATE(2013,5,1) + TIME(0,0,0)</f>
        <v>41395</v>
      </c>
      <c r="C1363">
        <v>2400</v>
      </c>
      <c r="D1363">
        <v>0</v>
      </c>
      <c r="E1363">
        <v>0</v>
      </c>
      <c r="F1363">
        <v>2400</v>
      </c>
      <c r="G1363">
        <v>1309.1091309000001</v>
      </c>
      <c r="H1363">
        <v>1290.3925781</v>
      </c>
      <c r="I1363">
        <v>1370.5162353999999</v>
      </c>
      <c r="J1363">
        <v>1352.0147704999999</v>
      </c>
      <c r="K1363">
        <v>80</v>
      </c>
      <c r="L1363">
        <v>58.516212463000002</v>
      </c>
      <c r="M1363">
        <v>50</v>
      </c>
      <c r="N1363">
        <v>49.972530364999997</v>
      </c>
    </row>
    <row r="1364" spans="1:14" x14ac:dyDescent="0.25">
      <c r="A1364">
        <v>1096.0000130000001</v>
      </c>
      <c r="B1364" s="1">
        <f>DATE(2013,5,1) + TIME(0,0,1)</f>
        <v>41395.000011574077</v>
      </c>
      <c r="C1364">
        <v>2400</v>
      </c>
      <c r="D1364">
        <v>0</v>
      </c>
      <c r="E1364">
        <v>0</v>
      </c>
      <c r="F1364">
        <v>2400</v>
      </c>
      <c r="G1364">
        <v>1314.2777100000001</v>
      </c>
      <c r="H1364">
        <v>1295.7204589999999</v>
      </c>
      <c r="I1364">
        <v>1365.2839355000001</v>
      </c>
      <c r="J1364">
        <v>1346.7814940999999</v>
      </c>
      <c r="K1364">
        <v>80</v>
      </c>
      <c r="L1364">
        <v>58.517166138</v>
      </c>
      <c r="M1364">
        <v>50</v>
      </c>
      <c r="N1364">
        <v>49.971870422000002</v>
      </c>
    </row>
    <row r="1365" spans="1:14" x14ac:dyDescent="0.25">
      <c r="A1365">
        <v>1096.0000399999999</v>
      </c>
      <c r="B1365" s="1">
        <f>DATE(2013,5,1) + TIME(0,0,3)</f>
        <v>41395.000034722223</v>
      </c>
      <c r="C1365">
        <v>2400</v>
      </c>
      <c r="D1365">
        <v>0</v>
      </c>
      <c r="E1365">
        <v>0</v>
      </c>
      <c r="F1365">
        <v>2400</v>
      </c>
      <c r="G1365">
        <v>1322.7336425999999</v>
      </c>
      <c r="H1365">
        <v>1304.2446289</v>
      </c>
      <c r="I1365">
        <v>1356.5401611</v>
      </c>
      <c r="J1365">
        <v>1338.0384521000001</v>
      </c>
      <c r="K1365">
        <v>80</v>
      </c>
      <c r="L1365">
        <v>58.519054412999999</v>
      </c>
      <c r="M1365">
        <v>50</v>
      </c>
      <c r="N1365">
        <v>49.970767975000001</v>
      </c>
    </row>
    <row r="1366" spans="1:14" x14ac:dyDescent="0.25">
      <c r="A1366">
        <v>1096.000121</v>
      </c>
      <c r="B1366" s="1">
        <f>DATE(2013,5,1) + TIME(0,0,10)</f>
        <v>41395.000115740739</v>
      </c>
      <c r="C1366">
        <v>2400</v>
      </c>
      <c r="D1366">
        <v>0</v>
      </c>
      <c r="E1366">
        <v>0</v>
      </c>
      <c r="F1366">
        <v>2400</v>
      </c>
      <c r="G1366">
        <v>1332.9320068</v>
      </c>
      <c r="H1366">
        <v>1314.3907471</v>
      </c>
      <c r="I1366">
        <v>1345.8659668</v>
      </c>
      <c r="J1366">
        <v>1327.3692627</v>
      </c>
      <c r="K1366">
        <v>80</v>
      </c>
      <c r="L1366">
        <v>58.522701263000002</v>
      </c>
      <c r="M1366">
        <v>50</v>
      </c>
      <c r="N1366">
        <v>49.969413756999998</v>
      </c>
    </row>
    <row r="1367" spans="1:14" x14ac:dyDescent="0.25">
      <c r="A1367">
        <v>1096.000364</v>
      </c>
      <c r="B1367" s="1">
        <f>DATE(2013,5,1) + TIME(0,0,31)</f>
        <v>41395.000358796293</v>
      </c>
      <c r="C1367">
        <v>2400</v>
      </c>
      <c r="D1367">
        <v>0</v>
      </c>
      <c r="E1367">
        <v>0</v>
      </c>
      <c r="F1367">
        <v>2400</v>
      </c>
      <c r="G1367">
        <v>1343.5168457</v>
      </c>
      <c r="H1367">
        <v>1324.90625</v>
      </c>
      <c r="I1367">
        <v>1334.8763428</v>
      </c>
      <c r="J1367">
        <v>1316.3895264</v>
      </c>
      <c r="K1367">
        <v>80</v>
      </c>
      <c r="L1367">
        <v>58.531059265000003</v>
      </c>
      <c r="M1367">
        <v>50</v>
      </c>
      <c r="N1367">
        <v>49.968002319</v>
      </c>
    </row>
    <row r="1368" spans="1:14" x14ac:dyDescent="0.25">
      <c r="A1368">
        <v>1096.0010930000001</v>
      </c>
      <c r="B1368" s="1">
        <f>DATE(2013,5,1) + TIME(0,1,34)</f>
        <v>41395.001087962963</v>
      </c>
      <c r="C1368">
        <v>2400</v>
      </c>
      <c r="D1368">
        <v>0</v>
      </c>
      <c r="E1368">
        <v>0</v>
      </c>
      <c r="F1368">
        <v>2400</v>
      </c>
      <c r="G1368">
        <v>1354.4477539</v>
      </c>
      <c r="H1368">
        <v>1335.7792969</v>
      </c>
      <c r="I1368">
        <v>1323.885376</v>
      </c>
      <c r="J1368">
        <v>1305.4116211</v>
      </c>
      <c r="K1368">
        <v>80</v>
      </c>
      <c r="L1368">
        <v>58.553485870000003</v>
      </c>
      <c r="M1368">
        <v>50</v>
      </c>
      <c r="N1368">
        <v>49.966529846</v>
      </c>
    </row>
    <row r="1369" spans="1:14" x14ac:dyDescent="0.25">
      <c r="A1369">
        <v>1096.0032799999999</v>
      </c>
      <c r="B1369" s="1">
        <f>DATE(2013,5,1) + TIME(0,4,43)</f>
        <v>41395.003275462965</v>
      </c>
      <c r="C1369">
        <v>2400</v>
      </c>
      <c r="D1369">
        <v>0</v>
      </c>
      <c r="E1369">
        <v>0</v>
      </c>
      <c r="F1369">
        <v>2400</v>
      </c>
      <c r="G1369">
        <v>1366.1246338000001</v>
      </c>
      <c r="H1369">
        <v>1347.4277344</v>
      </c>
      <c r="I1369">
        <v>1312.7574463000001</v>
      </c>
      <c r="J1369">
        <v>1294.2766113</v>
      </c>
      <c r="K1369">
        <v>80</v>
      </c>
      <c r="L1369">
        <v>58.617992401000002</v>
      </c>
      <c r="M1369">
        <v>50</v>
      </c>
      <c r="N1369">
        <v>49.964866637999997</v>
      </c>
    </row>
    <row r="1370" spans="1:14" x14ac:dyDescent="0.25">
      <c r="A1370">
        <v>1096.0098410000001</v>
      </c>
      <c r="B1370" s="1">
        <f>DATE(2013,5,1) + TIME(0,14,10)</f>
        <v>41395.009837962964</v>
      </c>
      <c r="C1370">
        <v>2400</v>
      </c>
      <c r="D1370">
        <v>0</v>
      </c>
      <c r="E1370">
        <v>0</v>
      </c>
      <c r="F1370">
        <v>2400</v>
      </c>
      <c r="G1370">
        <v>1378.0458983999999</v>
      </c>
      <c r="H1370">
        <v>1359.4274902</v>
      </c>
      <c r="I1370">
        <v>1301.7728271000001</v>
      </c>
      <c r="J1370">
        <v>1283.2114257999999</v>
      </c>
      <c r="K1370">
        <v>80</v>
      </c>
      <c r="L1370">
        <v>58.806579589999998</v>
      </c>
      <c r="M1370">
        <v>50</v>
      </c>
      <c r="N1370">
        <v>49.962684631000002</v>
      </c>
    </row>
    <row r="1371" spans="1:14" x14ac:dyDescent="0.25">
      <c r="A1371">
        <v>1096.029524</v>
      </c>
      <c r="B1371" s="1">
        <f>DATE(2013,5,1) + TIME(0,42,30)</f>
        <v>41395.029513888891</v>
      </c>
      <c r="C1371">
        <v>2400</v>
      </c>
      <c r="D1371">
        <v>0</v>
      </c>
      <c r="E1371">
        <v>0</v>
      </c>
      <c r="F1371">
        <v>2400</v>
      </c>
      <c r="G1371">
        <v>1387.6990966999999</v>
      </c>
      <c r="H1371">
        <v>1369.3648682</v>
      </c>
      <c r="I1371">
        <v>1293.0867920000001</v>
      </c>
      <c r="J1371">
        <v>1274.3509521000001</v>
      </c>
      <c r="K1371">
        <v>80</v>
      </c>
      <c r="L1371">
        <v>59.350608825999998</v>
      </c>
      <c r="M1371">
        <v>50</v>
      </c>
      <c r="N1371">
        <v>49.959220885999997</v>
      </c>
    </row>
    <row r="1372" spans="1:14" x14ac:dyDescent="0.25">
      <c r="A1372">
        <v>1096.0572159999999</v>
      </c>
      <c r="B1372" s="1">
        <f>DATE(2013,5,1) + TIME(1,22,23)</f>
        <v>41395.057210648149</v>
      </c>
      <c r="C1372">
        <v>2400</v>
      </c>
      <c r="D1372">
        <v>0</v>
      </c>
      <c r="E1372">
        <v>0</v>
      </c>
      <c r="F1372">
        <v>2400</v>
      </c>
      <c r="G1372">
        <v>1391.6679687999999</v>
      </c>
      <c r="H1372">
        <v>1373.6206055</v>
      </c>
      <c r="I1372">
        <v>1289.8200684000001</v>
      </c>
      <c r="J1372">
        <v>1270.9591064000001</v>
      </c>
      <c r="K1372">
        <v>80</v>
      </c>
      <c r="L1372">
        <v>60.084152222</v>
      </c>
      <c r="M1372">
        <v>50</v>
      </c>
      <c r="N1372">
        <v>49.955493926999999</v>
      </c>
    </row>
    <row r="1373" spans="1:14" x14ac:dyDescent="0.25">
      <c r="A1373">
        <v>1096.085304</v>
      </c>
      <c r="B1373" s="1">
        <f>DATE(2013,5,1) + TIME(2,2,50)</f>
        <v>41395.085300925923</v>
      </c>
      <c r="C1373">
        <v>2400</v>
      </c>
      <c r="D1373">
        <v>0</v>
      </c>
      <c r="E1373">
        <v>0</v>
      </c>
      <c r="F1373">
        <v>2400</v>
      </c>
      <c r="G1373">
        <v>1393.0036620999999</v>
      </c>
      <c r="H1373">
        <v>1375.1710204999999</v>
      </c>
      <c r="I1373">
        <v>1288.901001</v>
      </c>
      <c r="J1373">
        <v>1269.9783935999999</v>
      </c>
      <c r="K1373">
        <v>80</v>
      </c>
      <c r="L1373">
        <v>60.799850464000002</v>
      </c>
      <c r="M1373">
        <v>50</v>
      </c>
      <c r="N1373">
        <v>49.952026367000002</v>
      </c>
    </row>
    <row r="1374" spans="1:14" x14ac:dyDescent="0.25">
      <c r="A1374">
        <v>1096.1139330000001</v>
      </c>
      <c r="B1374" s="1">
        <f>DATE(2013,5,1) + TIME(2,44,3)</f>
        <v>41395.113923611112</v>
      </c>
      <c r="C1374">
        <v>2400</v>
      </c>
      <c r="D1374">
        <v>0</v>
      </c>
      <c r="E1374">
        <v>0</v>
      </c>
      <c r="F1374">
        <v>2400</v>
      </c>
      <c r="G1374">
        <v>1393.4238281</v>
      </c>
      <c r="H1374">
        <v>1375.7727050999999</v>
      </c>
      <c r="I1374">
        <v>1288.6782227000001</v>
      </c>
      <c r="J1374">
        <v>1269.7260742000001</v>
      </c>
      <c r="K1374">
        <v>80</v>
      </c>
      <c r="L1374">
        <v>61.502746582</v>
      </c>
      <c r="M1374">
        <v>50</v>
      </c>
      <c r="N1374">
        <v>49.948612212999997</v>
      </c>
    </row>
    <row r="1375" spans="1:14" x14ac:dyDescent="0.25">
      <c r="A1375">
        <v>1096.1431950000001</v>
      </c>
      <c r="B1375" s="1">
        <f>DATE(2013,5,1) + TIME(3,26,12)</f>
        <v>41395.143194444441</v>
      </c>
      <c r="C1375">
        <v>2400</v>
      </c>
      <c r="D1375">
        <v>0</v>
      </c>
      <c r="E1375">
        <v>0</v>
      </c>
      <c r="F1375">
        <v>2400</v>
      </c>
      <c r="G1375">
        <v>1393.4901123</v>
      </c>
      <c r="H1375">
        <v>1376.0020752</v>
      </c>
      <c r="I1375">
        <v>1288.6558838000001</v>
      </c>
      <c r="J1375">
        <v>1269.6896973</v>
      </c>
      <c r="K1375">
        <v>80</v>
      </c>
      <c r="L1375">
        <v>62.19499588</v>
      </c>
      <c r="M1375">
        <v>50</v>
      </c>
      <c r="N1375">
        <v>49.945178986000002</v>
      </c>
    </row>
    <row r="1376" spans="1:14" x14ac:dyDescent="0.25">
      <c r="A1376">
        <v>1096.1731609999999</v>
      </c>
      <c r="B1376" s="1">
        <f>DATE(2013,5,1) + TIME(4,9,21)</f>
        <v>41395.173159722224</v>
      </c>
      <c r="C1376">
        <v>2400</v>
      </c>
      <c r="D1376">
        <v>0</v>
      </c>
      <c r="E1376">
        <v>0</v>
      </c>
      <c r="F1376">
        <v>2400</v>
      </c>
      <c r="G1376">
        <v>1393.4102783000001</v>
      </c>
      <c r="H1376">
        <v>1376.0748291</v>
      </c>
      <c r="I1376">
        <v>1288.6804199000001</v>
      </c>
      <c r="J1376">
        <v>1269.7073975000001</v>
      </c>
      <c r="K1376">
        <v>80</v>
      </c>
      <c r="L1376">
        <v>62.87758255</v>
      </c>
      <c r="M1376">
        <v>50</v>
      </c>
      <c r="N1376">
        <v>49.941703795999999</v>
      </c>
    </row>
    <row r="1377" spans="1:14" x14ac:dyDescent="0.25">
      <c r="A1377">
        <v>1096.2038869999999</v>
      </c>
      <c r="B1377" s="1">
        <f>DATE(2013,5,1) + TIME(4,53,35)</f>
        <v>41395.203877314816</v>
      </c>
      <c r="C1377">
        <v>2400</v>
      </c>
      <c r="D1377">
        <v>0</v>
      </c>
      <c r="E1377">
        <v>0</v>
      </c>
      <c r="F1377">
        <v>2400</v>
      </c>
      <c r="G1377">
        <v>1393.2683105000001</v>
      </c>
      <c r="H1377">
        <v>1376.0780029</v>
      </c>
      <c r="I1377">
        <v>1288.7075195</v>
      </c>
      <c r="J1377">
        <v>1269.7308350000001</v>
      </c>
      <c r="K1377">
        <v>80</v>
      </c>
      <c r="L1377">
        <v>63.550930022999999</v>
      </c>
      <c r="M1377">
        <v>50</v>
      </c>
      <c r="N1377">
        <v>49.938175201</v>
      </c>
    </row>
    <row r="1378" spans="1:14" x14ac:dyDescent="0.25">
      <c r="A1378">
        <v>1096.2354250000001</v>
      </c>
      <c r="B1378" s="1">
        <f>DATE(2013,5,1) + TIME(5,39,0)</f>
        <v>41395.23541666667</v>
      </c>
      <c r="C1378">
        <v>2400</v>
      </c>
      <c r="D1378">
        <v>0</v>
      </c>
      <c r="E1378">
        <v>0</v>
      </c>
      <c r="F1378">
        <v>2400</v>
      </c>
      <c r="G1378">
        <v>1393.1003418</v>
      </c>
      <c r="H1378">
        <v>1376.0494385</v>
      </c>
      <c r="I1378">
        <v>1288.7274170000001</v>
      </c>
      <c r="J1378">
        <v>1269.7485352000001</v>
      </c>
      <c r="K1378">
        <v>80</v>
      </c>
      <c r="L1378">
        <v>64.215171814000001</v>
      </c>
      <c r="M1378">
        <v>50</v>
      </c>
      <c r="N1378">
        <v>49.934589385999999</v>
      </c>
    </row>
    <row r="1379" spans="1:14" x14ac:dyDescent="0.25">
      <c r="A1379">
        <v>1096.2678289999999</v>
      </c>
      <c r="B1379" s="1">
        <f>DATE(2013,5,1) + TIME(6,25,40)</f>
        <v>41395.267824074072</v>
      </c>
      <c r="C1379">
        <v>2400</v>
      </c>
      <c r="D1379">
        <v>0</v>
      </c>
      <c r="E1379">
        <v>0</v>
      </c>
      <c r="F1379">
        <v>2400</v>
      </c>
      <c r="G1379">
        <v>1392.9226074000001</v>
      </c>
      <c r="H1379">
        <v>1376.0062256000001</v>
      </c>
      <c r="I1379">
        <v>1288.7403564000001</v>
      </c>
      <c r="J1379">
        <v>1269.7597656</v>
      </c>
      <c r="K1379">
        <v>80</v>
      </c>
      <c r="L1379">
        <v>64.870315551999994</v>
      </c>
      <c r="M1379">
        <v>50</v>
      </c>
      <c r="N1379">
        <v>49.930942535</v>
      </c>
    </row>
    <row r="1380" spans="1:14" x14ac:dyDescent="0.25">
      <c r="A1380">
        <v>1096.3011550000001</v>
      </c>
      <c r="B1380" s="1">
        <f>DATE(2013,5,1) + TIME(7,13,39)</f>
        <v>41395.301145833335</v>
      </c>
      <c r="C1380">
        <v>2400</v>
      </c>
      <c r="D1380">
        <v>0</v>
      </c>
      <c r="E1380">
        <v>0</v>
      </c>
      <c r="F1380">
        <v>2400</v>
      </c>
      <c r="G1380">
        <v>1392.7426757999999</v>
      </c>
      <c r="H1380">
        <v>1375.9564209</v>
      </c>
      <c r="I1380">
        <v>1288.7482910000001</v>
      </c>
      <c r="J1380">
        <v>1269.7662353999999</v>
      </c>
      <c r="K1380">
        <v>80</v>
      </c>
      <c r="L1380">
        <v>65.516441345000004</v>
      </c>
      <c r="M1380">
        <v>50</v>
      </c>
      <c r="N1380">
        <v>49.927227019999997</v>
      </c>
    </row>
    <row r="1381" spans="1:14" x14ac:dyDescent="0.25">
      <c r="A1381">
        <v>1096.3354650000001</v>
      </c>
      <c r="B1381" s="1">
        <f>DATE(2013,5,1) + TIME(8,3,4)</f>
        <v>41395.335462962961</v>
      </c>
      <c r="C1381">
        <v>2400</v>
      </c>
      <c r="D1381">
        <v>0</v>
      </c>
      <c r="E1381">
        <v>0</v>
      </c>
      <c r="F1381">
        <v>2400</v>
      </c>
      <c r="G1381">
        <v>1392.5643310999999</v>
      </c>
      <c r="H1381">
        <v>1375.9039307</v>
      </c>
      <c r="I1381">
        <v>1288.7530518000001</v>
      </c>
      <c r="J1381">
        <v>1269.7696533000001</v>
      </c>
      <c r="K1381">
        <v>80</v>
      </c>
      <c r="L1381">
        <v>66.153366089000002</v>
      </c>
      <c r="M1381">
        <v>50</v>
      </c>
      <c r="N1381">
        <v>49.923442841000004</v>
      </c>
    </row>
    <row r="1382" spans="1:14" x14ac:dyDescent="0.25">
      <c r="A1382">
        <v>1096.3708280000001</v>
      </c>
      <c r="B1382" s="1">
        <f>DATE(2013,5,1) + TIME(8,53,59)</f>
        <v>41395.370821759258</v>
      </c>
      <c r="C1382">
        <v>2400</v>
      </c>
      <c r="D1382">
        <v>0</v>
      </c>
      <c r="E1382">
        <v>0</v>
      </c>
      <c r="F1382">
        <v>2400</v>
      </c>
      <c r="G1382">
        <v>1392.3892822</v>
      </c>
      <c r="H1382">
        <v>1375.8507079999999</v>
      </c>
      <c r="I1382">
        <v>1288.7559814000001</v>
      </c>
      <c r="J1382">
        <v>1269.7712402</v>
      </c>
      <c r="K1382">
        <v>80</v>
      </c>
      <c r="L1382">
        <v>66.781028747999997</v>
      </c>
      <c r="M1382">
        <v>50</v>
      </c>
      <c r="N1382">
        <v>49.919582366999997</v>
      </c>
    </row>
    <row r="1383" spans="1:14" x14ac:dyDescent="0.25">
      <c r="A1383">
        <v>1096.4073249999999</v>
      </c>
      <c r="B1383" s="1">
        <f>DATE(2013,5,1) + TIME(9,46,32)</f>
        <v>41395.407314814816</v>
      </c>
      <c r="C1383">
        <v>2400</v>
      </c>
      <c r="D1383">
        <v>0</v>
      </c>
      <c r="E1383">
        <v>0</v>
      </c>
      <c r="F1383">
        <v>2400</v>
      </c>
      <c r="G1383">
        <v>1392.2183838000001</v>
      </c>
      <c r="H1383">
        <v>1375.7978516000001</v>
      </c>
      <c r="I1383">
        <v>1288.7579346</v>
      </c>
      <c r="J1383">
        <v>1269.7717285000001</v>
      </c>
      <c r="K1383">
        <v>80</v>
      </c>
      <c r="L1383">
        <v>67.399414062000005</v>
      </c>
      <c r="M1383">
        <v>50</v>
      </c>
      <c r="N1383">
        <v>49.915637969999999</v>
      </c>
    </row>
    <row r="1384" spans="1:14" x14ac:dyDescent="0.25">
      <c r="A1384">
        <v>1096.445025</v>
      </c>
      <c r="B1384" s="1">
        <f>DATE(2013,5,1) + TIME(10,40,50)</f>
        <v>41395.445023148146</v>
      </c>
      <c r="C1384">
        <v>2400</v>
      </c>
      <c r="D1384">
        <v>0</v>
      </c>
      <c r="E1384">
        <v>0</v>
      </c>
      <c r="F1384">
        <v>2400</v>
      </c>
      <c r="G1384">
        <v>1392.0520019999999</v>
      </c>
      <c r="H1384">
        <v>1375.7457274999999</v>
      </c>
      <c r="I1384">
        <v>1288.7591553</v>
      </c>
      <c r="J1384">
        <v>1269.7716064000001</v>
      </c>
      <c r="K1384">
        <v>80</v>
      </c>
      <c r="L1384">
        <v>68.008186339999995</v>
      </c>
      <c r="M1384">
        <v>50</v>
      </c>
      <c r="N1384">
        <v>49.911605835000003</v>
      </c>
    </row>
    <row r="1385" spans="1:14" x14ac:dyDescent="0.25">
      <c r="A1385">
        <v>1096.4840139999999</v>
      </c>
      <c r="B1385" s="1">
        <f>DATE(2013,5,1) + TIME(11,36,58)</f>
        <v>41395.48400462963</v>
      </c>
      <c r="C1385">
        <v>2400</v>
      </c>
      <c r="D1385">
        <v>0</v>
      </c>
      <c r="E1385">
        <v>0</v>
      </c>
      <c r="F1385">
        <v>2400</v>
      </c>
      <c r="G1385">
        <v>1391.8901367000001</v>
      </c>
      <c r="H1385">
        <v>1375.6944579999999</v>
      </c>
      <c r="I1385">
        <v>1288.7602539</v>
      </c>
      <c r="J1385">
        <v>1269.7711182</v>
      </c>
      <c r="K1385">
        <v>80</v>
      </c>
      <c r="L1385">
        <v>68.607170104999994</v>
      </c>
      <c r="M1385">
        <v>50</v>
      </c>
      <c r="N1385">
        <v>49.907482147000003</v>
      </c>
    </row>
    <row r="1386" spans="1:14" x14ac:dyDescent="0.25">
      <c r="A1386">
        <v>1096.5243889999999</v>
      </c>
      <c r="B1386" s="1">
        <f>DATE(2013,5,1) + TIME(12,35,7)</f>
        <v>41395.524386574078</v>
      </c>
      <c r="C1386">
        <v>2400</v>
      </c>
      <c r="D1386">
        <v>0</v>
      </c>
      <c r="E1386">
        <v>0</v>
      </c>
      <c r="F1386">
        <v>2400</v>
      </c>
      <c r="G1386">
        <v>1391.7327881000001</v>
      </c>
      <c r="H1386">
        <v>1375.644043</v>
      </c>
      <c r="I1386">
        <v>1288.7609863</v>
      </c>
      <c r="J1386">
        <v>1269.7705077999999</v>
      </c>
      <c r="K1386">
        <v>80</v>
      </c>
      <c r="L1386">
        <v>69.196197510000005</v>
      </c>
      <c r="M1386">
        <v>50</v>
      </c>
      <c r="N1386">
        <v>49.903255463000001</v>
      </c>
    </row>
    <row r="1387" spans="1:14" x14ac:dyDescent="0.25">
      <c r="A1387">
        <v>1096.5662589999999</v>
      </c>
      <c r="B1387" s="1">
        <f>DATE(2013,5,1) + TIME(13,35,24)</f>
        <v>41395.566250000003</v>
      </c>
      <c r="C1387">
        <v>2400</v>
      </c>
      <c r="D1387">
        <v>0</v>
      </c>
      <c r="E1387">
        <v>0</v>
      </c>
      <c r="F1387">
        <v>2400</v>
      </c>
      <c r="G1387">
        <v>1391.5797118999999</v>
      </c>
      <c r="H1387">
        <v>1375.5944824000001</v>
      </c>
      <c r="I1387">
        <v>1288.7617187999999</v>
      </c>
      <c r="J1387">
        <v>1269.7696533000001</v>
      </c>
      <c r="K1387">
        <v>80</v>
      </c>
      <c r="L1387">
        <v>69.775054932000003</v>
      </c>
      <c r="M1387">
        <v>50</v>
      </c>
      <c r="N1387">
        <v>49.898918152</v>
      </c>
    </row>
    <row r="1388" spans="1:14" x14ac:dyDescent="0.25">
      <c r="A1388">
        <v>1096.609743</v>
      </c>
      <c r="B1388" s="1">
        <f>DATE(2013,5,1) + TIME(14,38,1)</f>
        <v>41395.609733796293</v>
      </c>
      <c r="C1388">
        <v>2400</v>
      </c>
      <c r="D1388">
        <v>0</v>
      </c>
      <c r="E1388">
        <v>0</v>
      </c>
      <c r="F1388">
        <v>2400</v>
      </c>
      <c r="G1388">
        <v>1391.4306641000001</v>
      </c>
      <c r="H1388">
        <v>1375.5456543</v>
      </c>
      <c r="I1388">
        <v>1288.7623291</v>
      </c>
      <c r="J1388">
        <v>1269.7686768000001</v>
      </c>
      <c r="K1388">
        <v>80</v>
      </c>
      <c r="L1388">
        <v>70.343292235999996</v>
      </c>
      <c r="M1388">
        <v>50</v>
      </c>
      <c r="N1388">
        <v>49.894462584999999</v>
      </c>
    </row>
    <row r="1389" spans="1:14" x14ac:dyDescent="0.25">
      <c r="A1389">
        <v>1096.6549769999999</v>
      </c>
      <c r="B1389" s="1">
        <f>DATE(2013,5,1) + TIME(15,43,10)</f>
        <v>41395.654976851853</v>
      </c>
      <c r="C1389">
        <v>2400</v>
      </c>
      <c r="D1389">
        <v>0</v>
      </c>
      <c r="E1389">
        <v>0</v>
      </c>
      <c r="F1389">
        <v>2400</v>
      </c>
      <c r="G1389">
        <v>1391.2856445</v>
      </c>
      <c r="H1389">
        <v>1375.4974365</v>
      </c>
      <c r="I1389">
        <v>1288.7628173999999</v>
      </c>
      <c r="J1389">
        <v>1269.7677002</v>
      </c>
      <c r="K1389">
        <v>80</v>
      </c>
      <c r="L1389">
        <v>70.900741577000005</v>
      </c>
      <c r="M1389">
        <v>50</v>
      </c>
      <c r="N1389">
        <v>49.889881133999999</v>
      </c>
    </row>
    <row r="1390" spans="1:14" x14ac:dyDescent="0.25">
      <c r="A1390">
        <v>1096.7021119999999</v>
      </c>
      <c r="B1390" s="1">
        <f>DATE(2013,5,1) + TIME(16,51,2)</f>
        <v>41395.702106481483</v>
      </c>
      <c r="C1390">
        <v>2400</v>
      </c>
      <c r="D1390">
        <v>0</v>
      </c>
      <c r="E1390">
        <v>0</v>
      </c>
      <c r="F1390">
        <v>2400</v>
      </c>
      <c r="G1390">
        <v>1391.1441649999999</v>
      </c>
      <c r="H1390">
        <v>1375.4495850000001</v>
      </c>
      <c r="I1390">
        <v>1288.7633057</v>
      </c>
      <c r="J1390">
        <v>1269.7666016000001</v>
      </c>
      <c r="K1390">
        <v>80</v>
      </c>
      <c r="L1390">
        <v>71.447303771999998</v>
      </c>
      <c r="M1390">
        <v>50</v>
      </c>
      <c r="N1390">
        <v>49.885158539000003</v>
      </c>
    </row>
    <row r="1391" spans="1:14" x14ac:dyDescent="0.25">
      <c r="A1391">
        <v>1096.751319</v>
      </c>
      <c r="B1391" s="1">
        <f>DATE(2013,5,1) + TIME(18,1,53)</f>
        <v>41395.751307870371</v>
      </c>
      <c r="C1391">
        <v>2400</v>
      </c>
      <c r="D1391">
        <v>0</v>
      </c>
      <c r="E1391">
        <v>0</v>
      </c>
      <c r="F1391">
        <v>2400</v>
      </c>
      <c r="G1391">
        <v>1391.0062256000001</v>
      </c>
      <c r="H1391">
        <v>1375.4020995999999</v>
      </c>
      <c r="I1391">
        <v>1288.7636719</v>
      </c>
      <c r="J1391">
        <v>1269.7653809000001</v>
      </c>
      <c r="K1391">
        <v>80</v>
      </c>
      <c r="L1391">
        <v>71.982719420999999</v>
      </c>
      <c r="M1391">
        <v>50</v>
      </c>
      <c r="N1391">
        <v>49.880283356</v>
      </c>
    </row>
    <row r="1392" spans="1:14" x14ac:dyDescent="0.25">
      <c r="A1392">
        <v>1096.8027939999999</v>
      </c>
      <c r="B1392" s="1">
        <f>DATE(2013,5,1) + TIME(19,16,1)</f>
        <v>41395.802789351852</v>
      </c>
      <c r="C1392">
        <v>2400</v>
      </c>
      <c r="D1392">
        <v>0</v>
      </c>
      <c r="E1392">
        <v>0</v>
      </c>
      <c r="F1392">
        <v>2400</v>
      </c>
      <c r="G1392">
        <v>1390.8714600000001</v>
      </c>
      <c r="H1392">
        <v>1375.3548584</v>
      </c>
      <c r="I1392">
        <v>1288.7640381000001</v>
      </c>
      <c r="J1392">
        <v>1269.7641602000001</v>
      </c>
      <c r="K1392">
        <v>80</v>
      </c>
      <c r="L1392">
        <v>72.506668090999995</v>
      </c>
      <c r="M1392">
        <v>50</v>
      </c>
      <c r="N1392">
        <v>49.875240325999997</v>
      </c>
    </row>
    <row r="1393" spans="1:14" x14ac:dyDescent="0.25">
      <c r="A1393">
        <v>1096.8567949999999</v>
      </c>
      <c r="B1393" s="1">
        <f>DATE(2013,5,1) + TIME(20,33,47)</f>
        <v>41395.856793981482</v>
      </c>
      <c r="C1393">
        <v>2400</v>
      </c>
      <c r="D1393">
        <v>0</v>
      </c>
      <c r="E1393">
        <v>0</v>
      </c>
      <c r="F1393">
        <v>2400</v>
      </c>
      <c r="G1393">
        <v>1390.7395019999999</v>
      </c>
      <c r="H1393">
        <v>1375.3074951000001</v>
      </c>
      <c r="I1393">
        <v>1288.7642822</v>
      </c>
      <c r="J1393">
        <v>1269.7628173999999</v>
      </c>
      <c r="K1393">
        <v>80</v>
      </c>
      <c r="L1393">
        <v>73.019157410000005</v>
      </c>
      <c r="M1393">
        <v>50</v>
      </c>
      <c r="N1393">
        <v>49.870010376000003</v>
      </c>
    </row>
    <row r="1394" spans="1:14" x14ac:dyDescent="0.25">
      <c r="A1394">
        <v>1096.9135530000001</v>
      </c>
      <c r="B1394" s="1">
        <f>DATE(2013,5,1) + TIME(21,55,30)</f>
        <v>41395.913541666669</v>
      </c>
      <c r="C1394">
        <v>2400</v>
      </c>
      <c r="D1394">
        <v>0</v>
      </c>
      <c r="E1394">
        <v>0</v>
      </c>
      <c r="F1394">
        <v>2400</v>
      </c>
      <c r="G1394">
        <v>1390.6104736</v>
      </c>
      <c r="H1394">
        <v>1375.2598877</v>
      </c>
      <c r="I1394">
        <v>1288.7645264</v>
      </c>
      <c r="J1394">
        <v>1269.7614745999999</v>
      </c>
      <c r="K1394">
        <v>80</v>
      </c>
      <c r="L1394">
        <v>73.519554138000004</v>
      </c>
      <c r="M1394">
        <v>50</v>
      </c>
      <c r="N1394">
        <v>49.864578246999997</v>
      </c>
    </row>
    <row r="1395" spans="1:14" x14ac:dyDescent="0.25">
      <c r="A1395">
        <v>1096.9733630000001</v>
      </c>
      <c r="B1395" s="1">
        <f>DATE(2013,5,1) + TIME(23,21,38)</f>
        <v>41395.973356481481</v>
      </c>
      <c r="C1395">
        <v>2400</v>
      </c>
      <c r="D1395">
        <v>0</v>
      </c>
      <c r="E1395">
        <v>0</v>
      </c>
      <c r="F1395">
        <v>2400</v>
      </c>
      <c r="G1395">
        <v>1390.4838867000001</v>
      </c>
      <c r="H1395">
        <v>1375.2119141000001</v>
      </c>
      <c r="I1395">
        <v>1288.7646483999999</v>
      </c>
      <c r="J1395">
        <v>1269.7600098</v>
      </c>
      <c r="K1395">
        <v>80</v>
      </c>
      <c r="L1395">
        <v>74.007438660000005</v>
      </c>
      <c r="M1395">
        <v>50</v>
      </c>
      <c r="N1395">
        <v>49.858924866000002</v>
      </c>
    </row>
    <row r="1396" spans="1:14" x14ac:dyDescent="0.25">
      <c r="A1396">
        <v>1097.036572</v>
      </c>
      <c r="B1396" s="1">
        <f>DATE(2013,5,2) + TIME(0,52,39)</f>
        <v>41396.036562499998</v>
      </c>
      <c r="C1396">
        <v>2400</v>
      </c>
      <c r="D1396">
        <v>0</v>
      </c>
      <c r="E1396">
        <v>0</v>
      </c>
      <c r="F1396">
        <v>2400</v>
      </c>
      <c r="G1396">
        <v>1390.3596190999999</v>
      </c>
      <c r="H1396">
        <v>1375.1633300999999</v>
      </c>
      <c r="I1396">
        <v>1288.7647704999999</v>
      </c>
      <c r="J1396">
        <v>1269.7584228999999</v>
      </c>
      <c r="K1396">
        <v>80</v>
      </c>
      <c r="L1396">
        <v>74.482398986999996</v>
      </c>
      <c r="M1396">
        <v>50</v>
      </c>
      <c r="N1396">
        <v>49.853019713999998</v>
      </c>
    </row>
    <row r="1397" spans="1:14" x14ac:dyDescent="0.25">
      <c r="A1397">
        <v>1097.1035899999999</v>
      </c>
      <c r="B1397" s="1">
        <f>DATE(2013,5,2) + TIME(2,29,10)</f>
        <v>41396.103587962964</v>
      </c>
      <c r="C1397">
        <v>2400</v>
      </c>
      <c r="D1397">
        <v>0</v>
      </c>
      <c r="E1397">
        <v>0</v>
      </c>
      <c r="F1397">
        <v>2400</v>
      </c>
      <c r="G1397">
        <v>1390.2374268000001</v>
      </c>
      <c r="H1397">
        <v>1375.1138916</v>
      </c>
      <c r="I1397">
        <v>1288.7646483999999</v>
      </c>
      <c r="J1397">
        <v>1269.7567139</v>
      </c>
      <c r="K1397">
        <v>80</v>
      </c>
      <c r="L1397">
        <v>74.943969726999995</v>
      </c>
      <c r="M1397">
        <v>50</v>
      </c>
      <c r="N1397">
        <v>49.846836089999996</v>
      </c>
    </row>
    <row r="1398" spans="1:14" x14ac:dyDescent="0.25">
      <c r="A1398">
        <v>1097.17489</v>
      </c>
      <c r="B1398" s="1">
        <f>DATE(2013,5,2) + TIME(4,11,50)</f>
        <v>41396.174884259257</v>
      </c>
      <c r="C1398">
        <v>2400</v>
      </c>
      <c r="D1398">
        <v>0</v>
      </c>
      <c r="E1398">
        <v>0</v>
      </c>
      <c r="F1398">
        <v>2400</v>
      </c>
      <c r="G1398">
        <v>1390.1169434000001</v>
      </c>
      <c r="H1398">
        <v>1375.0634766000001</v>
      </c>
      <c r="I1398">
        <v>1288.7645264</v>
      </c>
      <c r="J1398">
        <v>1269.7550048999999</v>
      </c>
      <c r="K1398">
        <v>80</v>
      </c>
      <c r="L1398">
        <v>75.391296386999997</v>
      </c>
      <c r="M1398">
        <v>50</v>
      </c>
      <c r="N1398">
        <v>49.840339661000002</v>
      </c>
    </row>
    <row r="1399" spans="1:14" x14ac:dyDescent="0.25">
      <c r="A1399">
        <v>1097.2510560000001</v>
      </c>
      <c r="B1399" s="1">
        <f>DATE(2013,5,2) + TIME(6,1,31)</f>
        <v>41396.25105324074</v>
      </c>
      <c r="C1399">
        <v>2400</v>
      </c>
      <c r="D1399">
        <v>0</v>
      </c>
      <c r="E1399">
        <v>0</v>
      </c>
      <c r="F1399">
        <v>2400</v>
      </c>
      <c r="G1399">
        <v>1389.9980469</v>
      </c>
      <c r="H1399">
        <v>1375.0117187999999</v>
      </c>
      <c r="I1399">
        <v>1288.7642822</v>
      </c>
      <c r="J1399">
        <v>1269.7531738</v>
      </c>
      <c r="K1399">
        <v>80</v>
      </c>
      <c r="L1399">
        <v>75.824089049999998</v>
      </c>
      <c r="M1399">
        <v>50</v>
      </c>
      <c r="N1399">
        <v>49.833492278999998</v>
      </c>
    </row>
    <row r="1400" spans="1:14" x14ac:dyDescent="0.25">
      <c r="A1400">
        <v>1097.3327959999999</v>
      </c>
      <c r="B1400" s="1">
        <f>DATE(2013,5,2) + TIME(7,59,13)</f>
        <v>41396.332789351851</v>
      </c>
      <c r="C1400">
        <v>2400</v>
      </c>
      <c r="D1400">
        <v>0</v>
      </c>
      <c r="E1400">
        <v>0</v>
      </c>
      <c r="F1400">
        <v>2400</v>
      </c>
      <c r="G1400">
        <v>1389.880249</v>
      </c>
      <c r="H1400">
        <v>1374.958374</v>
      </c>
      <c r="I1400">
        <v>1288.7637939000001</v>
      </c>
      <c r="J1400">
        <v>1269.7510986</v>
      </c>
      <c r="K1400">
        <v>80</v>
      </c>
      <c r="L1400">
        <v>76.241836547999995</v>
      </c>
      <c r="M1400">
        <v>50</v>
      </c>
      <c r="N1400">
        <v>49.826240540000001</v>
      </c>
    </row>
    <row r="1401" spans="1:14" x14ac:dyDescent="0.25">
      <c r="A1401">
        <v>1097.4209739999999</v>
      </c>
      <c r="B1401" s="1">
        <f>DATE(2013,5,2) + TIME(10,6,12)</f>
        <v>41396.420972222222</v>
      </c>
      <c r="C1401">
        <v>2400</v>
      </c>
      <c r="D1401">
        <v>0</v>
      </c>
      <c r="E1401">
        <v>0</v>
      </c>
      <c r="F1401">
        <v>2400</v>
      </c>
      <c r="G1401">
        <v>1389.7631836</v>
      </c>
      <c r="H1401">
        <v>1374.9030762</v>
      </c>
      <c r="I1401">
        <v>1288.7633057</v>
      </c>
      <c r="J1401">
        <v>1269.7490233999999</v>
      </c>
      <c r="K1401">
        <v>80</v>
      </c>
      <c r="L1401">
        <v>76.643859863000003</v>
      </c>
      <c r="M1401">
        <v>50</v>
      </c>
      <c r="N1401">
        <v>49.818531036000003</v>
      </c>
    </row>
    <row r="1402" spans="1:14" x14ac:dyDescent="0.25">
      <c r="A1402">
        <v>1097.516662</v>
      </c>
      <c r="B1402" s="1">
        <f>DATE(2013,5,2) + TIME(12,23,59)</f>
        <v>41396.516655092593</v>
      </c>
      <c r="C1402">
        <v>2400</v>
      </c>
      <c r="D1402">
        <v>0</v>
      </c>
      <c r="E1402">
        <v>0</v>
      </c>
      <c r="F1402">
        <v>2400</v>
      </c>
      <c r="G1402">
        <v>1389.6466064000001</v>
      </c>
      <c r="H1402">
        <v>1374.8453368999999</v>
      </c>
      <c r="I1402">
        <v>1288.7625731999999</v>
      </c>
      <c r="J1402">
        <v>1269.7467041</v>
      </c>
      <c r="K1402">
        <v>80</v>
      </c>
      <c r="L1402">
        <v>77.029426575000002</v>
      </c>
      <c r="M1402">
        <v>50</v>
      </c>
      <c r="N1402">
        <v>49.810283661</v>
      </c>
    </row>
    <row r="1403" spans="1:14" x14ac:dyDescent="0.25">
      <c r="A1403">
        <v>1097.621234</v>
      </c>
      <c r="B1403" s="1">
        <f>DATE(2013,5,2) + TIME(14,54,34)</f>
        <v>41396.62122685185</v>
      </c>
      <c r="C1403">
        <v>2400</v>
      </c>
      <c r="D1403">
        <v>0</v>
      </c>
      <c r="E1403">
        <v>0</v>
      </c>
      <c r="F1403">
        <v>2400</v>
      </c>
      <c r="G1403">
        <v>1389.5300293</v>
      </c>
      <c r="H1403">
        <v>1374.7849120999999</v>
      </c>
      <c r="I1403">
        <v>1288.7615966999999</v>
      </c>
      <c r="J1403">
        <v>1269.7442627</v>
      </c>
      <c r="K1403">
        <v>80</v>
      </c>
      <c r="L1403">
        <v>77.397766113000003</v>
      </c>
      <c r="M1403">
        <v>50</v>
      </c>
      <c r="N1403">
        <v>49.80140686</v>
      </c>
    </row>
    <row r="1404" spans="1:14" x14ac:dyDescent="0.25">
      <c r="A1404">
        <v>1097.7364930000001</v>
      </c>
      <c r="B1404" s="1">
        <f>DATE(2013,5,2) + TIME(17,40,33)</f>
        <v>41396.736493055556</v>
      </c>
      <c r="C1404">
        <v>2400</v>
      </c>
      <c r="D1404">
        <v>0</v>
      </c>
      <c r="E1404">
        <v>0</v>
      </c>
      <c r="F1404">
        <v>2400</v>
      </c>
      <c r="G1404">
        <v>1389.4128418</v>
      </c>
      <c r="H1404">
        <v>1374.7210693</v>
      </c>
      <c r="I1404">
        <v>1288.7604980000001</v>
      </c>
      <c r="J1404">
        <v>1269.7415771000001</v>
      </c>
      <c r="K1404">
        <v>80</v>
      </c>
      <c r="L1404">
        <v>77.748069763000004</v>
      </c>
      <c r="M1404">
        <v>50</v>
      </c>
      <c r="N1404">
        <v>49.791782378999997</v>
      </c>
    </row>
    <row r="1405" spans="1:14" x14ac:dyDescent="0.25">
      <c r="A1405">
        <v>1097.8539479999999</v>
      </c>
      <c r="B1405" s="1">
        <f>DATE(2013,5,2) + TIME(20,29,41)</f>
        <v>41396.853946759256</v>
      </c>
      <c r="C1405">
        <v>2400</v>
      </c>
      <c r="D1405">
        <v>0</v>
      </c>
      <c r="E1405">
        <v>0</v>
      </c>
      <c r="F1405">
        <v>2400</v>
      </c>
      <c r="G1405">
        <v>1389.3029785000001</v>
      </c>
      <c r="H1405">
        <v>1374.6571045000001</v>
      </c>
      <c r="I1405">
        <v>1288.7590332</v>
      </c>
      <c r="J1405">
        <v>1269.7386475000001</v>
      </c>
      <c r="K1405">
        <v>80</v>
      </c>
      <c r="L1405">
        <v>78.055252074999999</v>
      </c>
      <c r="M1405">
        <v>50</v>
      </c>
      <c r="N1405">
        <v>49.782039642000001</v>
      </c>
    </row>
    <row r="1406" spans="1:14" x14ac:dyDescent="0.25">
      <c r="A1406">
        <v>1097.972002</v>
      </c>
      <c r="B1406" s="1">
        <f>DATE(2013,5,2) + TIME(23,19,40)</f>
        <v>41396.971990740742</v>
      </c>
      <c r="C1406">
        <v>2400</v>
      </c>
      <c r="D1406">
        <v>0</v>
      </c>
      <c r="E1406">
        <v>0</v>
      </c>
      <c r="F1406">
        <v>2400</v>
      </c>
      <c r="G1406">
        <v>1389.2004394999999</v>
      </c>
      <c r="H1406">
        <v>1374.5943603999999</v>
      </c>
      <c r="I1406">
        <v>1288.7574463000001</v>
      </c>
      <c r="J1406">
        <v>1269.7357178</v>
      </c>
      <c r="K1406">
        <v>80</v>
      </c>
      <c r="L1406">
        <v>78.320693969999994</v>
      </c>
      <c r="M1406">
        <v>50</v>
      </c>
      <c r="N1406">
        <v>49.772293091000002</v>
      </c>
    </row>
    <row r="1407" spans="1:14" x14ac:dyDescent="0.25">
      <c r="A1407">
        <v>1098.0912060000001</v>
      </c>
      <c r="B1407" s="1">
        <f>DATE(2013,5,3) + TIME(2,11,20)</f>
        <v>41397.091203703705</v>
      </c>
      <c r="C1407">
        <v>2400</v>
      </c>
      <c r="D1407">
        <v>0</v>
      </c>
      <c r="E1407">
        <v>0</v>
      </c>
      <c r="F1407">
        <v>2400</v>
      </c>
      <c r="G1407">
        <v>1389.1040039</v>
      </c>
      <c r="H1407">
        <v>1374.5328368999999</v>
      </c>
      <c r="I1407">
        <v>1288.7557373</v>
      </c>
      <c r="J1407">
        <v>1269.7326660000001</v>
      </c>
      <c r="K1407">
        <v>80</v>
      </c>
      <c r="L1407">
        <v>78.550788878999995</v>
      </c>
      <c r="M1407">
        <v>50</v>
      </c>
      <c r="N1407">
        <v>49.762496947999999</v>
      </c>
    </row>
    <row r="1408" spans="1:14" x14ac:dyDescent="0.25">
      <c r="A1408">
        <v>1098.211886</v>
      </c>
      <c r="B1408" s="1">
        <f>DATE(2013,5,3) + TIME(5,5,6)</f>
        <v>41397.211875000001</v>
      </c>
      <c r="C1408">
        <v>2400</v>
      </c>
      <c r="D1408">
        <v>0</v>
      </c>
      <c r="E1408">
        <v>0</v>
      </c>
      <c r="F1408">
        <v>2400</v>
      </c>
      <c r="G1408">
        <v>1389.0128173999999</v>
      </c>
      <c r="H1408">
        <v>1374.4724120999999</v>
      </c>
      <c r="I1408">
        <v>1288.7539062000001</v>
      </c>
      <c r="J1408">
        <v>1269.7296143000001</v>
      </c>
      <c r="K1408">
        <v>80</v>
      </c>
      <c r="L1408">
        <v>78.750396729000002</v>
      </c>
      <c r="M1408">
        <v>50</v>
      </c>
      <c r="N1408">
        <v>49.752635955999999</v>
      </c>
    </row>
    <row r="1409" spans="1:14" x14ac:dyDescent="0.25">
      <c r="A1409">
        <v>1098.3344179999999</v>
      </c>
      <c r="B1409" s="1">
        <f>DATE(2013,5,3) + TIME(8,1,33)</f>
        <v>41397.334409722222</v>
      </c>
      <c r="C1409">
        <v>2400</v>
      </c>
      <c r="D1409">
        <v>0</v>
      </c>
      <c r="E1409">
        <v>0</v>
      </c>
      <c r="F1409">
        <v>2400</v>
      </c>
      <c r="G1409">
        <v>1388.9261475000001</v>
      </c>
      <c r="H1409">
        <v>1374.4127197</v>
      </c>
      <c r="I1409">
        <v>1288.7518310999999</v>
      </c>
      <c r="J1409">
        <v>1269.7265625</v>
      </c>
      <c r="K1409">
        <v>80</v>
      </c>
      <c r="L1409">
        <v>78.923667907999999</v>
      </c>
      <c r="M1409">
        <v>50</v>
      </c>
      <c r="N1409">
        <v>49.742675781000003</v>
      </c>
    </row>
    <row r="1410" spans="1:14" x14ac:dyDescent="0.25">
      <c r="A1410">
        <v>1098.4591700000001</v>
      </c>
      <c r="B1410" s="1">
        <f>DATE(2013,5,3) + TIME(11,1,12)</f>
        <v>41397.459166666667</v>
      </c>
      <c r="C1410">
        <v>2400</v>
      </c>
      <c r="D1410">
        <v>0</v>
      </c>
      <c r="E1410">
        <v>0</v>
      </c>
      <c r="F1410">
        <v>2400</v>
      </c>
      <c r="G1410">
        <v>1388.8432617000001</v>
      </c>
      <c r="H1410">
        <v>1374.3536377</v>
      </c>
      <c r="I1410">
        <v>1288.7497559000001</v>
      </c>
      <c r="J1410">
        <v>1269.7235106999999</v>
      </c>
      <c r="K1410">
        <v>80</v>
      </c>
      <c r="L1410">
        <v>79.074089049999998</v>
      </c>
      <c r="M1410">
        <v>50</v>
      </c>
      <c r="N1410">
        <v>49.732589722</v>
      </c>
    </row>
    <row r="1411" spans="1:14" x14ac:dyDescent="0.25">
      <c r="A1411">
        <v>1098.5865209999999</v>
      </c>
      <c r="B1411" s="1">
        <f>DATE(2013,5,3) + TIME(14,4,35)</f>
        <v>41397.586516203701</v>
      </c>
      <c r="C1411">
        <v>2400</v>
      </c>
      <c r="D1411">
        <v>0</v>
      </c>
      <c r="E1411">
        <v>0</v>
      </c>
      <c r="F1411">
        <v>2400</v>
      </c>
      <c r="G1411">
        <v>1388.7635498</v>
      </c>
      <c r="H1411">
        <v>1374.2951660000001</v>
      </c>
      <c r="I1411">
        <v>1288.7475586</v>
      </c>
      <c r="J1411">
        <v>1269.7203368999999</v>
      </c>
      <c r="K1411">
        <v>80</v>
      </c>
      <c r="L1411">
        <v>79.204627990999995</v>
      </c>
      <c r="M1411">
        <v>50</v>
      </c>
      <c r="N1411">
        <v>49.722354889000002</v>
      </c>
    </row>
    <row r="1412" spans="1:14" x14ac:dyDescent="0.25">
      <c r="A1412">
        <v>1098.716862</v>
      </c>
      <c r="B1412" s="1">
        <f>DATE(2013,5,3) + TIME(17,12,16)</f>
        <v>41397.716851851852</v>
      </c>
      <c r="C1412">
        <v>2400</v>
      </c>
      <c r="D1412">
        <v>0</v>
      </c>
      <c r="E1412">
        <v>0</v>
      </c>
      <c r="F1412">
        <v>2400</v>
      </c>
      <c r="G1412">
        <v>1388.6866454999999</v>
      </c>
      <c r="H1412">
        <v>1374.2371826000001</v>
      </c>
      <c r="I1412">
        <v>1288.7453613</v>
      </c>
      <c r="J1412">
        <v>1269.7171631000001</v>
      </c>
      <c r="K1412">
        <v>80</v>
      </c>
      <c r="L1412">
        <v>79.317817688000005</v>
      </c>
      <c r="M1412">
        <v>50</v>
      </c>
      <c r="N1412">
        <v>49.711940765000001</v>
      </c>
    </row>
    <row r="1413" spans="1:14" x14ac:dyDescent="0.25">
      <c r="A1413">
        <v>1098.8506070000001</v>
      </c>
      <c r="B1413" s="1">
        <f>DATE(2013,5,3) + TIME(20,24,52)</f>
        <v>41397.850601851853</v>
      </c>
      <c r="C1413">
        <v>2400</v>
      </c>
      <c r="D1413">
        <v>0</v>
      </c>
      <c r="E1413">
        <v>0</v>
      </c>
      <c r="F1413">
        <v>2400</v>
      </c>
      <c r="G1413">
        <v>1388.6120605000001</v>
      </c>
      <c r="H1413">
        <v>1374.1793213000001</v>
      </c>
      <c r="I1413">
        <v>1288.7429199000001</v>
      </c>
      <c r="J1413">
        <v>1269.7138672000001</v>
      </c>
      <c r="K1413">
        <v>80</v>
      </c>
      <c r="L1413">
        <v>79.415832519999995</v>
      </c>
      <c r="M1413">
        <v>50</v>
      </c>
      <c r="N1413">
        <v>49.701320647999999</v>
      </c>
    </row>
    <row r="1414" spans="1:14" x14ac:dyDescent="0.25">
      <c r="A1414">
        <v>1098.9882</v>
      </c>
      <c r="B1414" s="1">
        <f>DATE(2013,5,3) + TIME(23,43,0)</f>
        <v>41397.988194444442</v>
      </c>
      <c r="C1414">
        <v>2400</v>
      </c>
      <c r="D1414">
        <v>0</v>
      </c>
      <c r="E1414">
        <v>0</v>
      </c>
      <c r="F1414">
        <v>2400</v>
      </c>
      <c r="G1414">
        <v>1388.5394286999999</v>
      </c>
      <c r="H1414">
        <v>1374.1218262</v>
      </c>
      <c r="I1414">
        <v>1288.7403564000001</v>
      </c>
      <c r="J1414">
        <v>1269.7104492000001</v>
      </c>
      <c r="K1414">
        <v>80</v>
      </c>
      <c r="L1414">
        <v>79.500549316000004</v>
      </c>
      <c r="M1414">
        <v>50</v>
      </c>
      <c r="N1414">
        <v>49.69046402</v>
      </c>
    </row>
    <row r="1415" spans="1:14" x14ac:dyDescent="0.25">
      <c r="A1415">
        <v>1099.1301249999999</v>
      </c>
      <c r="B1415" s="1">
        <f>DATE(2013,5,4) + TIME(3,7,22)</f>
        <v>41398.130115740743</v>
      </c>
      <c r="C1415">
        <v>2400</v>
      </c>
      <c r="D1415">
        <v>0</v>
      </c>
      <c r="E1415">
        <v>0</v>
      </c>
      <c r="F1415">
        <v>2400</v>
      </c>
      <c r="G1415">
        <v>1388.4682617000001</v>
      </c>
      <c r="H1415">
        <v>1374.0642089999999</v>
      </c>
      <c r="I1415">
        <v>1288.737793</v>
      </c>
      <c r="J1415">
        <v>1269.7070312000001</v>
      </c>
      <c r="K1415">
        <v>80</v>
      </c>
      <c r="L1415">
        <v>79.573623656999999</v>
      </c>
      <c r="M1415">
        <v>50</v>
      </c>
      <c r="N1415">
        <v>49.679332733000003</v>
      </c>
    </row>
    <row r="1416" spans="1:14" x14ac:dyDescent="0.25">
      <c r="A1416">
        <v>1099.276912</v>
      </c>
      <c r="B1416" s="1">
        <f>DATE(2013,5,4) + TIME(6,38,45)</f>
        <v>41398.276909722219</v>
      </c>
      <c r="C1416">
        <v>2400</v>
      </c>
      <c r="D1416">
        <v>0</v>
      </c>
      <c r="E1416">
        <v>0</v>
      </c>
      <c r="F1416">
        <v>2400</v>
      </c>
      <c r="G1416">
        <v>1388.3984375</v>
      </c>
      <c r="H1416">
        <v>1374.0065918</v>
      </c>
      <c r="I1416">
        <v>1288.7349853999999</v>
      </c>
      <c r="J1416">
        <v>1269.7033690999999</v>
      </c>
      <c r="K1416">
        <v>80</v>
      </c>
      <c r="L1416">
        <v>79.636489867999998</v>
      </c>
      <c r="M1416">
        <v>50</v>
      </c>
      <c r="N1416">
        <v>49.667900084999999</v>
      </c>
    </row>
    <row r="1417" spans="1:14" x14ac:dyDescent="0.25">
      <c r="A1417">
        <v>1099.429234</v>
      </c>
      <c r="B1417" s="1">
        <f>DATE(2013,5,4) + TIME(10,18,5)</f>
        <v>41398.429224537038</v>
      </c>
      <c r="C1417">
        <v>2400</v>
      </c>
      <c r="D1417">
        <v>0</v>
      </c>
      <c r="E1417">
        <v>0</v>
      </c>
      <c r="F1417">
        <v>2400</v>
      </c>
      <c r="G1417">
        <v>1388.3295897999999</v>
      </c>
      <c r="H1417">
        <v>1373.9487305</v>
      </c>
      <c r="I1417">
        <v>1288.7321777</v>
      </c>
      <c r="J1417">
        <v>1269.699707</v>
      </c>
      <c r="K1417">
        <v>80</v>
      </c>
      <c r="L1417">
        <v>79.690414429</v>
      </c>
      <c r="M1417">
        <v>50</v>
      </c>
      <c r="N1417">
        <v>49.656112671000002</v>
      </c>
    </row>
    <row r="1418" spans="1:14" x14ac:dyDescent="0.25">
      <c r="A1418">
        <v>1099.5877089999999</v>
      </c>
      <c r="B1418" s="1">
        <f>DATE(2013,5,4) + TIME(14,6,18)</f>
        <v>41398.587708333333</v>
      </c>
      <c r="C1418">
        <v>2400</v>
      </c>
      <c r="D1418">
        <v>0</v>
      </c>
      <c r="E1418">
        <v>0</v>
      </c>
      <c r="F1418">
        <v>2400</v>
      </c>
      <c r="G1418">
        <v>1388.2613524999999</v>
      </c>
      <c r="H1418">
        <v>1373.890625</v>
      </c>
      <c r="I1418">
        <v>1288.729126</v>
      </c>
      <c r="J1418">
        <v>1269.6958007999999</v>
      </c>
      <c r="K1418">
        <v>80</v>
      </c>
      <c r="L1418">
        <v>79.736503600999995</v>
      </c>
      <c r="M1418">
        <v>50</v>
      </c>
      <c r="N1418">
        <v>49.643932343000003</v>
      </c>
    </row>
    <row r="1419" spans="1:14" x14ac:dyDescent="0.25">
      <c r="A1419">
        <v>1099.7530770000001</v>
      </c>
      <c r="B1419" s="1">
        <f>DATE(2013,5,4) + TIME(18,4,25)</f>
        <v>41398.753067129626</v>
      </c>
      <c r="C1419">
        <v>2400</v>
      </c>
      <c r="D1419">
        <v>0</v>
      </c>
      <c r="E1419">
        <v>0</v>
      </c>
      <c r="F1419">
        <v>2400</v>
      </c>
      <c r="G1419">
        <v>1388.1934814000001</v>
      </c>
      <c r="H1419">
        <v>1373.8319091999999</v>
      </c>
      <c r="I1419">
        <v>1288.7260742000001</v>
      </c>
      <c r="J1419">
        <v>1269.6917725000001</v>
      </c>
      <c r="K1419">
        <v>80</v>
      </c>
      <c r="L1419">
        <v>79.775711060000006</v>
      </c>
      <c r="M1419">
        <v>50</v>
      </c>
      <c r="N1419">
        <v>49.631317138999997</v>
      </c>
    </row>
    <row r="1420" spans="1:14" x14ac:dyDescent="0.25">
      <c r="A1420">
        <v>1099.926211</v>
      </c>
      <c r="B1420" s="1">
        <f>DATE(2013,5,4) + TIME(22,13,44)</f>
        <v>41398.926203703704</v>
      </c>
      <c r="C1420">
        <v>2400</v>
      </c>
      <c r="D1420">
        <v>0</v>
      </c>
      <c r="E1420">
        <v>0</v>
      </c>
      <c r="F1420">
        <v>2400</v>
      </c>
      <c r="G1420">
        <v>1388.1257324000001</v>
      </c>
      <c r="H1420">
        <v>1373.7727050999999</v>
      </c>
      <c r="I1420">
        <v>1288.7227783000001</v>
      </c>
      <c r="J1420">
        <v>1269.6876221</v>
      </c>
      <c r="K1420">
        <v>80</v>
      </c>
      <c r="L1420">
        <v>79.808914185000006</v>
      </c>
      <c r="M1420">
        <v>50</v>
      </c>
      <c r="N1420">
        <v>49.618202209000003</v>
      </c>
    </row>
    <row r="1421" spans="1:14" x14ac:dyDescent="0.25">
      <c r="A1421">
        <v>1100.1077499999999</v>
      </c>
      <c r="B1421" s="1">
        <f>DATE(2013,5,5) + TIME(2,35,9)</f>
        <v>41399.107743055552</v>
      </c>
      <c r="C1421">
        <v>2400</v>
      </c>
      <c r="D1421">
        <v>0</v>
      </c>
      <c r="E1421">
        <v>0</v>
      </c>
      <c r="F1421">
        <v>2400</v>
      </c>
      <c r="G1421">
        <v>1388.0578613</v>
      </c>
      <c r="H1421">
        <v>1373.7126464999999</v>
      </c>
      <c r="I1421">
        <v>1288.7193603999999</v>
      </c>
      <c r="J1421">
        <v>1269.6832274999999</v>
      </c>
      <c r="K1421">
        <v>80</v>
      </c>
      <c r="L1421">
        <v>79.836837768999999</v>
      </c>
      <c r="M1421">
        <v>50</v>
      </c>
      <c r="N1421">
        <v>49.604549407999997</v>
      </c>
    </row>
    <row r="1422" spans="1:14" x14ac:dyDescent="0.25">
      <c r="A1422">
        <v>1100.296634</v>
      </c>
      <c r="B1422" s="1">
        <f>DATE(2013,5,5) + TIME(7,7,9)</f>
        <v>41399.296631944446</v>
      </c>
      <c r="C1422">
        <v>2400</v>
      </c>
      <c r="D1422">
        <v>0</v>
      </c>
      <c r="E1422">
        <v>0</v>
      </c>
      <c r="F1422">
        <v>2400</v>
      </c>
      <c r="G1422">
        <v>1387.9897461</v>
      </c>
      <c r="H1422">
        <v>1373.6518555</v>
      </c>
      <c r="I1422">
        <v>1288.7156981999999</v>
      </c>
      <c r="J1422">
        <v>1269.6785889</v>
      </c>
      <c r="K1422">
        <v>80</v>
      </c>
      <c r="L1422">
        <v>79.859977721999996</v>
      </c>
      <c r="M1422">
        <v>50</v>
      </c>
      <c r="N1422">
        <v>49.590423584</v>
      </c>
    </row>
    <row r="1423" spans="1:14" x14ac:dyDescent="0.25">
      <c r="A1423">
        <v>1100.493688</v>
      </c>
      <c r="B1423" s="1">
        <f>DATE(2013,5,5) + TIME(11,50,54)</f>
        <v>41399.493680555555</v>
      </c>
      <c r="C1423">
        <v>2400</v>
      </c>
      <c r="D1423">
        <v>0</v>
      </c>
      <c r="E1423">
        <v>0</v>
      </c>
      <c r="F1423">
        <v>2400</v>
      </c>
      <c r="G1423">
        <v>1387.921875</v>
      </c>
      <c r="H1423">
        <v>1373.5906981999999</v>
      </c>
      <c r="I1423">
        <v>1288.7119141000001</v>
      </c>
      <c r="J1423">
        <v>1269.6738281</v>
      </c>
      <c r="K1423">
        <v>80</v>
      </c>
      <c r="L1423">
        <v>79.879051208000007</v>
      </c>
      <c r="M1423">
        <v>50</v>
      </c>
      <c r="N1423">
        <v>49.575775145999998</v>
      </c>
    </row>
    <row r="1424" spans="1:14" x14ac:dyDescent="0.25">
      <c r="A1424">
        <v>1100.699867</v>
      </c>
      <c r="B1424" s="1">
        <f>DATE(2013,5,5) + TIME(16,47,48)</f>
        <v>41399.699861111112</v>
      </c>
      <c r="C1424">
        <v>2400</v>
      </c>
      <c r="D1424">
        <v>0</v>
      </c>
      <c r="E1424">
        <v>0</v>
      </c>
      <c r="F1424">
        <v>2400</v>
      </c>
      <c r="G1424">
        <v>1387.8537598</v>
      </c>
      <c r="H1424">
        <v>1373.5289307</v>
      </c>
      <c r="I1424">
        <v>1288.7080077999999</v>
      </c>
      <c r="J1424">
        <v>1269.6688231999999</v>
      </c>
      <c r="K1424">
        <v>80</v>
      </c>
      <c r="L1424">
        <v>79.894699097</v>
      </c>
      <c r="M1424">
        <v>50</v>
      </c>
      <c r="N1424">
        <v>49.560539245999998</v>
      </c>
    </row>
    <row r="1425" spans="1:14" x14ac:dyDescent="0.25">
      <c r="A1425">
        <v>1100.9162779999999</v>
      </c>
      <c r="B1425" s="1">
        <f>DATE(2013,5,5) + TIME(21,59,26)</f>
        <v>41399.916273148148</v>
      </c>
      <c r="C1425">
        <v>2400</v>
      </c>
      <c r="D1425">
        <v>0</v>
      </c>
      <c r="E1425">
        <v>0</v>
      </c>
      <c r="F1425">
        <v>2400</v>
      </c>
      <c r="G1425">
        <v>1387.7852783000001</v>
      </c>
      <c r="H1425">
        <v>1373.4666748</v>
      </c>
      <c r="I1425">
        <v>1288.7038574000001</v>
      </c>
      <c r="J1425">
        <v>1269.6635742000001</v>
      </c>
      <c r="K1425">
        <v>80</v>
      </c>
      <c r="L1425">
        <v>79.907455443999993</v>
      </c>
      <c r="M1425">
        <v>50</v>
      </c>
      <c r="N1425">
        <v>49.544658661</v>
      </c>
    </row>
    <row r="1426" spans="1:14" x14ac:dyDescent="0.25">
      <c r="A1426">
        <v>1101.1442119999999</v>
      </c>
      <c r="B1426" s="1">
        <f>DATE(2013,5,6) + TIME(3,27,39)</f>
        <v>41400.144201388888</v>
      </c>
      <c r="C1426">
        <v>2400</v>
      </c>
      <c r="D1426">
        <v>0</v>
      </c>
      <c r="E1426">
        <v>0</v>
      </c>
      <c r="F1426">
        <v>2400</v>
      </c>
      <c r="G1426">
        <v>1387.7163086</v>
      </c>
      <c r="H1426">
        <v>1373.4034423999999</v>
      </c>
      <c r="I1426">
        <v>1288.6995850000001</v>
      </c>
      <c r="J1426">
        <v>1269.6580810999999</v>
      </c>
      <c r="K1426">
        <v>80</v>
      </c>
      <c r="L1426">
        <v>79.917793274000005</v>
      </c>
      <c r="M1426">
        <v>50</v>
      </c>
      <c r="N1426">
        <v>49.528045654000003</v>
      </c>
    </row>
    <row r="1427" spans="1:14" x14ac:dyDescent="0.25">
      <c r="A1427">
        <v>1101.3851460000001</v>
      </c>
      <c r="B1427" s="1">
        <f>DATE(2013,5,6) + TIME(9,14,36)</f>
        <v>41400.385138888887</v>
      </c>
      <c r="C1427">
        <v>2400</v>
      </c>
      <c r="D1427">
        <v>0</v>
      </c>
      <c r="E1427">
        <v>0</v>
      </c>
      <c r="F1427">
        <v>2400</v>
      </c>
      <c r="G1427">
        <v>1387.6463623</v>
      </c>
      <c r="H1427">
        <v>1373.3391113</v>
      </c>
      <c r="I1427">
        <v>1288.6950684000001</v>
      </c>
      <c r="J1427">
        <v>1269.6522216999999</v>
      </c>
      <c r="K1427">
        <v>80</v>
      </c>
      <c r="L1427">
        <v>79.926109314000001</v>
      </c>
      <c r="M1427">
        <v>50</v>
      </c>
      <c r="N1427">
        <v>49.510620117000002</v>
      </c>
    </row>
    <row r="1428" spans="1:14" x14ac:dyDescent="0.25">
      <c r="A1428">
        <v>1101.6301120000001</v>
      </c>
      <c r="B1428" s="1">
        <f>DATE(2013,5,6) + TIME(15,7,21)</f>
        <v>41400.630104166667</v>
      </c>
      <c r="C1428">
        <v>2400</v>
      </c>
      <c r="D1428">
        <v>0</v>
      </c>
      <c r="E1428">
        <v>0</v>
      </c>
      <c r="F1428">
        <v>2400</v>
      </c>
      <c r="G1428">
        <v>1387.5753173999999</v>
      </c>
      <c r="H1428">
        <v>1373.2736815999999</v>
      </c>
      <c r="I1428">
        <v>1288.6901855000001</v>
      </c>
      <c r="J1428">
        <v>1269.6461182</v>
      </c>
      <c r="K1428">
        <v>80</v>
      </c>
      <c r="L1428">
        <v>79.932540893999999</v>
      </c>
      <c r="M1428">
        <v>50</v>
      </c>
      <c r="N1428">
        <v>49.492874145999998</v>
      </c>
    </row>
    <row r="1429" spans="1:14" x14ac:dyDescent="0.25">
      <c r="A1429">
        <v>1101.8770669999999</v>
      </c>
      <c r="B1429" s="1">
        <f>DATE(2013,5,6) + TIME(21,2,58)</f>
        <v>41400.877060185187</v>
      </c>
      <c r="C1429">
        <v>2400</v>
      </c>
      <c r="D1429">
        <v>0</v>
      </c>
      <c r="E1429">
        <v>0</v>
      </c>
      <c r="F1429">
        <v>2400</v>
      </c>
      <c r="G1429">
        <v>1387.5058594</v>
      </c>
      <c r="H1429">
        <v>1373.2094727000001</v>
      </c>
      <c r="I1429">
        <v>1288.6851807</v>
      </c>
      <c r="J1429">
        <v>1269.6398925999999</v>
      </c>
      <c r="K1429">
        <v>80</v>
      </c>
      <c r="L1429">
        <v>79.937484741000006</v>
      </c>
      <c r="M1429">
        <v>50</v>
      </c>
      <c r="N1429">
        <v>49.474937439000001</v>
      </c>
    </row>
    <row r="1430" spans="1:14" x14ac:dyDescent="0.25">
      <c r="A1430">
        <v>1102.126937</v>
      </c>
      <c r="B1430" s="1">
        <f>DATE(2013,5,7) + TIME(3,2,47)</f>
        <v>41401.126932870371</v>
      </c>
      <c r="C1430">
        <v>2400</v>
      </c>
      <c r="D1430">
        <v>0</v>
      </c>
      <c r="E1430">
        <v>0</v>
      </c>
      <c r="F1430">
        <v>2400</v>
      </c>
      <c r="G1430">
        <v>1387.4382324000001</v>
      </c>
      <c r="H1430">
        <v>1373.1468506000001</v>
      </c>
      <c r="I1430">
        <v>1288.6802978999999</v>
      </c>
      <c r="J1430">
        <v>1269.6336670000001</v>
      </c>
      <c r="K1430">
        <v>80</v>
      </c>
      <c r="L1430">
        <v>79.941299438000001</v>
      </c>
      <c r="M1430">
        <v>50</v>
      </c>
      <c r="N1430">
        <v>49.456790924000003</v>
      </c>
    </row>
    <row r="1431" spans="1:14" x14ac:dyDescent="0.25">
      <c r="A1431">
        <v>1102.3806099999999</v>
      </c>
      <c r="B1431" s="1">
        <f>DATE(2013,5,7) + TIME(9,8,4)</f>
        <v>41401.380601851852</v>
      </c>
      <c r="C1431">
        <v>2400</v>
      </c>
      <c r="D1431">
        <v>0</v>
      </c>
      <c r="E1431">
        <v>0</v>
      </c>
      <c r="F1431">
        <v>2400</v>
      </c>
      <c r="G1431">
        <v>1387.3721923999999</v>
      </c>
      <c r="H1431">
        <v>1373.0856934000001</v>
      </c>
      <c r="I1431">
        <v>1288.675293</v>
      </c>
      <c r="J1431">
        <v>1269.6273193</v>
      </c>
      <c r="K1431">
        <v>80</v>
      </c>
      <c r="L1431">
        <v>79.944259643999999</v>
      </c>
      <c r="M1431">
        <v>50</v>
      </c>
      <c r="N1431">
        <v>49.438400268999999</v>
      </c>
    </row>
    <row r="1432" spans="1:14" x14ac:dyDescent="0.25">
      <c r="A1432">
        <v>1102.6389770000001</v>
      </c>
      <c r="B1432" s="1">
        <f>DATE(2013,5,7) + TIME(15,20,7)</f>
        <v>41401.638969907406</v>
      </c>
      <c r="C1432">
        <v>2400</v>
      </c>
      <c r="D1432">
        <v>0</v>
      </c>
      <c r="E1432">
        <v>0</v>
      </c>
      <c r="F1432">
        <v>2400</v>
      </c>
      <c r="G1432">
        <v>1387.3073730000001</v>
      </c>
      <c r="H1432">
        <v>1373.0255127</v>
      </c>
      <c r="I1432">
        <v>1288.6701660000001</v>
      </c>
      <c r="J1432">
        <v>1269.6208495999999</v>
      </c>
      <c r="K1432">
        <v>80</v>
      </c>
      <c r="L1432">
        <v>79.946563721000004</v>
      </c>
      <c r="M1432">
        <v>50</v>
      </c>
      <c r="N1432">
        <v>49.419719696000001</v>
      </c>
    </row>
    <row r="1433" spans="1:14" x14ac:dyDescent="0.25">
      <c r="A1433">
        <v>1102.902955</v>
      </c>
      <c r="B1433" s="1">
        <f>DATE(2013,5,7) + TIME(21,40,15)</f>
        <v>41401.902951388889</v>
      </c>
      <c r="C1433">
        <v>2400</v>
      </c>
      <c r="D1433">
        <v>0</v>
      </c>
      <c r="E1433">
        <v>0</v>
      </c>
      <c r="F1433">
        <v>2400</v>
      </c>
      <c r="G1433">
        <v>1387.2435303</v>
      </c>
      <c r="H1433">
        <v>1372.9663086</v>
      </c>
      <c r="I1433">
        <v>1288.6650391000001</v>
      </c>
      <c r="J1433">
        <v>1269.6142577999999</v>
      </c>
      <c r="K1433">
        <v>80</v>
      </c>
      <c r="L1433">
        <v>79.948364257999998</v>
      </c>
      <c r="M1433">
        <v>50</v>
      </c>
      <c r="N1433">
        <v>49.400714874000002</v>
      </c>
    </row>
    <row r="1434" spans="1:14" x14ac:dyDescent="0.25">
      <c r="A1434">
        <v>1103.1735140000001</v>
      </c>
      <c r="B1434" s="1">
        <f>DATE(2013,5,8) + TIME(4,9,51)</f>
        <v>41402.173506944448</v>
      </c>
      <c r="C1434">
        <v>2400</v>
      </c>
      <c r="D1434">
        <v>0</v>
      </c>
      <c r="E1434">
        <v>0</v>
      </c>
      <c r="F1434">
        <v>2400</v>
      </c>
      <c r="G1434">
        <v>1387.1802978999999</v>
      </c>
      <c r="H1434">
        <v>1372.9075928</v>
      </c>
      <c r="I1434">
        <v>1288.6597899999999</v>
      </c>
      <c r="J1434">
        <v>1269.6074219</v>
      </c>
      <c r="K1434">
        <v>80</v>
      </c>
      <c r="L1434">
        <v>79.949775696000003</v>
      </c>
      <c r="M1434">
        <v>50</v>
      </c>
      <c r="N1434">
        <v>49.381328582999998</v>
      </c>
    </row>
    <row r="1435" spans="1:14" x14ac:dyDescent="0.25">
      <c r="A1435">
        <v>1103.4518310000001</v>
      </c>
      <c r="B1435" s="1">
        <f>DATE(2013,5,8) + TIME(10,50,38)</f>
        <v>41402.451828703706</v>
      </c>
      <c r="C1435">
        <v>2400</v>
      </c>
      <c r="D1435">
        <v>0</v>
      </c>
      <c r="E1435">
        <v>0</v>
      </c>
      <c r="F1435">
        <v>2400</v>
      </c>
      <c r="G1435">
        <v>1387.1175536999999</v>
      </c>
      <c r="H1435">
        <v>1372.8492432</v>
      </c>
      <c r="I1435">
        <v>1288.6544189000001</v>
      </c>
      <c r="J1435">
        <v>1269.6005858999999</v>
      </c>
      <c r="K1435">
        <v>80</v>
      </c>
      <c r="L1435">
        <v>79.950897217000005</v>
      </c>
      <c r="M1435">
        <v>50</v>
      </c>
      <c r="N1435">
        <v>49.361495972</v>
      </c>
    </row>
    <row r="1436" spans="1:14" x14ac:dyDescent="0.25">
      <c r="A1436">
        <v>1103.7389840000001</v>
      </c>
      <c r="B1436" s="1">
        <f>DATE(2013,5,8) + TIME(17,44,8)</f>
        <v>41402.738981481481</v>
      </c>
      <c r="C1436">
        <v>2400</v>
      </c>
      <c r="D1436">
        <v>0</v>
      </c>
      <c r="E1436">
        <v>0</v>
      </c>
      <c r="F1436">
        <v>2400</v>
      </c>
      <c r="G1436">
        <v>1387.0549315999999</v>
      </c>
      <c r="H1436">
        <v>1372.7910156</v>
      </c>
      <c r="I1436">
        <v>1288.6489257999999</v>
      </c>
      <c r="J1436">
        <v>1269.5933838000001</v>
      </c>
      <c r="K1436">
        <v>80</v>
      </c>
      <c r="L1436">
        <v>79.951782226999995</v>
      </c>
      <c r="M1436">
        <v>50</v>
      </c>
      <c r="N1436">
        <v>49.341156005999999</v>
      </c>
    </row>
    <row r="1437" spans="1:14" x14ac:dyDescent="0.25">
      <c r="A1437">
        <v>1104.0361949999999</v>
      </c>
      <c r="B1437" s="1">
        <f>DATE(2013,5,9) + TIME(0,52,7)</f>
        <v>41403.036192129628</v>
      </c>
      <c r="C1437">
        <v>2400</v>
      </c>
      <c r="D1437">
        <v>0</v>
      </c>
      <c r="E1437">
        <v>0</v>
      </c>
      <c r="F1437">
        <v>2400</v>
      </c>
      <c r="G1437">
        <v>1386.9923096</v>
      </c>
      <c r="H1437">
        <v>1372.7327881000001</v>
      </c>
      <c r="I1437">
        <v>1288.6433105000001</v>
      </c>
      <c r="J1437">
        <v>1269.5860596</v>
      </c>
      <c r="K1437">
        <v>80</v>
      </c>
      <c r="L1437">
        <v>79.952491760000001</v>
      </c>
      <c r="M1437">
        <v>50</v>
      </c>
      <c r="N1437">
        <v>49.320236205999997</v>
      </c>
    </row>
    <row r="1438" spans="1:14" x14ac:dyDescent="0.25">
      <c r="A1438">
        <v>1104.3411960000001</v>
      </c>
      <c r="B1438" s="1">
        <f>DATE(2013,5,9) + TIME(8,11,19)</f>
        <v>41403.341192129628</v>
      </c>
      <c r="C1438">
        <v>2400</v>
      </c>
      <c r="D1438">
        <v>0</v>
      </c>
      <c r="E1438">
        <v>0</v>
      </c>
      <c r="F1438">
        <v>2400</v>
      </c>
      <c r="G1438">
        <v>1386.9294434000001</v>
      </c>
      <c r="H1438">
        <v>1372.6743164</v>
      </c>
      <c r="I1438">
        <v>1288.6374512</v>
      </c>
      <c r="J1438">
        <v>1269.5783690999999</v>
      </c>
      <c r="K1438">
        <v>80</v>
      </c>
      <c r="L1438">
        <v>79.953056334999999</v>
      </c>
      <c r="M1438">
        <v>50</v>
      </c>
      <c r="N1438">
        <v>49.298847197999997</v>
      </c>
    </row>
    <row r="1439" spans="1:14" x14ac:dyDescent="0.25">
      <c r="A1439">
        <v>1104.653935</v>
      </c>
      <c r="B1439" s="1">
        <f>DATE(2013,5,9) + TIME(15,41,39)</f>
        <v>41403.653923611113</v>
      </c>
      <c r="C1439">
        <v>2400</v>
      </c>
      <c r="D1439">
        <v>0</v>
      </c>
      <c r="E1439">
        <v>0</v>
      </c>
      <c r="F1439">
        <v>2400</v>
      </c>
      <c r="G1439">
        <v>1386.8668213000001</v>
      </c>
      <c r="H1439">
        <v>1372.6160889</v>
      </c>
      <c r="I1439">
        <v>1288.6313477000001</v>
      </c>
      <c r="J1439">
        <v>1269.5705565999999</v>
      </c>
      <c r="K1439">
        <v>80</v>
      </c>
      <c r="L1439">
        <v>79.953506469999994</v>
      </c>
      <c r="M1439">
        <v>50</v>
      </c>
      <c r="N1439">
        <v>49.276996613000001</v>
      </c>
    </row>
    <row r="1440" spans="1:14" x14ac:dyDescent="0.25">
      <c r="A1440">
        <v>1104.9754800000001</v>
      </c>
      <c r="B1440" s="1">
        <f>DATE(2013,5,9) + TIME(23,24,41)</f>
        <v>41403.975474537037</v>
      </c>
      <c r="C1440">
        <v>2400</v>
      </c>
      <c r="D1440">
        <v>0</v>
      </c>
      <c r="E1440">
        <v>0</v>
      </c>
      <c r="F1440">
        <v>2400</v>
      </c>
      <c r="G1440">
        <v>1386.8044434000001</v>
      </c>
      <c r="H1440">
        <v>1372.5581055</v>
      </c>
      <c r="I1440">
        <v>1288.6251221</v>
      </c>
      <c r="J1440">
        <v>1269.5625</v>
      </c>
      <c r="K1440">
        <v>80</v>
      </c>
      <c r="L1440">
        <v>79.953865050999994</v>
      </c>
      <c r="M1440">
        <v>50</v>
      </c>
      <c r="N1440">
        <v>49.254631042</v>
      </c>
    </row>
    <row r="1441" spans="1:14" x14ac:dyDescent="0.25">
      <c r="A1441">
        <v>1105.307043</v>
      </c>
      <c r="B1441" s="1">
        <f>DATE(2013,5,10) + TIME(7,22,8)</f>
        <v>41404.307037037041</v>
      </c>
      <c r="C1441">
        <v>2400</v>
      </c>
      <c r="D1441">
        <v>0</v>
      </c>
      <c r="E1441">
        <v>0</v>
      </c>
      <c r="F1441">
        <v>2400</v>
      </c>
      <c r="G1441">
        <v>1386.7421875</v>
      </c>
      <c r="H1441">
        <v>1372.5002440999999</v>
      </c>
      <c r="I1441">
        <v>1288.6187743999999</v>
      </c>
      <c r="J1441">
        <v>1269.5543213000001</v>
      </c>
      <c r="K1441">
        <v>80</v>
      </c>
      <c r="L1441">
        <v>79.954162597999996</v>
      </c>
      <c r="M1441">
        <v>50</v>
      </c>
      <c r="N1441">
        <v>49.231689453000001</v>
      </c>
    </row>
    <row r="1442" spans="1:14" x14ac:dyDescent="0.25">
      <c r="A1442">
        <v>1105.650026</v>
      </c>
      <c r="B1442" s="1">
        <f>DATE(2013,5,10) + TIME(15,36,2)</f>
        <v>41404.650023148148</v>
      </c>
      <c r="C1442">
        <v>2400</v>
      </c>
      <c r="D1442">
        <v>0</v>
      </c>
      <c r="E1442">
        <v>0</v>
      </c>
      <c r="F1442">
        <v>2400</v>
      </c>
      <c r="G1442">
        <v>1386.6798096</v>
      </c>
      <c r="H1442">
        <v>1372.4422606999999</v>
      </c>
      <c r="I1442">
        <v>1288.6123047000001</v>
      </c>
      <c r="J1442">
        <v>1269.5457764</v>
      </c>
      <c r="K1442">
        <v>80</v>
      </c>
      <c r="L1442">
        <v>79.954399108999993</v>
      </c>
      <c r="M1442">
        <v>50</v>
      </c>
      <c r="N1442">
        <v>49.208095551</v>
      </c>
    </row>
    <row r="1443" spans="1:14" x14ac:dyDescent="0.25">
      <c r="A1443">
        <v>1106.0057220000001</v>
      </c>
      <c r="B1443" s="1">
        <f>DATE(2013,5,11) + TIME(0,8,14)</f>
        <v>41405.00571759259</v>
      </c>
      <c r="C1443">
        <v>2400</v>
      </c>
      <c r="D1443">
        <v>0</v>
      </c>
      <c r="E1443">
        <v>0</v>
      </c>
      <c r="F1443">
        <v>2400</v>
      </c>
      <c r="G1443">
        <v>1386.6171875</v>
      </c>
      <c r="H1443">
        <v>1372.3839111</v>
      </c>
      <c r="I1443">
        <v>1288.6055908000001</v>
      </c>
      <c r="J1443">
        <v>1269.5368652</v>
      </c>
      <c r="K1443">
        <v>80</v>
      </c>
      <c r="L1443">
        <v>79.954597473000007</v>
      </c>
      <c r="M1443">
        <v>50</v>
      </c>
      <c r="N1443">
        <v>49.183776854999998</v>
      </c>
    </row>
    <row r="1444" spans="1:14" x14ac:dyDescent="0.25">
      <c r="A1444">
        <v>1106.375794</v>
      </c>
      <c r="B1444" s="1">
        <f>DATE(2013,5,11) + TIME(9,1,8)</f>
        <v>41405.375787037039</v>
      </c>
      <c r="C1444">
        <v>2400</v>
      </c>
      <c r="D1444">
        <v>0</v>
      </c>
      <c r="E1444">
        <v>0</v>
      </c>
      <c r="F1444">
        <v>2400</v>
      </c>
      <c r="G1444">
        <v>1386.5540771000001</v>
      </c>
      <c r="H1444">
        <v>1372.3251952999999</v>
      </c>
      <c r="I1444">
        <v>1288.5985106999999</v>
      </c>
      <c r="J1444">
        <v>1269.5277100000001</v>
      </c>
      <c r="K1444">
        <v>80</v>
      </c>
      <c r="L1444">
        <v>79.954765320000007</v>
      </c>
      <c r="M1444">
        <v>50</v>
      </c>
      <c r="N1444">
        <v>49.158649445000002</v>
      </c>
    </row>
    <row r="1445" spans="1:14" x14ac:dyDescent="0.25">
      <c r="A1445">
        <v>1106.762154</v>
      </c>
      <c r="B1445" s="1">
        <f>DATE(2013,5,11) + TIME(18,17,30)</f>
        <v>41405.762152777781</v>
      </c>
      <c r="C1445">
        <v>2400</v>
      </c>
      <c r="D1445">
        <v>0</v>
      </c>
      <c r="E1445">
        <v>0</v>
      </c>
      <c r="F1445">
        <v>2400</v>
      </c>
      <c r="G1445">
        <v>1386.4902344</v>
      </c>
      <c r="H1445">
        <v>1372.2658690999999</v>
      </c>
      <c r="I1445">
        <v>1288.5911865</v>
      </c>
      <c r="J1445">
        <v>1269.5180664</v>
      </c>
      <c r="K1445">
        <v>80</v>
      </c>
      <c r="L1445">
        <v>79.954902649000005</v>
      </c>
      <c r="M1445">
        <v>50</v>
      </c>
      <c r="N1445">
        <v>49.132598877</v>
      </c>
    </row>
    <row r="1446" spans="1:14" x14ac:dyDescent="0.25">
      <c r="A1446">
        <v>1107.155675</v>
      </c>
      <c r="B1446" s="1">
        <f>DATE(2013,5,12) + TIME(3,44,10)</f>
        <v>41406.155671296299</v>
      </c>
      <c r="C1446">
        <v>2400</v>
      </c>
      <c r="D1446">
        <v>0</v>
      </c>
      <c r="E1446">
        <v>0</v>
      </c>
      <c r="F1446">
        <v>2400</v>
      </c>
      <c r="G1446">
        <v>1386.4255370999999</v>
      </c>
      <c r="H1446">
        <v>1372.2055664</v>
      </c>
      <c r="I1446">
        <v>1288.5834961</v>
      </c>
      <c r="J1446">
        <v>1269.5081786999999</v>
      </c>
      <c r="K1446">
        <v>80</v>
      </c>
      <c r="L1446">
        <v>79.955017089999998</v>
      </c>
      <c r="M1446">
        <v>50</v>
      </c>
      <c r="N1446">
        <v>49.106029509999999</v>
      </c>
    </row>
    <row r="1447" spans="1:14" x14ac:dyDescent="0.25">
      <c r="A1447">
        <v>1107.552698</v>
      </c>
      <c r="B1447" s="1">
        <f>DATE(2013,5,12) + TIME(13,15,53)</f>
        <v>41406.55269675926</v>
      </c>
      <c r="C1447">
        <v>2400</v>
      </c>
      <c r="D1447">
        <v>0</v>
      </c>
      <c r="E1447">
        <v>0</v>
      </c>
      <c r="F1447">
        <v>2400</v>
      </c>
      <c r="G1447">
        <v>1386.3614502</v>
      </c>
      <c r="H1447">
        <v>1372.1459961</v>
      </c>
      <c r="I1447">
        <v>1288.5756836</v>
      </c>
      <c r="J1447">
        <v>1269.4979248</v>
      </c>
      <c r="K1447">
        <v>80</v>
      </c>
      <c r="L1447">
        <v>79.955108643000003</v>
      </c>
      <c r="M1447">
        <v>50</v>
      </c>
      <c r="N1447">
        <v>49.079151154000002</v>
      </c>
    </row>
    <row r="1448" spans="1:14" x14ac:dyDescent="0.25">
      <c r="A1448">
        <v>1107.954624</v>
      </c>
      <c r="B1448" s="1">
        <f>DATE(2013,5,12) + TIME(22,54,39)</f>
        <v>41406.954618055555</v>
      </c>
      <c r="C1448">
        <v>2400</v>
      </c>
      <c r="D1448">
        <v>0</v>
      </c>
      <c r="E1448">
        <v>0</v>
      </c>
      <c r="F1448">
        <v>2400</v>
      </c>
      <c r="G1448">
        <v>1386.2985839999999</v>
      </c>
      <c r="H1448">
        <v>1372.0874022999999</v>
      </c>
      <c r="I1448">
        <v>1288.5678711</v>
      </c>
      <c r="J1448">
        <v>1269.4876709</v>
      </c>
      <c r="K1448">
        <v>80</v>
      </c>
      <c r="L1448">
        <v>79.955184936999999</v>
      </c>
      <c r="M1448">
        <v>50</v>
      </c>
      <c r="N1448">
        <v>49.051956177000001</v>
      </c>
    </row>
    <row r="1449" spans="1:14" x14ac:dyDescent="0.25">
      <c r="A1449">
        <v>1108.3628269999999</v>
      </c>
      <c r="B1449" s="1">
        <f>DATE(2013,5,13) + TIME(8,42,28)</f>
        <v>41407.362824074073</v>
      </c>
      <c r="C1449">
        <v>2400</v>
      </c>
      <c r="D1449">
        <v>0</v>
      </c>
      <c r="E1449">
        <v>0</v>
      </c>
      <c r="F1449">
        <v>2400</v>
      </c>
      <c r="G1449">
        <v>1386.2366943</v>
      </c>
      <c r="H1449">
        <v>1372.0297852000001</v>
      </c>
      <c r="I1449">
        <v>1288.5598144999999</v>
      </c>
      <c r="J1449">
        <v>1269.4771728999999</v>
      </c>
      <c r="K1449">
        <v>80</v>
      </c>
      <c r="L1449">
        <v>79.955245972</v>
      </c>
      <c r="M1449">
        <v>50</v>
      </c>
      <c r="N1449">
        <v>49.024414061999998</v>
      </c>
    </row>
    <row r="1450" spans="1:14" x14ac:dyDescent="0.25">
      <c r="A1450">
        <v>1108.778718</v>
      </c>
      <c r="B1450" s="1">
        <f>DATE(2013,5,13) + TIME(18,41,21)</f>
        <v>41407.778715277775</v>
      </c>
      <c r="C1450">
        <v>2400</v>
      </c>
      <c r="D1450">
        <v>0</v>
      </c>
      <c r="E1450">
        <v>0</v>
      </c>
      <c r="F1450">
        <v>2400</v>
      </c>
      <c r="G1450">
        <v>1386.1755370999999</v>
      </c>
      <c r="H1450">
        <v>1371.9727783000001</v>
      </c>
      <c r="I1450">
        <v>1288.5517577999999</v>
      </c>
      <c r="J1450">
        <v>1269.4665527</v>
      </c>
      <c r="K1450">
        <v>80</v>
      </c>
      <c r="L1450">
        <v>79.955299377000003</v>
      </c>
      <c r="M1450">
        <v>50</v>
      </c>
      <c r="N1450">
        <v>48.996471405000001</v>
      </c>
    </row>
    <row r="1451" spans="1:14" x14ac:dyDescent="0.25">
      <c r="A1451">
        <v>1109.203773</v>
      </c>
      <c r="B1451" s="1">
        <f>DATE(2013,5,14) + TIME(4,53,25)</f>
        <v>41408.203761574077</v>
      </c>
      <c r="C1451">
        <v>2400</v>
      </c>
      <c r="D1451">
        <v>0</v>
      </c>
      <c r="E1451">
        <v>0</v>
      </c>
      <c r="F1451">
        <v>2400</v>
      </c>
      <c r="G1451">
        <v>1386.1147461</v>
      </c>
      <c r="H1451">
        <v>1371.9162598</v>
      </c>
      <c r="I1451">
        <v>1288.543457</v>
      </c>
      <c r="J1451">
        <v>1269.4556885</v>
      </c>
      <c r="K1451">
        <v>80</v>
      </c>
      <c r="L1451">
        <v>79.955345154</v>
      </c>
      <c r="M1451">
        <v>50</v>
      </c>
      <c r="N1451">
        <v>48.968067169000001</v>
      </c>
    </row>
    <row r="1452" spans="1:14" x14ac:dyDescent="0.25">
      <c r="A1452">
        <v>1109.639561</v>
      </c>
      <c r="B1452" s="1">
        <f>DATE(2013,5,14) + TIME(15,20,58)</f>
        <v>41408.639560185184</v>
      </c>
      <c r="C1452">
        <v>2400</v>
      </c>
      <c r="D1452">
        <v>0</v>
      </c>
      <c r="E1452">
        <v>0</v>
      </c>
      <c r="F1452">
        <v>2400</v>
      </c>
      <c r="G1452">
        <v>1386.0543213000001</v>
      </c>
      <c r="H1452">
        <v>1371.8598632999999</v>
      </c>
      <c r="I1452">
        <v>1288.5350341999999</v>
      </c>
      <c r="J1452">
        <v>1269.4444579999999</v>
      </c>
      <c r="K1452">
        <v>80</v>
      </c>
      <c r="L1452">
        <v>79.955383300999998</v>
      </c>
      <c r="M1452">
        <v>50</v>
      </c>
      <c r="N1452">
        <v>48.939117432000003</v>
      </c>
    </row>
    <row r="1453" spans="1:14" x14ac:dyDescent="0.25">
      <c r="A1453">
        <v>1110.0880930000001</v>
      </c>
      <c r="B1453" s="1">
        <f>DATE(2013,5,15) + TIME(2,6,51)</f>
        <v>41409.088090277779</v>
      </c>
      <c r="C1453">
        <v>2400</v>
      </c>
      <c r="D1453">
        <v>0</v>
      </c>
      <c r="E1453">
        <v>0</v>
      </c>
      <c r="F1453">
        <v>2400</v>
      </c>
      <c r="G1453">
        <v>1385.9937743999999</v>
      </c>
      <c r="H1453">
        <v>1371.8034668</v>
      </c>
      <c r="I1453">
        <v>1288.5263672000001</v>
      </c>
      <c r="J1453">
        <v>1269.4329834</v>
      </c>
      <c r="K1453">
        <v>80</v>
      </c>
      <c r="L1453">
        <v>79.955413817999997</v>
      </c>
      <c r="M1453">
        <v>50</v>
      </c>
      <c r="N1453">
        <v>48.909523010000001</v>
      </c>
    </row>
    <row r="1454" spans="1:14" x14ac:dyDescent="0.25">
      <c r="A1454">
        <v>1110.5510300000001</v>
      </c>
      <c r="B1454" s="1">
        <f>DATE(2013,5,15) + TIME(13,13,28)</f>
        <v>41409.551018518519</v>
      </c>
      <c r="C1454">
        <v>2400</v>
      </c>
      <c r="D1454">
        <v>0</v>
      </c>
      <c r="E1454">
        <v>0</v>
      </c>
      <c r="F1454">
        <v>2400</v>
      </c>
      <c r="G1454">
        <v>1385.9332274999999</v>
      </c>
      <c r="H1454">
        <v>1371.7469481999999</v>
      </c>
      <c r="I1454">
        <v>1288.5174560999999</v>
      </c>
      <c r="J1454">
        <v>1269.4211425999999</v>
      </c>
      <c r="K1454">
        <v>80</v>
      </c>
      <c r="L1454">
        <v>79.955444335999999</v>
      </c>
      <c r="M1454">
        <v>50</v>
      </c>
      <c r="N1454">
        <v>48.879192351999997</v>
      </c>
    </row>
    <row r="1455" spans="1:14" x14ac:dyDescent="0.25">
      <c r="A1455">
        <v>1111.030497</v>
      </c>
      <c r="B1455" s="1">
        <f>DATE(2013,5,16) + TIME(0,43,54)</f>
        <v>41410.030486111114</v>
      </c>
      <c r="C1455">
        <v>2400</v>
      </c>
      <c r="D1455">
        <v>0</v>
      </c>
      <c r="E1455">
        <v>0</v>
      </c>
      <c r="F1455">
        <v>2400</v>
      </c>
      <c r="G1455">
        <v>1385.8721923999999</v>
      </c>
      <c r="H1455">
        <v>1371.6899414</v>
      </c>
      <c r="I1455">
        <v>1288.5081786999999</v>
      </c>
      <c r="J1455">
        <v>1269.4089355000001</v>
      </c>
      <c r="K1455">
        <v>80</v>
      </c>
      <c r="L1455">
        <v>79.955467224000003</v>
      </c>
      <c r="M1455">
        <v>50</v>
      </c>
      <c r="N1455">
        <v>48.848007201999998</v>
      </c>
    </row>
    <row r="1456" spans="1:14" x14ac:dyDescent="0.25">
      <c r="A1456">
        <v>1111.5181849999999</v>
      </c>
      <c r="B1456" s="1">
        <f>DATE(2013,5,16) + TIME(12,26,11)</f>
        <v>41410.518182870372</v>
      </c>
      <c r="C1456">
        <v>2400</v>
      </c>
      <c r="D1456">
        <v>0</v>
      </c>
      <c r="E1456">
        <v>0</v>
      </c>
      <c r="F1456">
        <v>2400</v>
      </c>
      <c r="G1456">
        <v>1385.8105469</v>
      </c>
      <c r="H1456">
        <v>1371.6324463000001</v>
      </c>
      <c r="I1456">
        <v>1288.4985352000001</v>
      </c>
      <c r="J1456">
        <v>1269.3962402</v>
      </c>
      <c r="K1456">
        <v>80</v>
      </c>
      <c r="L1456">
        <v>79.955482482999997</v>
      </c>
      <c r="M1456">
        <v>50</v>
      </c>
      <c r="N1456">
        <v>48.816280364999997</v>
      </c>
    </row>
    <row r="1457" spans="1:14" x14ac:dyDescent="0.25">
      <c r="A1457">
        <v>1112.014989</v>
      </c>
      <c r="B1457" s="1">
        <f>DATE(2013,5,17) + TIME(0,21,35)</f>
        <v>41411.014988425923</v>
      </c>
      <c r="C1457">
        <v>2400</v>
      </c>
      <c r="D1457">
        <v>0</v>
      </c>
      <c r="E1457">
        <v>0</v>
      </c>
      <c r="F1457">
        <v>2400</v>
      </c>
      <c r="G1457">
        <v>1385.7493896000001</v>
      </c>
      <c r="H1457">
        <v>1371.5753173999999</v>
      </c>
      <c r="I1457">
        <v>1288.4887695</v>
      </c>
      <c r="J1457">
        <v>1269.3833007999999</v>
      </c>
      <c r="K1457">
        <v>80</v>
      </c>
      <c r="L1457">
        <v>79.955505371000001</v>
      </c>
      <c r="M1457">
        <v>50</v>
      </c>
      <c r="N1457">
        <v>48.784023285000004</v>
      </c>
    </row>
    <row r="1458" spans="1:14" x14ac:dyDescent="0.25">
      <c r="A1458">
        <v>1112.5224350000001</v>
      </c>
      <c r="B1458" s="1">
        <f>DATE(2013,5,17) + TIME(12,32,18)</f>
        <v>41411.522430555553</v>
      </c>
      <c r="C1458">
        <v>2400</v>
      </c>
      <c r="D1458">
        <v>0</v>
      </c>
      <c r="E1458">
        <v>0</v>
      </c>
      <c r="F1458">
        <v>2400</v>
      </c>
      <c r="G1458">
        <v>1385.6885986</v>
      </c>
      <c r="H1458">
        <v>1371.5185547000001</v>
      </c>
      <c r="I1458">
        <v>1288.4787598</v>
      </c>
      <c r="J1458">
        <v>1269.3699951000001</v>
      </c>
      <c r="K1458">
        <v>80</v>
      </c>
      <c r="L1458">
        <v>79.955520629999995</v>
      </c>
      <c r="M1458">
        <v>50</v>
      </c>
      <c r="N1458">
        <v>48.751205444</v>
      </c>
    </row>
    <row r="1459" spans="1:14" x14ac:dyDescent="0.25">
      <c r="A1459">
        <v>1113.0421510000001</v>
      </c>
      <c r="B1459" s="1">
        <f>DATE(2013,5,18) + TIME(1,0,41)</f>
        <v>41412.042141203703</v>
      </c>
      <c r="C1459">
        <v>2400</v>
      </c>
      <c r="D1459">
        <v>0</v>
      </c>
      <c r="E1459">
        <v>0</v>
      </c>
      <c r="F1459">
        <v>2400</v>
      </c>
      <c r="G1459">
        <v>1385.6280518000001</v>
      </c>
      <c r="H1459">
        <v>1371.4619141000001</v>
      </c>
      <c r="I1459">
        <v>1288.4685059000001</v>
      </c>
      <c r="J1459">
        <v>1269.3564452999999</v>
      </c>
      <c r="K1459">
        <v>80</v>
      </c>
      <c r="L1459">
        <v>79.955535889000004</v>
      </c>
      <c r="M1459">
        <v>50</v>
      </c>
      <c r="N1459">
        <v>48.717758179</v>
      </c>
    </row>
    <row r="1460" spans="1:14" x14ac:dyDescent="0.25">
      <c r="A1460">
        <v>1113.57592</v>
      </c>
      <c r="B1460" s="1">
        <f>DATE(2013,5,18) + TIME(13,49,19)</f>
        <v>41412.575914351852</v>
      </c>
      <c r="C1460">
        <v>2400</v>
      </c>
      <c r="D1460">
        <v>0</v>
      </c>
      <c r="E1460">
        <v>0</v>
      </c>
      <c r="F1460">
        <v>2400</v>
      </c>
      <c r="G1460">
        <v>1385.5675048999999</v>
      </c>
      <c r="H1460">
        <v>1371.4052733999999</v>
      </c>
      <c r="I1460">
        <v>1288.4580077999999</v>
      </c>
      <c r="J1460">
        <v>1269.3424072</v>
      </c>
      <c r="K1460">
        <v>80</v>
      </c>
      <c r="L1460">
        <v>79.955551146999994</v>
      </c>
      <c r="M1460">
        <v>50</v>
      </c>
      <c r="N1460">
        <v>48.683609009000001</v>
      </c>
    </row>
    <row r="1461" spans="1:14" x14ac:dyDescent="0.25">
      <c r="A1461">
        <v>1114.118438</v>
      </c>
      <c r="B1461" s="1">
        <f>DATE(2013,5,19) + TIME(2,50,33)</f>
        <v>41413.118437500001</v>
      </c>
      <c r="C1461">
        <v>2400</v>
      </c>
      <c r="D1461">
        <v>0</v>
      </c>
      <c r="E1461">
        <v>0</v>
      </c>
      <c r="F1461">
        <v>2400</v>
      </c>
      <c r="G1461">
        <v>1385.5067139</v>
      </c>
      <c r="H1461">
        <v>1371.3483887</v>
      </c>
      <c r="I1461">
        <v>1288.4471435999999</v>
      </c>
      <c r="J1461">
        <v>1269.3280029</v>
      </c>
      <c r="K1461">
        <v>80</v>
      </c>
      <c r="L1461">
        <v>79.955558776999993</v>
      </c>
      <c r="M1461">
        <v>50</v>
      </c>
      <c r="N1461">
        <v>48.648948668999999</v>
      </c>
    </row>
    <row r="1462" spans="1:14" x14ac:dyDescent="0.25">
      <c r="A1462">
        <v>1114.667825</v>
      </c>
      <c r="B1462" s="1">
        <f>DATE(2013,5,19) + TIME(16,1,40)</f>
        <v>41413.667824074073</v>
      </c>
      <c r="C1462">
        <v>2400</v>
      </c>
      <c r="D1462">
        <v>0</v>
      </c>
      <c r="E1462">
        <v>0</v>
      </c>
      <c r="F1462">
        <v>2400</v>
      </c>
      <c r="G1462">
        <v>1385.4464111</v>
      </c>
      <c r="H1462">
        <v>1371.2919922000001</v>
      </c>
      <c r="I1462">
        <v>1288.4360352000001</v>
      </c>
      <c r="J1462">
        <v>1269.3133545000001</v>
      </c>
      <c r="K1462">
        <v>80</v>
      </c>
      <c r="L1462">
        <v>79.955574036000002</v>
      </c>
      <c r="M1462">
        <v>50</v>
      </c>
      <c r="N1462">
        <v>48.613883971999996</v>
      </c>
    </row>
    <row r="1463" spans="1:14" x14ac:dyDescent="0.25">
      <c r="A1463">
        <v>1115.2260610000001</v>
      </c>
      <c r="B1463" s="1">
        <f>DATE(2013,5,20) + TIME(5,25,31)</f>
        <v>41414.226053240738</v>
      </c>
      <c r="C1463">
        <v>2400</v>
      </c>
      <c r="D1463">
        <v>0</v>
      </c>
      <c r="E1463">
        <v>0</v>
      </c>
      <c r="F1463">
        <v>2400</v>
      </c>
      <c r="G1463">
        <v>1385.3868408000001</v>
      </c>
      <c r="H1463">
        <v>1371.2360839999999</v>
      </c>
      <c r="I1463">
        <v>1288.4248047000001</v>
      </c>
      <c r="J1463">
        <v>1269.2983397999999</v>
      </c>
      <c r="K1463">
        <v>80</v>
      </c>
      <c r="L1463">
        <v>79.955581664999997</v>
      </c>
      <c r="M1463">
        <v>50</v>
      </c>
      <c r="N1463">
        <v>48.578384399000001</v>
      </c>
    </row>
    <row r="1464" spans="1:14" x14ac:dyDescent="0.25">
      <c r="A1464">
        <v>1115.7951820000001</v>
      </c>
      <c r="B1464" s="1">
        <f>DATE(2013,5,20) + TIME(19,5,3)</f>
        <v>41414.795173611114</v>
      </c>
      <c r="C1464">
        <v>2400</v>
      </c>
      <c r="D1464">
        <v>0</v>
      </c>
      <c r="E1464">
        <v>0</v>
      </c>
      <c r="F1464">
        <v>2400</v>
      </c>
      <c r="G1464">
        <v>1385.3276367000001</v>
      </c>
      <c r="H1464">
        <v>1371.1805420000001</v>
      </c>
      <c r="I1464">
        <v>1288.4133300999999</v>
      </c>
      <c r="J1464">
        <v>1269.2830810999999</v>
      </c>
      <c r="K1464">
        <v>80</v>
      </c>
      <c r="L1464">
        <v>79.955596924000005</v>
      </c>
      <c r="M1464">
        <v>50</v>
      </c>
      <c r="N1464">
        <v>48.542381286999998</v>
      </c>
    </row>
    <row r="1465" spans="1:14" x14ac:dyDescent="0.25">
      <c r="A1465">
        <v>1116.3774530000001</v>
      </c>
      <c r="B1465" s="1">
        <f>DATE(2013,5,21) + TIME(9,3,31)</f>
        <v>41415.377442129633</v>
      </c>
      <c r="C1465">
        <v>2400</v>
      </c>
      <c r="D1465">
        <v>0</v>
      </c>
      <c r="E1465">
        <v>0</v>
      </c>
      <c r="F1465">
        <v>2400</v>
      </c>
      <c r="G1465">
        <v>1385.2685547000001</v>
      </c>
      <c r="H1465">
        <v>1371.1251221</v>
      </c>
      <c r="I1465">
        <v>1288.4016113</v>
      </c>
      <c r="J1465">
        <v>1269.2674560999999</v>
      </c>
      <c r="K1465">
        <v>80</v>
      </c>
      <c r="L1465">
        <v>79.955604553000001</v>
      </c>
      <c r="M1465">
        <v>50</v>
      </c>
      <c r="N1465">
        <v>48.505779265999998</v>
      </c>
    </row>
    <row r="1466" spans="1:14" x14ac:dyDescent="0.25">
      <c r="A1466">
        <v>1116.9754359999999</v>
      </c>
      <c r="B1466" s="1">
        <f>DATE(2013,5,21) + TIME(23,24,37)</f>
        <v>41415.975428240738</v>
      </c>
      <c r="C1466">
        <v>2400</v>
      </c>
      <c r="D1466">
        <v>0</v>
      </c>
      <c r="E1466">
        <v>0</v>
      </c>
      <c r="F1466">
        <v>2400</v>
      </c>
      <c r="G1466">
        <v>1385.2094727000001</v>
      </c>
      <c r="H1466">
        <v>1371.0697021000001</v>
      </c>
      <c r="I1466">
        <v>1288.3896483999999</v>
      </c>
      <c r="J1466">
        <v>1269.2513428</v>
      </c>
      <c r="K1466">
        <v>80</v>
      </c>
      <c r="L1466">
        <v>79.955619811999995</v>
      </c>
      <c r="M1466">
        <v>50</v>
      </c>
      <c r="N1466">
        <v>48.468452454000001</v>
      </c>
    </row>
    <row r="1467" spans="1:14" x14ac:dyDescent="0.25">
      <c r="A1467">
        <v>1117.5914760000001</v>
      </c>
      <c r="B1467" s="1">
        <f>DATE(2013,5,22) + TIME(14,11,43)</f>
        <v>41416.591469907406</v>
      </c>
      <c r="C1467">
        <v>2400</v>
      </c>
      <c r="D1467">
        <v>0</v>
      </c>
      <c r="E1467">
        <v>0</v>
      </c>
      <c r="F1467">
        <v>2400</v>
      </c>
      <c r="G1467">
        <v>1385.1501464999999</v>
      </c>
      <c r="H1467">
        <v>1371.0139160000001</v>
      </c>
      <c r="I1467">
        <v>1288.3771973</v>
      </c>
      <c r="J1467">
        <v>1269.2347411999999</v>
      </c>
      <c r="K1467">
        <v>80</v>
      </c>
      <c r="L1467">
        <v>79.955635071000003</v>
      </c>
      <c r="M1467">
        <v>50</v>
      </c>
      <c r="N1467">
        <v>48.430282593000001</v>
      </c>
    </row>
    <row r="1468" spans="1:14" x14ac:dyDescent="0.25">
      <c r="A1468">
        <v>1118.228519</v>
      </c>
      <c r="B1468" s="1">
        <f>DATE(2013,5,23) + TIME(5,29,4)</f>
        <v>41417.228518518517</v>
      </c>
      <c r="C1468">
        <v>2400</v>
      </c>
      <c r="D1468">
        <v>0</v>
      </c>
      <c r="E1468">
        <v>0</v>
      </c>
      <c r="F1468">
        <v>2400</v>
      </c>
      <c r="G1468">
        <v>1385.090332</v>
      </c>
      <c r="H1468">
        <v>1370.9577637</v>
      </c>
      <c r="I1468">
        <v>1288.3643798999999</v>
      </c>
      <c r="J1468">
        <v>1269.2175293</v>
      </c>
      <c r="K1468">
        <v>80</v>
      </c>
      <c r="L1468">
        <v>79.955642699999999</v>
      </c>
      <c r="M1468">
        <v>50</v>
      </c>
      <c r="N1468">
        <v>48.391117096000002</v>
      </c>
    </row>
    <row r="1469" spans="1:14" x14ac:dyDescent="0.25">
      <c r="A1469">
        <v>1118.8899200000001</v>
      </c>
      <c r="B1469" s="1">
        <f>DATE(2013,5,23) + TIME(21,21,29)</f>
        <v>41417.889918981484</v>
      </c>
      <c r="C1469">
        <v>2400</v>
      </c>
      <c r="D1469">
        <v>0</v>
      </c>
      <c r="E1469">
        <v>0</v>
      </c>
      <c r="F1469">
        <v>2400</v>
      </c>
      <c r="G1469">
        <v>1385.0299072</v>
      </c>
      <c r="H1469">
        <v>1370.9008789</v>
      </c>
      <c r="I1469">
        <v>1288.3510742000001</v>
      </c>
      <c r="J1469">
        <v>1269.199707</v>
      </c>
      <c r="K1469">
        <v>80</v>
      </c>
      <c r="L1469">
        <v>79.955657959000007</v>
      </c>
      <c r="M1469">
        <v>50</v>
      </c>
      <c r="N1469">
        <v>48.350780487000002</v>
      </c>
    </row>
    <row r="1470" spans="1:14" x14ac:dyDescent="0.25">
      <c r="A1470">
        <v>1119.577295</v>
      </c>
      <c r="B1470" s="1">
        <f>DATE(2013,5,24) + TIME(13,51,18)</f>
        <v>41418.577291666668</v>
      </c>
      <c r="C1470">
        <v>2400</v>
      </c>
      <c r="D1470">
        <v>0</v>
      </c>
      <c r="E1470">
        <v>0</v>
      </c>
      <c r="F1470">
        <v>2400</v>
      </c>
      <c r="G1470">
        <v>1384.9683838000001</v>
      </c>
      <c r="H1470">
        <v>1370.8430175999999</v>
      </c>
      <c r="I1470">
        <v>1288.3371582</v>
      </c>
      <c r="J1470">
        <v>1269.1810303</v>
      </c>
      <c r="K1470">
        <v>80</v>
      </c>
      <c r="L1470">
        <v>79.955673218000001</v>
      </c>
      <c r="M1470">
        <v>50</v>
      </c>
      <c r="N1470">
        <v>48.309158324999999</v>
      </c>
    </row>
    <row r="1471" spans="1:14" x14ac:dyDescent="0.25">
      <c r="A1471">
        <v>1120.272506</v>
      </c>
      <c r="B1471" s="1">
        <f>DATE(2013,5,25) + TIME(6,32,24)</f>
        <v>41419.272499999999</v>
      </c>
      <c r="C1471">
        <v>2400</v>
      </c>
      <c r="D1471">
        <v>0</v>
      </c>
      <c r="E1471">
        <v>0</v>
      </c>
      <c r="F1471">
        <v>2400</v>
      </c>
      <c r="G1471">
        <v>1384.9060059000001</v>
      </c>
      <c r="H1471">
        <v>1370.7841797000001</v>
      </c>
      <c r="I1471">
        <v>1288.3223877</v>
      </c>
      <c r="J1471">
        <v>1269.161499</v>
      </c>
      <c r="K1471">
        <v>80</v>
      </c>
      <c r="L1471">
        <v>79.955688476999995</v>
      </c>
      <c r="M1471">
        <v>50</v>
      </c>
      <c r="N1471">
        <v>48.266803740999997</v>
      </c>
    </row>
    <row r="1472" spans="1:14" x14ac:dyDescent="0.25">
      <c r="A1472">
        <v>1120.9763519999999</v>
      </c>
      <c r="B1472" s="1">
        <f>DATE(2013,5,25) + TIME(23,25,56)</f>
        <v>41419.976342592592</v>
      </c>
      <c r="C1472">
        <v>2400</v>
      </c>
      <c r="D1472">
        <v>0</v>
      </c>
      <c r="E1472">
        <v>0</v>
      </c>
      <c r="F1472">
        <v>2400</v>
      </c>
      <c r="G1472">
        <v>1384.8442382999999</v>
      </c>
      <c r="H1472">
        <v>1370.7260742000001</v>
      </c>
      <c r="I1472">
        <v>1288.3076172000001</v>
      </c>
      <c r="J1472">
        <v>1269.1416016000001</v>
      </c>
      <c r="K1472">
        <v>80</v>
      </c>
      <c r="L1472">
        <v>79.955703735</v>
      </c>
      <c r="M1472">
        <v>50</v>
      </c>
      <c r="N1472">
        <v>48.223876953000001</v>
      </c>
    </row>
    <row r="1473" spans="1:14" x14ac:dyDescent="0.25">
      <c r="A1473">
        <v>1121.6853309999999</v>
      </c>
      <c r="B1473" s="1">
        <f>DATE(2013,5,26) + TIME(16,26,52)</f>
        <v>41420.685324074075</v>
      </c>
      <c r="C1473">
        <v>2400</v>
      </c>
      <c r="D1473">
        <v>0</v>
      </c>
      <c r="E1473">
        <v>0</v>
      </c>
      <c r="F1473">
        <v>2400</v>
      </c>
      <c r="G1473">
        <v>1384.7830810999999</v>
      </c>
      <c r="H1473">
        <v>1370.6683350000001</v>
      </c>
      <c r="I1473">
        <v>1288.2923584</v>
      </c>
      <c r="J1473">
        <v>1269.1212158000001</v>
      </c>
      <c r="K1473">
        <v>80</v>
      </c>
      <c r="L1473">
        <v>79.955718993999994</v>
      </c>
      <c r="M1473">
        <v>50</v>
      </c>
      <c r="N1473">
        <v>48.180599213000001</v>
      </c>
    </row>
    <row r="1474" spans="1:14" x14ac:dyDescent="0.25">
      <c r="A1474">
        <v>1122.402096</v>
      </c>
      <c r="B1474" s="1">
        <f>DATE(2013,5,27) + TIME(9,39,1)</f>
        <v>41421.402094907404</v>
      </c>
      <c r="C1474">
        <v>2400</v>
      </c>
      <c r="D1474">
        <v>0</v>
      </c>
      <c r="E1474">
        <v>0</v>
      </c>
      <c r="F1474">
        <v>2400</v>
      </c>
      <c r="G1474">
        <v>1384.7227783000001</v>
      </c>
      <c r="H1474">
        <v>1370.6113281</v>
      </c>
      <c r="I1474">
        <v>1288.2769774999999</v>
      </c>
      <c r="J1474">
        <v>1269.1005858999999</v>
      </c>
      <c r="K1474">
        <v>80</v>
      </c>
      <c r="L1474">
        <v>79.955734253000003</v>
      </c>
      <c r="M1474">
        <v>50</v>
      </c>
      <c r="N1474">
        <v>48.136985779</v>
      </c>
    </row>
    <row r="1475" spans="1:14" x14ac:dyDescent="0.25">
      <c r="A1475">
        <v>1123.129314</v>
      </c>
      <c r="B1475" s="1">
        <f>DATE(2013,5,28) + TIME(3,6,12)</f>
        <v>41422.129305555558</v>
      </c>
      <c r="C1475">
        <v>2400</v>
      </c>
      <c r="D1475">
        <v>0</v>
      </c>
      <c r="E1475">
        <v>0</v>
      </c>
      <c r="F1475">
        <v>2400</v>
      </c>
      <c r="G1475">
        <v>1384.6630858999999</v>
      </c>
      <c r="H1475">
        <v>1370.5549315999999</v>
      </c>
      <c r="I1475">
        <v>1288.2613524999999</v>
      </c>
      <c r="J1475">
        <v>1269.0795897999999</v>
      </c>
      <c r="K1475">
        <v>80</v>
      </c>
      <c r="L1475">
        <v>79.955749511999997</v>
      </c>
      <c r="M1475">
        <v>50</v>
      </c>
      <c r="N1475">
        <v>48.092964172000002</v>
      </c>
    </row>
    <row r="1476" spans="1:14" x14ac:dyDescent="0.25">
      <c r="A1476">
        <v>1123.8697520000001</v>
      </c>
      <c r="B1476" s="1">
        <f>DATE(2013,5,28) + TIME(20,52,26)</f>
        <v>41422.869745370372</v>
      </c>
      <c r="C1476">
        <v>2400</v>
      </c>
      <c r="D1476">
        <v>0</v>
      </c>
      <c r="E1476">
        <v>0</v>
      </c>
      <c r="F1476">
        <v>2400</v>
      </c>
      <c r="G1476">
        <v>1384.6036377</v>
      </c>
      <c r="H1476">
        <v>1370.4989014</v>
      </c>
      <c r="I1476">
        <v>1288.2453613</v>
      </c>
      <c r="J1476">
        <v>1269.0579834</v>
      </c>
      <c r="K1476">
        <v>80</v>
      </c>
      <c r="L1476">
        <v>79.955764771000005</v>
      </c>
      <c r="M1476">
        <v>50</v>
      </c>
      <c r="N1476">
        <v>48.048423767000003</v>
      </c>
    </row>
    <row r="1477" spans="1:14" x14ac:dyDescent="0.25">
      <c r="A1477">
        <v>1124.6264940000001</v>
      </c>
      <c r="B1477" s="1">
        <f>DATE(2013,5,29) + TIME(15,2,9)</f>
        <v>41423.626493055555</v>
      </c>
      <c r="C1477">
        <v>2400</v>
      </c>
      <c r="D1477">
        <v>0</v>
      </c>
      <c r="E1477">
        <v>0</v>
      </c>
      <c r="F1477">
        <v>2400</v>
      </c>
      <c r="G1477">
        <v>1384.5444336</v>
      </c>
      <c r="H1477">
        <v>1370.4428711</v>
      </c>
      <c r="I1477">
        <v>1288.2290039</v>
      </c>
      <c r="J1477">
        <v>1269.0358887</v>
      </c>
      <c r="K1477">
        <v>80</v>
      </c>
      <c r="L1477">
        <v>79.955780028999996</v>
      </c>
      <c r="M1477">
        <v>50</v>
      </c>
      <c r="N1477">
        <v>48.003227234000001</v>
      </c>
    </row>
    <row r="1478" spans="1:14" x14ac:dyDescent="0.25">
      <c r="A1478">
        <v>1125.3987790000001</v>
      </c>
      <c r="B1478" s="1">
        <f>DATE(2013,5,30) + TIME(9,34,14)</f>
        <v>41424.398773148147</v>
      </c>
      <c r="C1478">
        <v>2400</v>
      </c>
      <c r="D1478">
        <v>0</v>
      </c>
      <c r="E1478">
        <v>0</v>
      </c>
      <c r="F1478">
        <v>2400</v>
      </c>
      <c r="G1478">
        <v>1384.4852295000001</v>
      </c>
      <c r="H1478">
        <v>1370.3867187999999</v>
      </c>
      <c r="I1478">
        <v>1288.2120361</v>
      </c>
      <c r="J1478">
        <v>1269.0129394999999</v>
      </c>
      <c r="K1478">
        <v>80</v>
      </c>
      <c r="L1478">
        <v>79.955795288000004</v>
      </c>
      <c r="M1478">
        <v>50</v>
      </c>
      <c r="N1478">
        <v>47.957332610999998</v>
      </c>
    </row>
    <row r="1479" spans="1:14" x14ac:dyDescent="0.25">
      <c r="A1479">
        <v>1126.187831</v>
      </c>
      <c r="B1479" s="1">
        <f>DATE(2013,5,31) + TIME(4,30,28)</f>
        <v>41425.187824074077</v>
      </c>
      <c r="C1479">
        <v>2400</v>
      </c>
      <c r="D1479">
        <v>0</v>
      </c>
      <c r="E1479">
        <v>0</v>
      </c>
      <c r="F1479">
        <v>2400</v>
      </c>
      <c r="G1479">
        <v>1384.4259033000001</v>
      </c>
      <c r="H1479">
        <v>1370.3304443</v>
      </c>
      <c r="I1479">
        <v>1288.1947021000001</v>
      </c>
      <c r="J1479">
        <v>1268.9895019999999</v>
      </c>
      <c r="K1479">
        <v>80</v>
      </c>
      <c r="L1479">
        <v>79.955818175999994</v>
      </c>
      <c r="M1479">
        <v>50</v>
      </c>
      <c r="N1479">
        <v>47.910682678000001</v>
      </c>
    </row>
    <row r="1480" spans="1:14" x14ac:dyDescent="0.25">
      <c r="A1480">
        <v>1127</v>
      </c>
      <c r="B1480" s="1">
        <f>DATE(2013,6,1) + TIME(0,0,0)</f>
        <v>41426</v>
      </c>
      <c r="C1480">
        <v>2400</v>
      </c>
      <c r="D1480">
        <v>0</v>
      </c>
      <c r="E1480">
        <v>0</v>
      </c>
      <c r="F1480">
        <v>2400</v>
      </c>
      <c r="G1480">
        <v>1384.3664550999999</v>
      </c>
      <c r="H1480">
        <v>1370.2740478999999</v>
      </c>
      <c r="I1480">
        <v>1288.1767577999999</v>
      </c>
      <c r="J1480">
        <v>1268.9650879000001</v>
      </c>
      <c r="K1480">
        <v>80</v>
      </c>
      <c r="L1480">
        <v>79.955833435000002</v>
      </c>
      <c r="M1480">
        <v>50</v>
      </c>
      <c r="N1480">
        <v>47.863048552999999</v>
      </c>
    </row>
    <row r="1481" spans="1:14" x14ac:dyDescent="0.25">
      <c r="A1481">
        <v>1127.809041</v>
      </c>
      <c r="B1481" s="1">
        <f>DATE(2013,6,1) + TIME(19,25,1)</f>
        <v>41426.809039351851</v>
      </c>
      <c r="C1481">
        <v>2400</v>
      </c>
      <c r="D1481">
        <v>0</v>
      </c>
      <c r="E1481">
        <v>0</v>
      </c>
      <c r="F1481">
        <v>2400</v>
      </c>
      <c r="G1481">
        <v>1384.3063964999999</v>
      </c>
      <c r="H1481">
        <v>1370.2171631000001</v>
      </c>
      <c r="I1481">
        <v>1288.1580810999999</v>
      </c>
      <c r="J1481">
        <v>1268.9399414</v>
      </c>
      <c r="K1481">
        <v>80</v>
      </c>
      <c r="L1481">
        <v>79.955856323000006</v>
      </c>
      <c r="M1481">
        <v>50</v>
      </c>
      <c r="N1481">
        <v>47.815135955999999</v>
      </c>
    </row>
    <row r="1482" spans="1:14" x14ac:dyDescent="0.25">
      <c r="A1482">
        <v>1128.6691080000001</v>
      </c>
      <c r="B1482" s="1">
        <f>DATE(2013,6,2) + TIME(16,3,30)</f>
        <v>41427.66909722222</v>
      </c>
      <c r="C1482">
        <v>2400</v>
      </c>
      <c r="D1482">
        <v>0</v>
      </c>
      <c r="E1482">
        <v>0</v>
      </c>
      <c r="F1482">
        <v>2400</v>
      </c>
      <c r="G1482">
        <v>1384.2478027</v>
      </c>
      <c r="H1482">
        <v>1370.161499</v>
      </c>
      <c r="I1482">
        <v>1288.1394043</v>
      </c>
      <c r="J1482">
        <v>1268.9143065999999</v>
      </c>
      <c r="K1482">
        <v>80</v>
      </c>
      <c r="L1482">
        <v>79.955879210999996</v>
      </c>
      <c r="M1482">
        <v>50</v>
      </c>
      <c r="N1482">
        <v>47.765632629000002</v>
      </c>
    </row>
    <row r="1483" spans="1:14" x14ac:dyDescent="0.25">
      <c r="A1483">
        <v>1129.5591690000001</v>
      </c>
      <c r="B1483" s="1">
        <f>DATE(2013,6,3) + TIME(13,25,12)</f>
        <v>41428.559166666666</v>
      </c>
      <c r="C1483">
        <v>2400</v>
      </c>
      <c r="D1483">
        <v>0</v>
      </c>
      <c r="E1483">
        <v>0</v>
      </c>
      <c r="F1483">
        <v>2400</v>
      </c>
      <c r="G1483">
        <v>1384.1867675999999</v>
      </c>
      <c r="H1483">
        <v>1370.1035156</v>
      </c>
      <c r="I1483">
        <v>1288.1192627</v>
      </c>
      <c r="J1483">
        <v>1268.8869629000001</v>
      </c>
      <c r="K1483">
        <v>80</v>
      </c>
      <c r="L1483">
        <v>79.955902100000003</v>
      </c>
      <c r="M1483">
        <v>50</v>
      </c>
      <c r="N1483">
        <v>47.714572906000001</v>
      </c>
    </row>
    <row r="1484" spans="1:14" x14ac:dyDescent="0.25">
      <c r="A1484">
        <v>1130.450517</v>
      </c>
      <c r="B1484" s="1">
        <f>DATE(2013,6,4) + TIME(10,48,44)</f>
        <v>41429.450509259259</v>
      </c>
      <c r="C1484">
        <v>2400</v>
      </c>
      <c r="D1484">
        <v>0</v>
      </c>
      <c r="E1484">
        <v>0</v>
      </c>
      <c r="F1484">
        <v>2400</v>
      </c>
      <c r="G1484">
        <v>1384.1247559000001</v>
      </c>
      <c r="H1484">
        <v>1370.0444336</v>
      </c>
      <c r="I1484">
        <v>1288.0981445</v>
      </c>
      <c r="J1484">
        <v>1268.8583983999999</v>
      </c>
      <c r="K1484">
        <v>80</v>
      </c>
      <c r="L1484">
        <v>79.955924988000007</v>
      </c>
      <c r="M1484">
        <v>50</v>
      </c>
      <c r="N1484">
        <v>47.662754059000001</v>
      </c>
    </row>
    <row r="1485" spans="1:14" x14ac:dyDescent="0.25">
      <c r="A1485">
        <v>1131.34626</v>
      </c>
      <c r="B1485" s="1">
        <f>DATE(2013,6,5) + TIME(8,18,36)</f>
        <v>41430.346250000002</v>
      </c>
      <c r="C1485">
        <v>2400</v>
      </c>
      <c r="D1485">
        <v>0</v>
      </c>
      <c r="E1485">
        <v>0</v>
      </c>
      <c r="F1485">
        <v>2400</v>
      </c>
      <c r="G1485">
        <v>1384.0638428</v>
      </c>
      <c r="H1485">
        <v>1369.9864502</v>
      </c>
      <c r="I1485">
        <v>1288.0766602000001</v>
      </c>
      <c r="J1485">
        <v>1268.8293457</v>
      </c>
      <c r="K1485">
        <v>80</v>
      </c>
      <c r="L1485">
        <v>79.955947875999996</v>
      </c>
      <c r="M1485">
        <v>50</v>
      </c>
      <c r="N1485">
        <v>47.610527038999997</v>
      </c>
    </row>
    <row r="1486" spans="1:14" x14ac:dyDescent="0.25">
      <c r="A1486">
        <v>1132.2495489999999</v>
      </c>
      <c r="B1486" s="1">
        <f>DATE(2013,6,6) + TIME(5,59,21)</f>
        <v>41431.249548611115</v>
      </c>
      <c r="C1486">
        <v>2400</v>
      </c>
      <c r="D1486">
        <v>0</v>
      </c>
      <c r="E1486">
        <v>0</v>
      </c>
      <c r="F1486">
        <v>2400</v>
      </c>
      <c r="G1486">
        <v>1384.0039062000001</v>
      </c>
      <c r="H1486">
        <v>1369.9293213000001</v>
      </c>
      <c r="I1486">
        <v>1288.0549315999999</v>
      </c>
      <c r="J1486">
        <v>1268.7996826000001</v>
      </c>
      <c r="K1486">
        <v>80</v>
      </c>
      <c r="L1486">
        <v>79.955970764</v>
      </c>
      <c r="M1486">
        <v>50</v>
      </c>
      <c r="N1486">
        <v>47.557960510000001</v>
      </c>
    </row>
    <row r="1487" spans="1:14" x14ac:dyDescent="0.25">
      <c r="A1487">
        <v>1133.163552</v>
      </c>
      <c r="B1487" s="1">
        <f>DATE(2013,6,7) + TIME(3,55,30)</f>
        <v>41432.163541666669</v>
      </c>
      <c r="C1487">
        <v>2400</v>
      </c>
      <c r="D1487">
        <v>0</v>
      </c>
      <c r="E1487">
        <v>0</v>
      </c>
      <c r="F1487">
        <v>2400</v>
      </c>
      <c r="G1487">
        <v>1383.9444579999999</v>
      </c>
      <c r="H1487">
        <v>1369.8726807</v>
      </c>
      <c r="I1487">
        <v>1288.0327147999999</v>
      </c>
      <c r="J1487">
        <v>1268.7692870999999</v>
      </c>
      <c r="K1487">
        <v>80</v>
      </c>
      <c r="L1487">
        <v>79.955993652000004</v>
      </c>
      <c r="M1487">
        <v>50</v>
      </c>
      <c r="N1487">
        <v>47.505001067999999</v>
      </c>
    </row>
    <row r="1488" spans="1:14" x14ac:dyDescent="0.25">
      <c r="A1488">
        <v>1134.091518</v>
      </c>
      <c r="B1488" s="1">
        <f>DATE(2013,6,8) + TIME(2,11,47)</f>
        <v>41433.091516203705</v>
      </c>
      <c r="C1488">
        <v>2400</v>
      </c>
      <c r="D1488">
        <v>0</v>
      </c>
      <c r="E1488">
        <v>0</v>
      </c>
      <c r="F1488">
        <v>2400</v>
      </c>
      <c r="G1488">
        <v>1383.8854980000001</v>
      </c>
      <c r="H1488">
        <v>1369.8162841999999</v>
      </c>
      <c r="I1488">
        <v>1288.0100098</v>
      </c>
      <c r="J1488">
        <v>1268.7381591999999</v>
      </c>
      <c r="K1488">
        <v>80</v>
      </c>
      <c r="L1488">
        <v>79.956016540999997</v>
      </c>
      <c r="M1488">
        <v>50</v>
      </c>
      <c r="N1488">
        <v>47.451515198000003</v>
      </c>
    </row>
    <row r="1489" spans="1:14" x14ac:dyDescent="0.25">
      <c r="A1489">
        <v>1135.036859</v>
      </c>
      <c r="B1489" s="1">
        <f>DATE(2013,6,9) + TIME(0,53,4)</f>
        <v>41434.036851851852</v>
      </c>
      <c r="C1489">
        <v>2400</v>
      </c>
      <c r="D1489">
        <v>0</v>
      </c>
      <c r="E1489">
        <v>0</v>
      </c>
      <c r="F1489">
        <v>2400</v>
      </c>
      <c r="G1489">
        <v>1383.8266602000001</v>
      </c>
      <c r="H1489">
        <v>1369.7601318</v>
      </c>
      <c r="I1489">
        <v>1287.9866943</v>
      </c>
      <c r="J1489">
        <v>1268.7061768000001</v>
      </c>
      <c r="K1489">
        <v>80</v>
      </c>
      <c r="L1489">
        <v>79.956039429</v>
      </c>
      <c r="M1489">
        <v>50</v>
      </c>
      <c r="N1489">
        <v>47.397342682000001</v>
      </c>
    </row>
    <row r="1490" spans="1:14" x14ac:dyDescent="0.25">
      <c r="A1490">
        <v>1136.0032140000001</v>
      </c>
      <c r="B1490" s="1">
        <f>DATE(2013,6,10) + TIME(0,4,37)</f>
        <v>41435.003206018519</v>
      </c>
      <c r="C1490">
        <v>2400</v>
      </c>
      <c r="D1490">
        <v>0</v>
      </c>
      <c r="E1490">
        <v>0</v>
      </c>
      <c r="F1490">
        <v>2400</v>
      </c>
      <c r="G1490">
        <v>1383.7677002</v>
      </c>
      <c r="H1490">
        <v>1369.7037353999999</v>
      </c>
      <c r="I1490">
        <v>1287.9626464999999</v>
      </c>
      <c r="J1490">
        <v>1268.6729736</v>
      </c>
      <c r="K1490">
        <v>80</v>
      </c>
      <c r="L1490">
        <v>79.956069946</v>
      </c>
      <c r="M1490">
        <v>50</v>
      </c>
      <c r="N1490">
        <v>47.342292786000002</v>
      </c>
    </row>
    <row r="1491" spans="1:14" x14ac:dyDescent="0.25">
      <c r="A1491">
        <v>1136.9950739999999</v>
      </c>
      <c r="B1491" s="1">
        <f>DATE(2013,6,10) + TIME(23,52,54)</f>
        <v>41435.995069444441</v>
      </c>
      <c r="C1491">
        <v>2400</v>
      </c>
      <c r="D1491">
        <v>0</v>
      </c>
      <c r="E1491">
        <v>0</v>
      </c>
      <c r="F1491">
        <v>2400</v>
      </c>
      <c r="G1491">
        <v>1383.7086182</v>
      </c>
      <c r="H1491">
        <v>1369.6472168</v>
      </c>
      <c r="I1491">
        <v>1287.9376221</v>
      </c>
      <c r="J1491">
        <v>1268.6385498</v>
      </c>
      <c r="K1491">
        <v>80</v>
      </c>
      <c r="L1491">
        <v>79.956092834000003</v>
      </c>
      <c r="M1491">
        <v>50</v>
      </c>
      <c r="N1491">
        <v>47.286144256999997</v>
      </c>
    </row>
    <row r="1492" spans="1:14" x14ac:dyDescent="0.25">
      <c r="A1492">
        <v>1138.0166730000001</v>
      </c>
      <c r="B1492" s="1">
        <f>DATE(2013,6,12) + TIME(0,24,0)</f>
        <v>41437.01666666667</v>
      </c>
      <c r="C1492">
        <v>2400</v>
      </c>
      <c r="D1492">
        <v>0</v>
      </c>
      <c r="E1492">
        <v>0</v>
      </c>
      <c r="F1492">
        <v>2400</v>
      </c>
      <c r="G1492">
        <v>1383.6490478999999</v>
      </c>
      <c r="H1492">
        <v>1369.5900879000001</v>
      </c>
      <c r="I1492">
        <v>1287.9116211</v>
      </c>
      <c r="J1492">
        <v>1268.6026611</v>
      </c>
      <c r="K1492">
        <v>80</v>
      </c>
      <c r="L1492">
        <v>79.956123352000006</v>
      </c>
      <c r="M1492">
        <v>50</v>
      </c>
      <c r="N1492">
        <v>47.228664397999999</v>
      </c>
    </row>
    <row r="1493" spans="1:14" x14ac:dyDescent="0.25">
      <c r="A1493">
        <v>1139.0728919999999</v>
      </c>
      <c r="B1493" s="1">
        <f>DATE(2013,6,13) + TIME(1,44,57)</f>
        <v>41438.072881944441</v>
      </c>
      <c r="C1493">
        <v>2400</v>
      </c>
      <c r="D1493">
        <v>0</v>
      </c>
      <c r="E1493">
        <v>0</v>
      </c>
      <c r="F1493">
        <v>2400</v>
      </c>
      <c r="G1493">
        <v>1383.5887451000001</v>
      </c>
      <c r="H1493">
        <v>1369.5322266000001</v>
      </c>
      <c r="I1493">
        <v>1287.8845214999999</v>
      </c>
      <c r="J1493">
        <v>1268.5651855000001</v>
      </c>
      <c r="K1493">
        <v>80</v>
      </c>
      <c r="L1493">
        <v>79.956153869999994</v>
      </c>
      <c r="M1493">
        <v>50</v>
      </c>
      <c r="N1493">
        <v>47.169589995999999</v>
      </c>
    </row>
    <row r="1494" spans="1:14" x14ac:dyDescent="0.25">
      <c r="A1494">
        <v>1140.1525329999999</v>
      </c>
      <c r="B1494" s="1">
        <f>DATE(2013,6,14) + TIME(3,39,38)</f>
        <v>41439.15252314815</v>
      </c>
      <c r="C1494">
        <v>2400</v>
      </c>
      <c r="D1494">
        <v>0</v>
      </c>
      <c r="E1494">
        <v>0</v>
      </c>
      <c r="F1494">
        <v>2400</v>
      </c>
      <c r="G1494">
        <v>1383.5274658000001</v>
      </c>
      <c r="H1494">
        <v>1369.4735106999999</v>
      </c>
      <c r="I1494">
        <v>1287.8560791</v>
      </c>
      <c r="J1494">
        <v>1268.5257568</v>
      </c>
      <c r="K1494">
        <v>80</v>
      </c>
      <c r="L1494">
        <v>79.956184386999993</v>
      </c>
      <c r="M1494">
        <v>50</v>
      </c>
      <c r="N1494">
        <v>47.10905838</v>
      </c>
    </row>
    <row r="1495" spans="1:14" x14ac:dyDescent="0.25">
      <c r="A1495">
        <v>1141.2355700000001</v>
      </c>
      <c r="B1495" s="1">
        <f>DATE(2013,6,15) + TIME(5,39,13)</f>
        <v>41440.235567129632</v>
      </c>
      <c r="C1495">
        <v>2400</v>
      </c>
      <c r="D1495">
        <v>0</v>
      </c>
      <c r="E1495">
        <v>0</v>
      </c>
      <c r="F1495">
        <v>2400</v>
      </c>
      <c r="G1495">
        <v>1383.4659423999999</v>
      </c>
      <c r="H1495">
        <v>1369.4144286999999</v>
      </c>
      <c r="I1495">
        <v>1287.8264160000001</v>
      </c>
      <c r="J1495">
        <v>1268.4848632999999</v>
      </c>
      <c r="K1495">
        <v>80</v>
      </c>
      <c r="L1495">
        <v>79.956214904999996</v>
      </c>
      <c r="M1495">
        <v>50</v>
      </c>
      <c r="N1495">
        <v>47.047683716000002</v>
      </c>
    </row>
    <row r="1496" spans="1:14" x14ac:dyDescent="0.25">
      <c r="A1496">
        <v>1142.325912</v>
      </c>
      <c r="B1496" s="1">
        <f>DATE(2013,6,16) + TIME(7,49,18)</f>
        <v>41441.325902777775</v>
      </c>
      <c r="C1496">
        <v>2400</v>
      </c>
      <c r="D1496">
        <v>0</v>
      </c>
      <c r="E1496">
        <v>0</v>
      </c>
      <c r="F1496">
        <v>2400</v>
      </c>
      <c r="G1496">
        <v>1383.4052733999999</v>
      </c>
      <c r="H1496">
        <v>1369.3560791</v>
      </c>
      <c r="I1496">
        <v>1287.7962646000001</v>
      </c>
      <c r="J1496">
        <v>1268.4428711</v>
      </c>
      <c r="K1496">
        <v>80</v>
      </c>
      <c r="L1496">
        <v>79.956245421999995</v>
      </c>
      <c r="M1496">
        <v>50</v>
      </c>
      <c r="N1496">
        <v>46.985767365000001</v>
      </c>
    </row>
    <row r="1497" spans="1:14" x14ac:dyDescent="0.25">
      <c r="A1497">
        <v>1143.4275110000001</v>
      </c>
      <c r="B1497" s="1">
        <f>DATE(2013,6,17) + TIME(10,15,36)</f>
        <v>41442.427499999998</v>
      </c>
      <c r="C1497">
        <v>2400</v>
      </c>
      <c r="D1497">
        <v>0</v>
      </c>
      <c r="E1497">
        <v>0</v>
      </c>
      <c r="F1497">
        <v>2400</v>
      </c>
      <c r="G1497">
        <v>1383.3453368999999</v>
      </c>
      <c r="H1497">
        <v>1369.2983397999999</v>
      </c>
      <c r="I1497">
        <v>1287.7653809000001</v>
      </c>
      <c r="J1497">
        <v>1268.3999022999999</v>
      </c>
      <c r="K1497">
        <v>80</v>
      </c>
      <c r="L1497">
        <v>79.956275939999998</v>
      </c>
      <c r="M1497">
        <v>50</v>
      </c>
      <c r="N1497">
        <v>46.923316956000001</v>
      </c>
    </row>
    <row r="1498" spans="1:14" x14ac:dyDescent="0.25">
      <c r="A1498">
        <v>1144.5443990000001</v>
      </c>
      <c r="B1498" s="1">
        <f>DATE(2013,6,18) + TIME(13,3,56)</f>
        <v>41443.544398148151</v>
      </c>
      <c r="C1498">
        <v>2400</v>
      </c>
      <c r="D1498">
        <v>0</v>
      </c>
      <c r="E1498">
        <v>0</v>
      </c>
      <c r="F1498">
        <v>2400</v>
      </c>
      <c r="G1498">
        <v>1383.2857666</v>
      </c>
      <c r="H1498">
        <v>1369.2409668</v>
      </c>
      <c r="I1498">
        <v>1287.7336425999999</v>
      </c>
      <c r="J1498">
        <v>1268.3555908000001</v>
      </c>
      <c r="K1498">
        <v>80</v>
      </c>
      <c r="L1498">
        <v>79.956306458</v>
      </c>
      <c r="M1498">
        <v>50</v>
      </c>
      <c r="N1498">
        <v>46.860195160000004</v>
      </c>
    </row>
    <row r="1499" spans="1:14" x14ac:dyDescent="0.25">
      <c r="A1499">
        <v>1145.6807980000001</v>
      </c>
      <c r="B1499" s="1">
        <f>DATE(2013,6,19) + TIME(16,20,20)</f>
        <v>41444.680787037039</v>
      </c>
      <c r="C1499">
        <v>2400</v>
      </c>
      <c r="D1499">
        <v>0</v>
      </c>
      <c r="E1499">
        <v>0</v>
      </c>
      <c r="F1499">
        <v>2400</v>
      </c>
      <c r="G1499">
        <v>1383.2263184000001</v>
      </c>
      <c r="H1499">
        <v>1369.1837158000001</v>
      </c>
      <c r="I1499">
        <v>1287.7010498</v>
      </c>
      <c r="J1499">
        <v>1268.3098144999999</v>
      </c>
      <c r="K1499">
        <v>80</v>
      </c>
      <c r="L1499">
        <v>79.956336974999999</v>
      </c>
      <c r="M1499">
        <v>50</v>
      </c>
      <c r="N1499">
        <v>46.796199799</v>
      </c>
    </row>
    <row r="1500" spans="1:14" x14ac:dyDescent="0.25">
      <c r="A1500">
        <v>1146.8412249999999</v>
      </c>
      <c r="B1500" s="1">
        <f>DATE(2013,6,20) + TIME(20,11,21)</f>
        <v>41445.841215277775</v>
      </c>
      <c r="C1500">
        <v>2400</v>
      </c>
      <c r="D1500">
        <v>0</v>
      </c>
      <c r="E1500">
        <v>0</v>
      </c>
      <c r="F1500">
        <v>2400</v>
      </c>
      <c r="G1500">
        <v>1383.1668701000001</v>
      </c>
      <c r="H1500">
        <v>1369.1263428</v>
      </c>
      <c r="I1500">
        <v>1287.6673584</v>
      </c>
      <c r="J1500">
        <v>1268.2624512</v>
      </c>
      <c r="K1500">
        <v>80</v>
      </c>
      <c r="L1500">
        <v>79.956375121999997</v>
      </c>
      <c r="M1500">
        <v>50</v>
      </c>
      <c r="N1500">
        <v>46.731101989999999</v>
      </c>
    </row>
    <row r="1501" spans="1:14" x14ac:dyDescent="0.25">
      <c r="A1501">
        <v>1148.0309480000001</v>
      </c>
      <c r="B1501" s="1">
        <f>DATE(2013,6,22) + TIME(0,44,33)</f>
        <v>41447.0309375</v>
      </c>
      <c r="C1501">
        <v>2400</v>
      </c>
      <c r="D1501">
        <v>0</v>
      </c>
      <c r="E1501">
        <v>0</v>
      </c>
      <c r="F1501">
        <v>2400</v>
      </c>
      <c r="G1501">
        <v>1383.1071777</v>
      </c>
      <c r="H1501">
        <v>1369.0686035000001</v>
      </c>
      <c r="I1501">
        <v>1287.6323242000001</v>
      </c>
      <c r="J1501">
        <v>1268.2130127</v>
      </c>
      <c r="K1501">
        <v>80</v>
      </c>
      <c r="L1501">
        <v>79.95640564</v>
      </c>
      <c r="M1501">
        <v>50</v>
      </c>
      <c r="N1501">
        <v>46.664615630999997</v>
      </c>
    </row>
    <row r="1502" spans="1:14" x14ac:dyDescent="0.25">
      <c r="A1502">
        <v>1149.2471009999999</v>
      </c>
      <c r="B1502" s="1">
        <f>DATE(2013,6,23) + TIME(5,55,49)</f>
        <v>41448.247094907405</v>
      </c>
      <c r="C1502">
        <v>2400</v>
      </c>
      <c r="D1502">
        <v>0</v>
      </c>
      <c r="E1502">
        <v>0</v>
      </c>
      <c r="F1502">
        <v>2400</v>
      </c>
      <c r="G1502">
        <v>1383.046875</v>
      </c>
      <c r="H1502">
        <v>1369.010376</v>
      </c>
      <c r="I1502">
        <v>1287.5957031</v>
      </c>
      <c r="J1502">
        <v>1268.161499</v>
      </c>
      <c r="K1502">
        <v>80</v>
      </c>
      <c r="L1502">
        <v>79.956443786999998</v>
      </c>
      <c r="M1502">
        <v>50</v>
      </c>
      <c r="N1502">
        <v>46.596637725999997</v>
      </c>
    </row>
    <row r="1503" spans="1:14" x14ac:dyDescent="0.25">
      <c r="A1503">
        <v>1150.4798089999999</v>
      </c>
      <c r="B1503" s="1">
        <f>DATE(2013,6,24) + TIME(11,30,55)</f>
        <v>41449.479803240742</v>
      </c>
      <c r="C1503">
        <v>2400</v>
      </c>
      <c r="D1503">
        <v>0</v>
      </c>
      <c r="E1503">
        <v>0</v>
      </c>
      <c r="F1503">
        <v>2400</v>
      </c>
      <c r="G1503">
        <v>1382.9863281</v>
      </c>
      <c r="H1503">
        <v>1368.9516602000001</v>
      </c>
      <c r="I1503">
        <v>1287.5577393000001</v>
      </c>
      <c r="J1503">
        <v>1268.1077881000001</v>
      </c>
      <c r="K1503">
        <v>80</v>
      </c>
      <c r="L1503">
        <v>79.956481933999996</v>
      </c>
      <c r="M1503">
        <v>50</v>
      </c>
      <c r="N1503">
        <v>46.527359009000001</v>
      </c>
    </row>
    <row r="1504" spans="1:14" x14ac:dyDescent="0.25">
      <c r="A1504">
        <v>1151.7343109999999</v>
      </c>
      <c r="B1504" s="1">
        <f>DATE(2013,6,25) + TIME(17,37,24)</f>
        <v>41450.734305555554</v>
      </c>
      <c r="C1504">
        <v>2400</v>
      </c>
      <c r="D1504">
        <v>0</v>
      </c>
      <c r="E1504">
        <v>0</v>
      </c>
      <c r="F1504">
        <v>2400</v>
      </c>
      <c r="G1504">
        <v>1382.9259033000001</v>
      </c>
      <c r="H1504">
        <v>1368.8931885</v>
      </c>
      <c r="I1504">
        <v>1287.5185547000001</v>
      </c>
      <c r="J1504">
        <v>1268.0522461</v>
      </c>
      <c r="K1504">
        <v>80</v>
      </c>
      <c r="L1504">
        <v>79.956512450999995</v>
      </c>
      <c r="M1504">
        <v>50</v>
      </c>
      <c r="N1504">
        <v>46.456817627</v>
      </c>
    </row>
    <row r="1505" spans="1:14" x14ac:dyDescent="0.25">
      <c r="A1505">
        <v>1153.0162439999999</v>
      </c>
      <c r="B1505" s="1">
        <f>DATE(2013,6,27) + TIME(0,23,23)</f>
        <v>41452.016238425924</v>
      </c>
      <c r="C1505">
        <v>2400</v>
      </c>
      <c r="D1505">
        <v>0</v>
      </c>
      <c r="E1505">
        <v>0</v>
      </c>
      <c r="F1505">
        <v>2400</v>
      </c>
      <c r="G1505">
        <v>1382.8653564000001</v>
      </c>
      <c r="H1505">
        <v>1368.8344727000001</v>
      </c>
      <c r="I1505">
        <v>1287.4779053</v>
      </c>
      <c r="J1505">
        <v>1267.9943848</v>
      </c>
      <c r="K1505">
        <v>80</v>
      </c>
      <c r="L1505">
        <v>79.956550598000007</v>
      </c>
      <c r="M1505">
        <v>50</v>
      </c>
      <c r="N1505">
        <v>46.384838104000004</v>
      </c>
    </row>
    <row r="1506" spans="1:14" x14ac:dyDescent="0.25">
      <c r="A1506">
        <v>1154.324126</v>
      </c>
      <c r="B1506" s="1">
        <f>DATE(2013,6,28) + TIME(7,46,44)</f>
        <v>41453.324120370373</v>
      </c>
      <c r="C1506">
        <v>2400</v>
      </c>
      <c r="D1506">
        <v>0</v>
      </c>
      <c r="E1506">
        <v>0</v>
      </c>
      <c r="F1506">
        <v>2400</v>
      </c>
      <c r="G1506">
        <v>1382.8045654</v>
      </c>
      <c r="H1506">
        <v>1368.7753906</v>
      </c>
      <c r="I1506">
        <v>1287.4356689000001</v>
      </c>
      <c r="J1506">
        <v>1267.9342041</v>
      </c>
      <c r="K1506">
        <v>80</v>
      </c>
      <c r="L1506">
        <v>79.956588745000005</v>
      </c>
      <c r="M1506">
        <v>50</v>
      </c>
      <c r="N1506">
        <v>46.311298370000003</v>
      </c>
    </row>
    <row r="1507" spans="1:14" x14ac:dyDescent="0.25">
      <c r="A1507">
        <v>1155.645771</v>
      </c>
      <c r="B1507" s="1">
        <f>DATE(2013,6,29) + TIME(15,29,54)</f>
        <v>41454.64576388889</v>
      </c>
      <c r="C1507">
        <v>2400</v>
      </c>
      <c r="D1507">
        <v>0</v>
      </c>
      <c r="E1507">
        <v>0</v>
      </c>
      <c r="F1507">
        <v>2400</v>
      </c>
      <c r="G1507">
        <v>1382.7434082</v>
      </c>
      <c r="H1507">
        <v>1368.7159423999999</v>
      </c>
      <c r="I1507">
        <v>1287.3917236</v>
      </c>
      <c r="J1507">
        <v>1267.871582</v>
      </c>
      <c r="K1507">
        <v>80</v>
      </c>
      <c r="L1507">
        <v>79.956634520999998</v>
      </c>
      <c r="M1507">
        <v>50</v>
      </c>
      <c r="N1507">
        <v>46.236427307</v>
      </c>
    </row>
    <row r="1508" spans="1:14" x14ac:dyDescent="0.25">
      <c r="A1508">
        <v>1157</v>
      </c>
      <c r="B1508" s="1">
        <f>DATE(2013,7,1) + TIME(0,0,0)</f>
        <v>41456</v>
      </c>
      <c r="C1508">
        <v>2400</v>
      </c>
      <c r="D1508">
        <v>0</v>
      </c>
      <c r="E1508">
        <v>0</v>
      </c>
      <c r="F1508">
        <v>2400</v>
      </c>
      <c r="G1508">
        <v>1382.6826172000001</v>
      </c>
      <c r="H1508">
        <v>1368.6568603999999</v>
      </c>
      <c r="I1508">
        <v>1287.3466797000001</v>
      </c>
      <c r="J1508">
        <v>1267.8067627</v>
      </c>
      <c r="K1508">
        <v>80</v>
      </c>
      <c r="L1508">
        <v>79.956672667999996</v>
      </c>
      <c r="M1508">
        <v>50</v>
      </c>
      <c r="N1508">
        <v>46.160015106000003</v>
      </c>
    </row>
    <row r="1509" spans="1:14" x14ac:dyDescent="0.25">
      <c r="A1509">
        <v>1158.321645</v>
      </c>
      <c r="B1509" s="1">
        <f>DATE(2013,7,2) + TIME(7,43,10)</f>
        <v>41457.321643518517</v>
      </c>
      <c r="C1509">
        <v>2400</v>
      </c>
      <c r="D1509">
        <v>0</v>
      </c>
      <c r="E1509">
        <v>0</v>
      </c>
      <c r="F1509">
        <v>2400</v>
      </c>
      <c r="G1509">
        <v>1382.6213379000001</v>
      </c>
      <c r="H1509">
        <v>1368.5970459</v>
      </c>
      <c r="I1509">
        <v>1287.2995605000001</v>
      </c>
      <c r="J1509">
        <v>1267.7393798999999</v>
      </c>
      <c r="K1509">
        <v>80</v>
      </c>
      <c r="L1509">
        <v>79.956710814999994</v>
      </c>
      <c r="M1509">
        <v>50</v>
      </c>
      <c r="N1509">
        <v>46.083206177000001</v>
      </c>
    </row>
    <row r="1510" spans="1:14" x14ac:dyDescent="0.25">
      <c r="A1510">
        <v>1159.6923870000001</v>
      </c>
      <c r="B1510" s="1">
        <f>DATE(2013,7,3) + TIME(16,37,2)</f>
        <v>41458.692384259259</v>
      </c>
      <c r="C1510">
        <v>2400</v>
      </c>
      <c r="D1510">
        <v>0</v>
      </c>
      <c r="E1510">
        <v>0</v>
      </c>
      <c r="F1510">
        <v>2400</v>
      </c>
      <c r="G1510">
        <v>1382.5623779</v>
      </c>
      <c r="H1510">
        <v>1368.5395507999999</v>
      </c>
      <c r="I1510">
        <v>1287.2526855000001</v>
      </c>
      <c r="J1510">
        <v>1267.6715088000001</v>
      </c>
      <c r="K1510">
        <v>80</v>
      </c>
      <c r="L1510">
        <v>79.956748962000006</v>
      </c>
      <c r="M1510">
        <v>50</v>
      </c>
      <c r="N1510">
        <v>46.005374908</v>
      </c>
    </row>
    <row r="1511" spans="1:14" x14ac:dyDescent="0.25">
      <c r="A1511">
        <v>1161.0810300000001</v>
      </c>
      <c r="B1511" s="1">
        <f>DATE(2013,7,5) + TIME(1,56,41)</f>
        <v>41460.081030092595</v>
      </c>
      <c r="C1511">
        <v>2400</v>
      </c>
      <c r="D1511">
        <v>0</v>
      </c>
      <c r="E1511">
        <v>0</v>
      </c>
      <c r="F1511">
        <v>2400</v>
      </c>
      <c r="G1511">
        <v>1382.5020752</v>
      </c>
      <c r="H1511">
        <v>1368.4808350000001</v>
      </c>
      <c r="I1511">
        <v>1287.2033690999999</v>
      </c>
      <c r="J1511">
        <v>1267.6000977000001</v>
      </c>
      <c r="K1511">
        <v>80</v>
      </c>
      <c r="L1511">
        <v>79.956794739000003</v>
      </c>
      <c r="M1511">
        <v>50</v>
      </c>
      <c r="N1511">
        <v>45.925975800000003</v>
      </c>
    </row>
    <row r="1512" spans="1:14" x14ac:dyDescent="0.25">
      <c r="A1512">
        <v>1162.4934479999999</v>
      </c>
      <c r="B1512" s="1">
        <f>DATE(2013,7,6) + TIME(11,50,33)</f>
        <v>41461.493437500001</v>
      </c>
      <c r="C1512">
        <v>2400</v>
      </c>
      <c r="D1512">
        <v>0</v>
      </c>
      <c r="E1512">
        <v>0</v>
      </c>
      <c r="F1512">
        <v>2400</v>
      </c>
      <c r="G1512">
        <v>1382.4420166</v>
      </c>
      <c r="H1512">
        <v>1368.4221190999999</v>
      </c>
      <c r="I1512">
        <v>1287.1524658000001</v>
      </c>
      <c r="J1512">
        <v>1267.5262451000001</v>
      </c>
      <c r="K1512">
        <v>80</v>
      </c>
      <c r="L1512">
        <v>79.956840514999996</v>
      </c>
      <c r="M1512">
        <v>50</v>
      </c>
      <c r="N1512">
        <v>45.845016479000002</v>
      </c>
    </row>
    <row r="1513" spans="1:14" x14ac:dyDescent="0.25">
      <c r="A1513">
        <v>1163.936404</v>
      </c>
      <c r="B1513" s="1">
        <f>DATE(2013,7,7) + TIME(22,28,25)</f>
        <v>41462.936400462961</v>
      </c>
      <c r="C1513">
        <v>2400</v>
      </c>
      <c r="D1513">
        <v>0</v>
      </c>
      <c r="E1513">
        <v>0</v>
      </c>
      <c r="F1513">
        <v>2400</v>
      </c>
      <c r="G1513">
        <v>1382.3818358999999</v>
      </c>
      <c r="H1513">
        <v>1368.3631591999999</v>
      </c>
      <c r="I1513">
        <v>1287.0997314000001</v>
      </c>
      <c r="J1513">
        <v>1267.4495850000001</v>
      </c>
      <c r="K1513">
        <v>80</v>
      </c>
      <c r="L1513">
        <v>79.956878661999994</v>
      </c>
      <c r="M1513">
        <v>50</v>
      </c>
      <c r="N1513">
        <v>45.762264252000001</v>
      </c>
    </row>
    <row r="1514" spans="1:14" x14ac:dyDescent="0.25">
      <c r="A1514">
        <v>1165.4053699999999</v>
      </c>
      <c r="B1514" s="1">
        <f>DATE(2013,7,9) + TIME(9,43,43)</f>
        <v>41464.405358796299</v>
      </c>
      <c r="C1514">
        <v>2400</v>
      </c>
      <c r="D1514">
        <v>0</v>
      </c>
      <c r="E1514">
        <v>0</v>
      </c>
      <c r="F1514">
        <v>2400</v>
      </c>
      <c r="G1514">
        <v>1382.3211670000001</v>
      </c>
      <c r="H1514">
        <v>1368.3038329999999</v>
      </c>
      <c r="I1514">
        <v>1287.0450439000001</v>
      </c>
      <c r="J1514">
        <v>1267.369751</v>
      </c>
      <c r="K1514">
        <v>80</v>
      </c>
      <c r="L1514">
        <v>79.956924438000001</v>
      </c>
      <c r="M1514">
        <v>50</v>
      </c>
      <c r="N1514">
        <v>45.677597046000002</v>
      </c>
    </row>
    <row r="1515" spans="1:14" x14ac:dyDescent="0.25">
      <c r="A1515">
        <v>1166.901357</v>
      </c>
      <c r="B1515" s="1">
        <f>DATE(2013,7,10) + TIME(21,37,57)</f>
        <v>41465.901354166665</v>
      </c>
      <c r="C1515">
        <v>2400</v>
      </c>
      <c r="D1515">
        <v>0</v>
      </c>
      <c r="E1515">
        <v>0</v>
      </c>
      <c r="F1515">
        <v>2400</v>
      </c>
      <c r="G1515">
        <v>1382.260376</v>
      </c>
      <c r="H1515">
        <v>1368.2441406</v>
      </c>
      <c r="I1515">
        <v>1286.9882812000001</v>
      </c>
      <c r="J1515">
        <v>1267.2867432</v>
      </c>
      <c r="K1515">
        <v>80</v>
      </c>
      <c r="L1515">
        <v>79.956970214999998</v>
      </c>
      <c r="M1515">
        <v>50</v>
      </c>
      <c r="N1515">
        <v>45.590999603</v>
      </c>
    </row>
    <row r="1516" spans="1:14" x14ac:dyDescent="0.25">
      <c r="A1516">
        <v>1168.4224200000001</v>
      </c>
      <c r="B1516" s="1">
        <f>DATE(2013,7,12) + TIME(10,8,17)</f>
        <v>41467.422418981485</v>
      </c>
      <c r="C1516">
        <v>2400</v>
      </c>
      <c r="D1516">
        <v>0</v>
      </c>
      <c r="E1516">
        <v>0</v>
      </c>
      <c r="F1516">
        <v>2400</v>
      </c>
      <c r="G1516">
        <v>1382.1992187999999</v>
      </c>
      <c r="H1516">
        <v>1368.1843262</v>
      </c>
      <c r="I1516">
        <v>1286.9295654</v>
      </c>
      <c r="J1516">
        <v>1267.2005615</v>
      </c>
      <c r="K1516">
        <v>80</v>
      </c>
      <c r="L1516">
        <v>79.957015991000006</v>
      </c>
      <c r="M1516">
        <v>50</v>
      </c>
      <c r="N1516">
        <v>45.502452849999997</v>
      </c>
    </row>
    <row r="1517" spans="1:14" x14ac:dyDescent="0.25">
      <c r="A1517">
        <v>1169.9502769999999</v>
      </c>
      <c r="B1517" s="1">
        <f>DATE(2013,7,13) + TIME(22,48,23)</f>
        <v>41468.950266203705</v>
      </c>
      <c r="C1517">
        <v>2400</v>
      </c>
      <c r="D1517">
        <v>0</v>
      </c>
      <c r="E1517">
        <v>0</v>
      </c>
      <c r="F1517">
        <v>2400</v>
      </c>
      <c r="G1517">
        <v>1382.1380615</v>
      </c>
      <c r="H1517">
        <v>1368.1241454999999</v>
      </c>
      <c r="I1517">
        <v>1286.8687743999999</v>
      </c>
      <c r="J1517">
        <v>1267.1112060999999</v>
      </c>
      <c r="K1517">
        <v>80</v>
      </c>
      <c r="L1517">
        <v>79.957061768000003</v>
      </c>
      <c r="M1517">
        <v>50</v>
      </c>
      <c r="N1517">
        <v>45.412364959999998</v>
      </c>
    </row>
    <row r="1518" spans="1:14" x14ac:dyDescent="0.25">
      <c r="A1518">
        <v>1171.491859</v>
      </c>
      <c r="B1518" s="1">
        <f>DATE(2013,7,15) + TIME(11,48,16)</f>
        <v>41470.491851851853</v>
      </c>
      <c r="C1518">
        <v>2400</v>
      </c>
      <c r="D1518">
        <v>0</v>
      </c>
      <c r="E1518">
        <v>0</v>
      </c>
      <c r="F1518">
        <v>2400</v>
      </c>
      <c r="G1518">
        <v>1382.0775146000001</v>
      </c>
      <c r="H1518">
        <v>1368.0645752</v>
      </c>
      <c r="I1518">
        <v>1286.8066406</v>
      </c>
      <c r="J1518">
        <v>1267.0194091999999</v>
      </c>
      <c r="K1518">
        <v>80</v>
      </c>
      <c r="L1518">
        <v>79.957107543999996</v>
      </c>
      <c r="M1518">
        <v>50</v>
      </c>
      <c r="N1518">
        <v>45.321002960000001</v>
      </c>
    </row>
    <row r="1519" spans="1:14" x14ac:dyDescent="0.25">
      <c r="A1519">
        <v>1173.0551190000001</v>
      </c>
      <c r="B1519" s="1">
        <f>DATE(2013,7,17) + TIME(1,19,22)</f>
        <v>41472.055115740739</v>
      </c>
      <c r="C1519">
        <v>2400</v>
      </c>
      <c r="D1519">
        <v>0</v>
      </c>
      <c r="E1519">
        <v>0</v>
      </c>
      <c r="F1519">
        <v>2400</v>
      </c>
      <c r="G1519">
        <v>1382.0172118999999</v>
      </c>
      <c r="H1519">
        <v>1368.0051269999999</v>
      </c>
      <c r="I1519">
        <v>1286.7430420000001</v>
      </c>
      <c r="J1519">
        <v>1266.9250488</v>
      </c>
      <c r="K1519">
        <v>80</v>
      </c>
      <c r="L1519">
        <v>79.957160950000002</v>
      </c>
      <c r="M1519">
        <v>50</v>
      </c>
      <c r="N1519">
        <v>45.228179932000003</v>
      </c>
    </row>
    <row r="1520" spans="1:14" x14ac:dyDescent="0.25">
      <c r="A1520">
        <v>1174.6183779999999</v>
      </c>
      <c r="B1520" s="1">
        <f>DATE(2013,7,18) + TIME(14,50,27)</f>
        <v>41473.618368055555</v>
      </c>
      <c r="C1520">
        <v>2400</v>
      </c>
      <c r="D1520">
        <v>0</v>
      </c>
      <c r="E1520">
        <v>0</v>
      </c>
      <c r="F1520">
        <v>2400</v>
      </c>
      <c r="G1520">
        <v>1381.9569091999999</v>
      </c>
      <c r="H1520">
        <v>1367.9456786999999</v>
      </c>
      <c r="I1520">
        <v>1286.6774902</v>
      </c>
      <c r="J1520">
        <v>1266.8277588000001</v>
      </c>
      <c r="K1520">
        <v>80</v>
      </c>
      <c r="L1520">
        <v>79.957206725999995</v>
      </c>
      <c r="M1520">
        <v>50</v>
      </c>
      <c r="N1520">
        <v>45.1341362</v>
      </c>
    </row>
    <row r="1521" spans="1:14" x14ac:dyDescent="0.25">
      <c r="A1521">
        <v>1176.2198089999999</v>
      </c>
      <c r="B1521" s="1">
        <f>DATE(2013,7,20) + TIME(5,16,31)</f>
        <v>41475.21980324074</v>
      </c>
      <c r="C1521">
        <v>2400</v>
      </c>
      <c r="D1521">
        <v>0</v>
      </c>
      <c r="E1521">
        <v>0</v>
      </c>
      <c r="F1521">
        <v>2400</v>
      </c>
      <c r="G1521">
        <v>1381.8974608999999</v>
      </c>
      <c r="H1521">
        <v>1367.8869629000001</v>
      </c>
      <c r="I1521">
        <v>1286.6108397999999</v>
      </c>
      <c r="J1521">
        <v>1266.7282714999999</v>
      </c>
      <c r="K1521">
        <v>80</v>
      </c>
      <c r="L1521">
        <v>79.957252502000003</v>
      </c>
      <c r="M1521">
        <v>50</v>
      </c>
      <c r="N1521">
        <v>45.038501740000001</v>
      </c>
    </row>
    <row r="1522" spans="1:14" x14ac:dyDescent="0.25">
      <c r="A1522">
        <v>1177.847638</v>
      </c>
      <c r="B1522" s="1">
        <f>DATE(2013,7,21) + TIME(20,20,35)</f>
        <v>41476.847627314812</v>
      </c>
      <c r="C1522">
        <v>2400</v>
      </c>
      <c r="D1522">
        <v>0</v>
      </c>
      <c r="E1522">
        <v>0</v>
      </c>
      <c r="F1522">
        <v>2400</v>
      </c>
      <c r="G1522">
        <v>1381.8372803</v>
      </c>
      <c r="H1522">
        <v>1367.8276367000001</v>
      </c>
      <c r="I1522">
        <v>1286.5417480000001</v>
      </c>
      <c r="J1522">
        <v>1266.6248779</v>
      </c>
      <c r="K1522">
        <v>80</v>
      </c>
      <c r="L1522">
        <v>79.957305907999995</v>
      </c>
      <c r="M1522">
        <v>50</v>
      </c>
      <c r="N1522">
        <v>44.940719604000002</v>
      </c>
    </row>
    <row r="1523" spans="1:14" x14ac:dyDescent="0.25">
      <c r="A1523">
        <v>1179.5087470000001</v>
      </c>
      <c r="B1523" s="1">
        <f>DATE(2013,7,23) + TIME(12,12,35)</f>
        <v>41478.508738425924</v>
      </c>
      <c r="C1523">
        <v>2400</v>
      </c>
      <c r="D1523">
        <v>0</v>
      </c>
      <c r="E1523">
        <v>0</v>
      </c>
      <c r="F1523">
        <v>2400</v>
      </c>
      <c r="G1523">
        <v>1381.7769774999999</v>
      </c>
      <c r="H1523">
        <v>1367.7679443</v>
      </c>
      <c r="I1523">
        <v>1286.4703368999999</v>
      </c>
      <c r="J1523">
        <v>1266.5178223</v>
      </c>
      <c r="K1523">
        <v>80</v>
      </c>
      <c r="L1523">
        <v>79.957351685000006</v>
      </c>
      <c r="M1523">
        <v>50</v>
      </c>
      <c r="N1523">
        <v>44.840637207</v>
      </c>
    </row>
    <row r="1524" spans="1:14" x14ac:dyDescent="0.25">
      <c r="A1524">
        <v>1181.2106610000001</v>
      </c>
      <c r="B1524" s="1">
        <f>DATE(2013,7,25) + TIME(5,3,21)</f>
        <v>41480.210659722223</v>
      </c>
      <c r="C1524">
        <v>2400</v>
      </c>
      <c r="D1524">
        <v>0</v>
      </c>
      <c r="E1524">
        <v>0</v>
      </c>
      <c r="F1524">
        <v>2400</v>
      </c>
      <c r="G1524">
        <v>1381.7163086</v>
      </c>
      <c r="H1524">
        <v>1367.7078856999999</v>
      </c>
      <c r="I1524">
        <v>1286.3966064000001</v>
      </c>
      <c r="J1524">
        <v>1266.4067382999999</v>
      </c>
      <c r="K1524">
        <v>80</v>
      </c>
      <c r="L1524">
        <v>79.957405089999995</v>
      </c>
      <c r="M1524">
        <v>50</v>
      </c>
      <c r="N1524">
        <v>44.737892150999997</v>
      </c>
    </row>
    <row r="1525" spans="1:14" x14ac:dyDescent="0.25">
      <c r="A1525">
        <v>1182.925248</v>
      </c>
      <c r="B1525" s="1">
        <f>DATE(2013,7,26) + TIME(22,12,21)</f>
        <v>41481.925243055557</v>
      </c>
      <c r="C1525">
        <v>2400</v>
      </c>
      <c r="D1525">
        <v>0</v>
      </c>
      <c r="E1525">
        <v>0</v>
      </c>
      <c r="F1525">
        <v>2400</v>
      </c>
      <c r="G1525">
        <v>1381.6549072</v>
      </c>
      <c r="H1525">
        <v>1367.6469727000001</v>
      </c>
      <c r="I1525">
        <v>1286.3199463000001</v>
      </c>
      <c r="J1525">
        <v>1266.2912598</v>
      </c>
      <c r="K1525">
        <v>80</v>
      </c>
      <c r="L1525">
        <v>79.957458496000001</v>
      </c>
      <c r="M1525">
        <v>50</v>
      </c>
      <c r="N1525">
        <v>44.632778168000002</v>
      </c>
    </row>
    <row r="1526" spans="1:14" x14ac:dyDescent="0.25">
      <c r="A1526">
        <v>1184.6398349999999</v>
      </c>
      <c r="B1526" s="1">
        <f>DATE(2013,7,28) + TIME(15,21,21)</f>
        <v>41483.639826388891</v>
      </c>
      <c r="C1526">
        <v>2400</v>
      </c>
      <c r="D1526">
        <v>0</v>
      </c>
      <c r="E1526">
        <v>0</v>
      </c>
      <c r="F1526">
        <v>2400</v>
      </c>
      <c r="G1526">
        <v>1381.5938721</v>
      </c>
      <c r="H1526">
        <v>1367.5863036999999</v>
      </c>
      <c r="I1526">
        <v>1286.2416992000001</v>
      </c>
      <c r="J1526">
        <v>1266.1728516000001</v>
      </c>
      <c r="K1526">
        <v>80</v>
      </c>
      <c r="L1526">
        <v>79.957511901999993</v>
      </c>
      <c r="M1526">
        <v>50</v>
      </c>
      <c r="N1526">
        <v>44.526222228999998</v>
      </c>
    </row>
    <row r="1527" spans="1:14" x14ac:dyDescent="0.25">
      <c r="A1527">
        <v>1186.3801149999999</v>
      </c>
      <c r="B1527" s="1">
        <f>DATE(2013,7,30) + TIME(9,7,21)</f>
        <v>41485.380104166667</v>
      </c>
      <c r="C1527">
        <v>2400</v>
      </c>
      <c r="D1527">
        <v>0</v>
      </c>
      <c r="E1527">
        <v>0</v>
      </c>
      <c r="F1527">
        <v>2400</v>
      </c>
      <c r="G1527">
        <v>1381.5335693</v>
      </c>
      <c r="H1527">
        <v>1367.5264893000001</v>
      </c>
      <c r="I1527">
        <v>1286.1624756000001</v>
      </c>
      <c r="J1527">
        <v>1266.0522461</v>
      </c>
      <c r="K1527">
        <v>80</v>
      </c>
      <c r="L1527">
        <v>79.957565308</v>
      </c>
      <c r="M1527">
        <v>50</v>
      </c>
      <c r="N1527">
        <v>44.418266295999999</v>
      </c>
    </row>
    <row r="1528" spans="1:14" x14ac:dyDescent="0.25">
      <c r="A1528">
        <v>1188</v>
      </c>
      <c r="B1528" s="1">
        <f>DATE(2013,8,1) + TIME(0,0,0)</f>
        <v>41487</v>
      </c>
      <c r="C1528">
        <v>2400</v>
      </c>
      <c r="D1528">
        <v>0</v>
      </c>
      <c r="E1528">
        <v>0</v>
      </c>
      <c r="F1528">
        <v>2400</v>
      </c>
      <c r="G1528">
        <v>1381.4731445</v>
      </c>
      <c r="H1528">
        <v>1367.4663086</v>
      </c>
      <c r="I1528">
        <v>1286.0811768000001</v>
      </c>
      <c r="J1528">
        <v>1265.9293213000001</v>
      </c>
      <c r="K1528">
        <v>80</v>
      </c>
      <c r="L1528">
        <v>79.957611084000007</v>
      </c>
      <c r="M1528">
        <v>50</v>
      </c>
      <c r="N1528">
        <v>44.311618805000002</v>
      </c>
    </row>
    <row r="1529" spans="1:14" x14ac:dyDescent="0.25">
      <c r="A1529">
        <v>1189.7570250000001</v>
      </c>
      <c r="B1529" s="1">
        <f>DATE(2013,8,2) + TIME(18,10,6)</f>
        <v>41488.757013888891</v>
      </c>
      <c r="C1529">
        <v>2400</v>
      </c>
      <c r="D1529">
        <v>0</v>
      </c>
      <c r="E1529">
        <v>0</v>
      </c>
      <c r="F1529">
        <v>2400</v>
      </c>
      <c r="G1529">
        <v>1381.4176024999999</v>
      </c>
      <c r="H1529">
        <v>1367.4110106999999</v>
      </c>
      <c r="I1529">
        <v>1286.0041504000001</v>
      </c>
      <c r="J1529">
        <v>1265.8100586</v>
      </c>
      <c r="K1529">
        <v>80</v>
      </c>
      <c r="L1529">
        <v>79.957664489999999</v>
      </c>
      <c r="M1529">
        <v>50</v>
      </c>
      <c r="N1529">
        <v>44.204441070999998</v>
      </c>
    </row>
    <row r="1530" spans="1:14" x14ac:dyDescent="0.25">
      <c r="A1530">
        <v>1191.51405</v>
      </c>
      <c r="B1530" s="1">
        <f>DATE(2013,8,4) + TIME(12,20,13)</f>
        <v>41490.514039351852</v>
      </c>
      <c r="C1530">
        <v>2400</v>
      </c>
      <c r="D1530">
        <v>0</v>
      </c>
      <c r="E1530">
        <v>0</v>
      </c>
      <c r="F1530">
        <v>2400</v>
      </c>
      <c r="G1530">
        <v>1381.3580322</v>
      </c>
      <c r="H1530">
        <v>1367.3515625</v>
      </c>
      <c r="I1530">
        <v>1285.9205322</v>
      </c>
      <c r="J1530">
        <v>1265.6823730000001</v>
      </c>
      <c r="K1530">
        <v>80</v>
      </c>
      <c r="L1530">
        <v>79.957717896000005</v>
      </c>
      <c r="M1530">
        <v>50</v>
      </c>
      <c r="N1530">
        <v>44.094032288000001</v>
      </c>
    </row>
    <row r="1531" spans="1:14" x14ac:dyDescent="0.25">
      <c r="A1531">
        <v>1193.3633</v>
      </c>
      <c r="B1531" s="1">
        <f>DATE(2013,8,6) + TIME(8,43,9)</f>
        <v>41492.363298611112</v>
      </c>
      <c r="C1531">
        <v>2400</v>
      </c>
      <c r="D1531">
        <v>0</v>
      </c>
      <c r="E1531">
        <v>0</v>
      </c>
      <c r="F1531">
        <v>2400</v>
      </c>
      <c r="G1531">
        <v>1381.2991943</v>
      </c>
      <c r="H1531">
        <v>1367.2928466999999</v>
      </c>
      <c r="I1531">
        <v>1285.8360596</v>
      </c>
      <c r="J1531">
        <v>1265.5517577999999</v>
      </c>
      <c r="K1531">
        <v>80</v>
      </c>
      <c r="L1531">
        <v>79.957778931000007</v>
      </c>
      <c r="M1531">
        <v>50</v>
      </c>
      <c r="N1531">
        <v>43.980354308999999</v>
      </c>
    </row>
    <row r="1532" spans="1:14" x14ac:dyDescent="0.25">
      <c r="A1532">
        <v>1195.2571370000001</v>
      </c>
      <c r="B1532" s="1">
        <f>DATE(2013,8,8) + TIME(6,10,16)</f>
        <v>41494.25712962963</v>
      </c>
      <c r="C1532">
        <v>2400</v>
      </c>
      <c r="D1532">
        <v>0</v>
      </c>
      <c r="E1532">
        <v>0</v>
      </c>
      <c r="F1532">
        <v>2400</v>
      </c>
      <c r="G1532">
        <v>1381.2380370999999</v>
      </c>
      <c r="H1532">
        <v>1367.2316894999999</v>
      </c>
      <c r="I1532">
        <v>1285.7464600000001</v>
      </c>
      <c r="J1532">
        <v>1265.4136963000001</v>
      </c>
      <c r="K1532">
        <v>80</v>
      </c>
      <c r="L1532">
        <v>79.957832335999996</v>
      </c>
      <c r="M1532">
        <v>50</v>
      </c>
      <c r="N1532">
        <v>43.862335205000001</v>
      </c>
    </row>
    <row r="1533" spans="1:14" x14ac:dyDescent="0.25">
      <c r="A1533">
        <v>1197.1638579999999</v>
      </c>
      <c r="B1533" s="1">
        <f>DATE(2013,8,10) + TIME(3,55,57)</f>
        <v>41496.163854166669</v>
      </c>
      <c r="C1533">
        <v>2400</v>
      </c>
      <c r="D1533">
        <v>0</v>
      </c>
      <c r="E1533">
        <v>0</v>
      </c>
      <c r="F1533">
        <v>2400</v>
      </c>
      <c r="G1533">
        <v>1381.1760254000001</v>
      </c>
      <c r="H1533">
        <v>1367.1697998</v>
      </c>
      <c r="I1533">
        <v>1285.6539307</v>
      </c>
      <c r="J1533">
        <v>1265.2706298999999</v>
      </c>
      <c r="K1533">
        <v>80</v>
      </c>
      <c r="L1533">
        <v>79.957893372000001</v>
      </c>
      <c r="M1533">
        <v>50</v>
      </c>
      <c r="N1533">
        <v>43.741344452</v>
      </c>
    </row>
    <row r="1534" spans="1:14" x14ac:dyDescent="0.25">
      <c r="A1534">
        <v>1199.070579</v>
      </c>
      <c r="B1534" s="1">
        <f>DATE(2013,8,12) + TIME(1,41,38)</f>
        <v>41498.0705787037</v>
      </c>
      <c r="C1534">
        <v>2400</v>
      </c>
      <c r="D1534">
        <v>0</v>
      </c>
      <c r="E1534">
        <v>0</v>
      </c>
      <c r="F1534">
        <v>2400</v>
      </c>
      <c r="G1534">
        <v>1381.1143798999999</v>
      </c>
      <c r="H1534">
        <v>1367.1080322</v>
      </c>
      <c r="I1534">
        <v>1285.5600586</v>
      </c>
      <c r="J1534">
        <v>1265.1248779</v>
      </c>
      <c r="K1534">
        <v>80</v>
      </c>
      <c r="L1534">
        <v>79.957946777000004</v>
      </c>
      <c r="M1534">
        <v>50</v>
      </c>
      <c r="N1534">
        <v>43.618896483999997</v>
      </c>
    </row>
    <row r="1535" spans="1:14" x14ac:dyDescent="0.25">
      <c r="A1535">
        <v>1200.9773</v>
      </c>
      <c r="B1535" s="1">
        <f>DATE(2013,8,13) + TIME(23,27,18)</f>
        <v>41499.97729166667</v>
      </c>
      <c r="C1535">
        <v>2400</v>
      </c>
      <c r="D1535">
        <v>0</v>
      </c>
      <c r="E1535">
        <v>0</v>
      </c>
      <c r="F1535">
        <v>2400</v>
      </c>
      <c r="G1535">
        <v>1381.0535889</v>
      </c>
      <c r="H1535">
        <v>1367.0469971</v>
      </c>
      <c r="I1535">
        <v>1285.4654541</v>
      </c>
      <c r="J1535">
        <v>1264.9774170000001</v>
      </c>
      <c r="K1535">
        <v>80</v>
      </c>
      <c r="L1535">
        <v>79.958007812000005</v>
      </c>
      <c r="M1535">
        <v>50</v>
      </c>
      <c r="N1535">
        <v>43.495826721</v>
      </c>
    </row>
    <row r="1536" spans="1:14" x14ac:dyDescent="0.25">
      <c r="A1536">
        <v>1202.88402</v>
      </c>
      <c r="B1536" s="1">
        <f>DATE(2013,8,15) + TIME(21,12,59)</f>
        <v>41501.884016203701</v>
      </c>
      <c r="C1536">
        <v>2400</v>
      </c>
      <c r="D1536">
        <v>0</v>
      </c>
      <c r="E1536">
        <v>0</v>
      </c>
      <c r="F1536">
        <v>2400</v>
      </c>
      <c r="G1536">
        <v>1380.9932861</v>
      </c>
      <c r="H1536">
        <v>1366.9865723</v>
      </c>
      <c r="I1536">
        <v>1285.3703613</v>
      </c>
      <c r="J1536">
        <v>1264.8287353999999</v>
      </c>
      <c r="K1536">
        <v>80</v>
      </c>
      <c r="L1536">
        <v>79.958068847999996</v>
      </c>
      <c r="M1536">
        <v>50</v>
      </c>
      <c r="N1536">
        <v>43.372478485000002</v>
      </c>
    </row>
    <row r="1537" spans="1:14" x14ac:dyDescent="0.25">
      <c r="A1537">
        <v>1204.790741</v>
      </c>
      <c r="B1537" s="1">
        <f>DATE(2013,8,17) + TIME(18,58,40)</f>
        <v>41503.79074074074</v>
      </c>
      <c r="C1537">
        <v>2400</v>
      </c>
      <c r="D1537">
        <v>0</v>
      </c>
      <c r="E1537">
        <v>0</v>
      </c>
      <c r="F1537">
        <v>2400</v>
      </c>
      <c r="G1537">
        <v>1380.9337158000001</v>
      </c>
      <c r="H1537">
        <v>1366.9267577999999</v>
      </c>
      <c r="I1537">
        <v>1285.2749022999999</v>
      </c>
      <c r="J1537">
        <v>1264.6789550999999</v>
      </c>
      <c r="K1537">
        <v>80</v>
      </c>
      <c r="L1537">
        <v>79.958122252999999</v>
      </c>
      <c r="M1537">
        <v>50</v>
      </c>
      <c r="N1537">
        <v>43.249019623000002</v>
      </c>
    </row>
    <row r="1538" spans="1:14" x14ac:dyDescent="0.25">
      <c r="A1538">
        <v>1206.809806</v>
      </c>
      <c r="B1538" s="1">
        <f>DATE(2013,8,19) + TIME(19,26,7)</f>
        <v>41505.809803240743</v>
      </c>
      <c r="C1538">
        <v>2400</v>
      </c>
      <c r="D1538">
        <v>0</v>
      </c>
      <c r="E1538">
        <v>0</v>
      </c>
      <c r="F1538">
        <v>2400</v>
      </c>
      <c r="G1538">
        <v>1380.8748779</v>
      </c>
      <c r="H1538">
        <v>1366.8675536999999</v>
      </c>
      <c r="I1538">
        <v>1285.1790771000001</v>
      </c>
      <c r="J1538">
        <v>1264.5273437999999</v>
      </c>
      <c r="K1538">
        <v>80</v>
      </c>
      <c r="L1538">
        <v>79.958183289000004</v>
      </c>
      <c r="M1538">
        <v>50</v>
      </c>
      <c r="N1538">
        <v>43.123382567999997</v>
      </c>
    </row>
    <row r="1539" spans="1:14" x14ac:dyDescent="0.25">
      <c r="A1539">
        <v>1208.8636260000001</v>
      </c>
      <c r="B1539" s="1">
        <f>DATE(2013,8,21) + TIME(20,43,37)</f>
        <v>41507.863622685189</v>
      </c>
      <c r="C1539">
        <v>2400</v>
      </c>
      <c r="D1539">
        <v>0</v>
      </c>
      <c r="E1539">
        <v>0</v>
      </c>
      <c r="F1539">
        <v>2400</v>
      </c>
      <c r="G1539">
        <v>1380.8132324000001</v>
      </c>
      <c r="H1539">
        <v>1366.8054199000001</v>
      </c>
      <c r="I1539">
        <v>1285.0780029</v>
      </c>
      <c r="J1539">
        <v>1264.3679199000001</v>
      </c>
      <c r="K1539">
        <v>80</v>
      </c>
      <c r="L1539">
        <v>79.958244324000006</v>
      </c>
      <c r="M1539">
        <v>50</v>
      </c>
      <c r="N1539">
        <v>42.993740082000002</v>
      </c>
    </row>
    <row r="1540" spans="1:14" x14ac:dyDescent="0.25">
      <c r="A1540">
        <v>1210.9490109999999</v>
      </c>
      <c r="B1540" s="1">
        <f>DATE(2013,8,23) + TIME(22,46,34)</f>
        <v>41509.949004629627</v>
      </c>
      <c r="C1540">
        <v>2400</v>
      </c>
      <c r="D1540">
        <v>0</v>
      </c>
      <c r="E1540">
        <v>0</v>
      </c>
      <c r="F1540">
        <v>2400</v>
      </c>
      <c r="G1540">
        <v>1380.7510986</v>
      </c>
      <c r="H1540">
        <v>1366.7427978999999</v>
      </c>
      <c r="I1540">
        <v>1284.9748535000001</v>
      </c>
      <c r="J1540">
        <v>1264.2045897999999</v>
      </c>
      <c r="K1540">
        <v>80</v>
      </c>
      <c r="L1540">
        <v>79.958305358999993</v>
      </c>
      <c r="M1540">
        <v>50</v>
      </c>
      <c r="N1540">
        <v>42.861660004000001</v>
      </c>
    </row>
    <row r="1541" spans="1:14" x14ac:dyDescent="0.25">
      <c r="A1541">
        <v>1213.0581319999999</v>
      </c>
      <c r="B1541" s="1">
        <f>DATE(2013,8,26) + TIME(1,23,42)</f>
        <v>41512.058125000003</v>
      </c>
      <c r="C1541">
        <v>2400</v>
      </c>
      <c r="D1541">
        <v>0</v>
      </c>
      <c r="E1541">
        <v>0</v>
      </c>
      <c r="F1541">
        <v>2400</v>
      </c>
      <c r="G1541">
        <v>1380.6887207</v>
      </c>
      <c r="H1541">
        <v>1366.6799315999999</v>
      </c>
      <c r="I1541">
        <v>1284.8702393000001</v>
      </c>
      <c r="J1541">
        <v>1264.0383300999999</v>
      </c>
      <c r="K1541">
        <v>80</v>
      </c>
      <c r="L1541">
        <v>79.958374023000005</v>
      </c>
      <c r="M1541">
        <v>50</v>
      </c>
      <c r="N1541">
        <v>42.727993011000002</v>
      </c>
    </row>
    <row r="1542" spans="1:14" x14ac:dyDescent="0.25">
      <c r="A1542">
        <v>1215.1672530000001</v>
      </c>
      <c r="B1542" s="1">
        <f>DATE(2013,8,28) + TIME(4,0,50)</f>
        <v>41514.167245370372</v>
      </c>
      <c r="C1542">
        <v>2400</v>
      </c>
      <c r="D1542">
        <v>0</v>
      </c>
      <c r="E1542">
        <v>0</v>
      </c>
      <c r="F1542">
        <v>2400</v>
      </c>
      <c r="G1542">
        <v>1380.6263428</v>
      </c>
      <c r="H1542">
        <v>1366.6168213000001</v>
      </c>
      <c r="I1542">
        <v>1284.7646483999999</v>
      </c>
      <c r="J1542">
        <v>1263.8699951000001</v>
      </c>
      <c r="K1542">
        <v>80</v>
      </c>
      <c r="L1542">
        <v>79.958435058999996</v>
      </c>
      <c r="M1542">
        <v>50</v>
      </c>
      <c r="N1542">
        <v>42.593803405999999</v>
      </c>
    </row>
    <row r="1543" spans="1:14" x14ac:dyDescent="0.25">
      <c r="A1543">
        <v>1217.3141209999999</v>
      </c>
      <c r="B1543" s="1">
        <f>DATE(2013,8,30) + TIME(7,32,20)</f>
        <v>41516.314120370371</v>
      </c>
      <c r="C1543">
        <v>2400</v>
      </c>
      <c r="D1543">
        <v>0</v>
      </c>
      <c r="E1543">
        <v>0</v>
      </c>
      <c r="F1543">
        <v>2400</v>
      </c>
      <c r="G1543">
        <v>1380.5645752</v>
      </c>
      <c r="H1543">
        <v>1366.5544434000001</v>
      </c>
      <c r="I1543">
        <v>1284.6593018000001</v>
      </c>
      <c r="J1543">
        <v>1263.7010498</v>
      </c>
      <c r="K1543">
        <v>80</v>
      </c>
      <c r="L1543">
        <v>79.958496093999997</v>
      </c>
      <c r="M1543">
        <v>50</v>
      </c>
      <c r="N1543">
        <v>42.459499358999999</v>
      </c>
    </row>
    <row r="1544" spans="1:14" x14ac:dyDescent="0.25">
      <c r="A1544">
        <v>1219</v>
      </c>
      <c r="B1544" s="1">
        <f>DATE(2013,9,1) + TIME(0,0,0)</f>
        <v>41518</v>
      </c>
      <c r="C1544">
        <v>2400</v>
      </c>
      <c r="D1544">
        <v>0</v>
      </c>
      <c r="E1544">
        <v>0</v>
      </c>
      <c r="F1544">
        <v>2400</v>
      </c>
      <c r="G1544">
        <v>1380.5021973</v>
      </c>
      <c r="H1544">
        <v>1366.4914550999999</v>
      </c>
      <c r="I1544">
        <v>1284.5533447</v>
      </c>
      <c r="J1544">
        <v>1263.5345459</v>
      </c>
      <c r="K1544">
        <v>80</v>
      </c>
      <c r="L1544">
        <v>79.958549500000004</v>
      </c>
      <c r="M1544">
        <v>50</v>
      </c>
      <c r="N1544">
        <v>42.334987640000001</v>
      </c>
    </row>
    <row r="1545" spans="1:14" x14ac:dyDescent="0.25">
      <c r="A1545">
        <v>1221.146868</v>
      </c>
      <c r="B1545" s="1">
        <f>DATE(2013,9,3) + TIME(3,31,29)</f>
        <v>41520.146863425929</v>
      </c>
      <c r="C1545">
        <v>2400</v>
      </c>
      <c r="D1545">
        <v>0</v>
      </c>
      <c r="E1545">
        <v>0</v>
      </c>
      <c r="F1545">
        <v>2400</v>
      </c>
      <c r="G1545">
        <v>1380.4538574000001</v>
      </c>
      <c r="H1545">
        <v>1366.4422606999999</v>
      </c>
      <c r="I1545">
        <v>1284.4680175999999</v>
      </c>
      <c r="J1545">
        <v>1263.3916016000001</v>
      </c>
      <c r="K1545">
        <v>80</v>
      </c>
      <c r="L1545">
        <v>79.958610535000005</v>
      </c>
      <c r="M1545">
        <v>50</v>
      </c>
      <c r="N1545">
        <v>42.214832305999998</v>
      </c>
    </row>
    <row r="1546" spans="1:14" x14ac:dyDescent="0.25">
      <c r="A1546">
        <v>1223.293735</v>
      </c>
      <c r="B1546" s="1">
        <f>DATE(2013,9,5) + TIME(7,2,58)</f>
        <v>41522.293726851851</v>
      </c>
      <c r="C1546">
        <v>2400</v>
      </c>
      <c r="D1546">
        <v>0</v>
      </c>
      <c r="E1546">
        <v>0</v>
      </c>
      <c r="F1546">
        <v>2400</v>
      </c>
      <c r="G1546">
        <v>1380.3927002</v>
      </c>
      <c r="H1546">
        <v>1366.3803711</v>
      </c>
      <c r="I1546">
        <v>1284.3641356999999</v>
      </c>
      <c r="J1546">
        <v>1263.2252197</v>
      </c>
      <c r="K1546">
        <v>80</v>
      </c>
      <c r="L1546">
        <v>79.958671570000007</v>
      </c>
      <c r="M1546">
        <v>50</v>
      </c>
      <c r="N1546">
        <v>42.086688995000003</v>
      </c>
    </row>
    <row r="1547" spans="1:14" x14ac:dyDescent="0.25">
      <c r="A1547">
        <v>1225.440603</v>
      </c>
      <c r="B1547" s="1">
        <f>DATE(2013,9,7) + TIME(10,34,28)</f>
        <v>41524.440601851849</v>
      </c>
      <c r="C1547">
        <v>2400</v>
      </c>
      <c r="D1547">
        <v>0</v>
      </c>
      <c r="E1547">
        <v>0</v>
      </c>
      <c r="F1547">
        <v>2400</v>
      </c>
      <c r="G1547">
        <v>1380.3321533000001</v>
      </c>
      <c r="H1547">
        <v>1366.3188477000001</v>
      </c>
      <c r="I1547">
        <v>1284.2604980000001</v>
      </c>
      <c r="J1547">
        <v>1263.0574951000001</v>
      </c>
      <c r="K1547">
        <v>80</v>
      </c>
      <c r="L1547">
        <v>79.958740234000004</v>
      </c>
      <c r="M1547">
        <v>50</v>
      </c>
      <c r="N1547">
        <v>41.95772934</v>
      </c>
    </row>
    <row r="1548" spans="1:14" x14ac:dyDescent="0.25">
      <c r="A1548">
        <v>1227.5874699999999</v>
      </c>
      <c r="B1548" s="1">
        <f>DATE(2013,9,9) + TIME(14,5,57)</f>
        <v>41526.587465277778</v>
      </c>
      <c r="C1548">
        <v>2400</v>
      </c>
      <c r="D1548">
        <v>0</v>
      </c>
      <c r="E1548">
        <v>0</v>
      </c>
      <c r="F1548">
        <v>2400</v>
      </c>
      <c r="G1548">
        <v>1380.2720947</v>
      </c>
      <c r="H1548">
        <v>1366.2579346</v>
      </c>
      <c r="I1548">
        <v>1284.1579589999999</v>
      </c>
      <c r="J1548">
        <v>1262.890625</v>
      </c>
      <c r="K1548">
        <v>80</v>
      </c>
      <c r="L1548">
        <v>79.958801269999995</v>
      </c>
      <c r="M1548">
        <v>50</v>
      </c>
      <c r="N1548">
        <v>41.830272675000003</v>
      </c>
    </row>
    <row r="1549" spans="1:14" x14ac:dyDescent="0.25">
      <c r="A1549">
        <v>1229.734338</v>
      </c>
      <c r="B1549" s="1">
        <f>DATE(2013,9,11) + TIME(17,37,26)</f>
        <v>41528.7343287037</v>
      </c>
      <c r="C1549">
        <v>2400</v>
      </c>
      <c r="D1549">
        <v>0</v>
      </c>
      <c r="E1549">
        <v>0</v>
      </c>
      <c r="F1549">
        <v>2400</v>
      </c>
      <c r="G1549">
        <v>1380.2126464999999</v>
      </c>
      <c r="H1549">
        <v>1366.1975098</v>
      </c>
      <c r="I1549">
        <v>1284.0567627</v>
      </c>
      <c r="J1549">
        <v>1262.7255858999999</v>
      </c>
      <c r="K1549">
        <v>80</v>
      </c>
      <c r="L1549">
        <v>79.958862304999997</v>
      </c>
      <c r="M1549">
        <v>50</v>
      </c>
      <c r="N1549">
        <v>41.705223083</v>
      </c>
    </row>
    <row r="1550" spans="1:14" x14ac:dyDescent="0.25">
      <c r="A1550">
        <v>1232.090365</v>
      </c>
      <c r="B1550" s="1">
        <f>DATE(2013,9,14) + TIME(2,10,7)</f>
        <v>41531.090358796297</v>
      </c>
      <c r="C1550">
        <v>2400</v>
      </c>
      <c r="D1550">
        <v>0</v>
      </c>
      <c r="E1550">
        <v>0</v>
      </c>
      <c r="F1550">
        <v>2400</v>
      </c>
      <c r="G1550">
        <v>1380.1536865</v>
      </c>
      <c r="H1550">
        <v>1366.1375731999999</v>
      </c>
      <c r="I1550">
        <v>1283.9570312000001</v>
      </c>
      <c r="J1550">
        <v>1262.5611572</v>
      </c>
      <c r="K1550">
        <v>80</v>
      </c>
      <c r="L1550">
        <v>79.958930968999994</v>
      </c>
      <c r="M1550">
        <v>50</v>
      </c>
      <c r="N1550">
        <v>41.579891205000003</v>
      </c>
    </row>
    <row r="1551" spans="1:14" x14ac:dyDescent="0.25">
      <c r="A1551">
        <v>1234.4756170000001</v>
      </c>
      <c r="B1551" s="1">
        <f>DATE(2013,9,16) + TIME(11,24,53)</f>
        <v>41533.475613425922</v>
      </c>
      <c r="C1551">
        <v>2400</v>
      </c>
      <c r="D1551">
        <v>0</v>
      </c>
      <c r="E1551">
        <v>0</v>
      </c>
      <c r="F1551">
        <v>2400</v>
      </c>
      <c r="G1551">
        <v>1380.0895995999999</v>
      </c>
      <c r="H1551">
        <v>1366.0722656</v>
      </c>
      <c r="I1551">
        <v>1283.8507079999999</v>
      </c>
      <c r="J1551">
        <v>1262.387207</v>
      </c>
      <c r="K1551">
        <v>80</v>
      </c>
      <c r="L1551">
        <v>79.958999633999994</v>
      </c>
      <c r="M1551">
        <v>50</v>
      </c>
      <c r="N1551">
        <v>41.451648712000001</v>
      </c>
    </row>
    <row r="1552" spans="1:14" x14ac:dyDescent="0.25">
      <c r="A1552">
        <v>1236.86087</v>
      </c>
      <c r="B1552" s="1">
        <f>DATE(2013,9,18) + TIME(20,39,39)</f>
        <v>41535.860868055555</v>
      </c>
      <c r="C1552">
        <v>2400</v>
      </c>
      <c r="D1552">
        <v>0</v>
      </c>
      <c r="E1552">
        <v>0</v>
      </c>
      <c r="F1552">
        <v>2400</v>
      </c>
      <c r="G1552">
        <v>1380.0251464999999</v>
      </c>
      <c r="H1552">
        <v>1366.0067139</v>
      </c>
      <c r="I1552">
        <v>1283.7451172000001</v>
      </c>
      <c r="J1552">
        <v>1262.2136230000001</v>
      </c>
      <c r="K1552">
        <v>80</v>
      </c>
      <c r="L1552">
        <v>79.959068298000005</v>
      </c>
      <c r="M1552">
        <v>50</v>
      </c>
      <c r="N1552">
        <v>41.325401306000003</v>
      </c>
    </row>
    <row r="1553" spans="1:14" x14ac:dyDescent="0.25">
      <c r="A1553">
        <v>1239.2461229999999</v>
      </c>
      <c r="B1553" s="1">
        <f>DATE(2013,9,21) + TIME(5,54,25)</f>
        <v>41538.246122685188</v>
      </c>
      <c r="C1553">
        <v>2400</v>
      </c>
      <c r="D1553">
        <v>0</v>
      </c>
      <c r="E1553">
        <v>0</v>
      </c>
      <c r="F1553">
        <v>2400</v>
      </c>
      <c r="G1553">
        <v>1379.9614257999999</v>
      </c>
      <c r="H1553">
        <v>1365.9416504000001</v>
      </c>
      <c r="I1553">
        <v>1283.6419678</v>
      </c>
      <c r="J1553">
        <v>1262.0435791</v>
      </c>
      <c r="K1553">
        <v>80</v>
      </c>
      <c r="L1553">
        <v>79.959136963000006</v>
      </c>
      <c r="M1553">
        <v>50</v>
      </c>
      <c r="N1553">
        <v>41.203662872000002</v>
      </c>
    </row>
    <row r="1554" spans="1:14" x14ac:dyDescent="0.25">
      <c r="A1554">
        <v>1241.631376</v>
      </c>
      <c r="B1554" s="1">
        <f>DATE(2013,9,23) + TIME(15,9,10)</f>
        <v>41540.631365740737</v>
      </c>
      <c r="C1554">
        <v>2400</v>
      </c>
      <c r="D1554">
        <v>0</v>
      </c>
      <c r="E1554">
        <v>0</v>
      </c>
      <c r="F1554">
        <v>2400</v>
      </c>
      <c r="G1554">
        <v>1379.8981934000001</v>
      </c>
      <c r="H1554">
        <v>1365.8771973</v>
      </c>
      <c r="I1554">
        <v>1283.5418701000001</v>
      </c>
      <c r="J1554">
        <v>1261.8779297000001</v>
      </c>
      <c r="K1554">
        <v>80</v>
      </c>
      <c r="L1554">
        <v>79.959205627000003</v>
      </c>
      <c r="M1554">
        <v>50</v>
      </c>
      <c r="N1554">
        <v>41.087516784999998</v>
      </c>
    </row>
    <row r="1555" spans="1:14" x14ac:dyDescent="0.25">
      <c r="A1555">
        <v>1244.016629</v>
      </c>
      <c r="B1555" s="1">
        <f>DATE(2013,9,26) + TIME(0,23,56)</f>
        <v>41543.01662037037</v>
      </c>
      <c r="C1555">
        <v>2400</v>
      </c>
      <c r="D1555">
        <v>0</v>
      </c>
      <c r="E1555">
        <v>0</v>
      </c>
      <c r="F1555">
        <v>2400</v>
      </c>
      <c r="G1555">
        <v>1379.8354492000001</v>
      </c>
      <c r="H1555">
        <v>1365.8132324000001</v>
      </c>
      <c r="I1555">
        <v>1283.4449463000001</v>
      </c>
      <c r="J1555">
        <v>1261.7175293</v>
      </c>
      <c r="K1555">
        <v>80</v>
      </c>
      <c r="L1555">
        <v>79.959274292000003</v>
      </c>
      <c r="M1555">
        <v>50</v>
      </c>
      <c r="N1555">
        <v>40.977699280000003</v>
      </c>
    </row>
    <row r="1556" spans="1:14" x14ac:dyDescent="0.25">
      <c r="A1556">
        <v>1246.4018819999999</v>
      </c>
      <c r="B1556" s="1">
        <f>DATE(2013,9,28) + TIME(9,38,42)</f>
        <v>41545.401875000003</v>
      </c>
      <c r="C1556">
        <v>2400</v>
      </c>
      <c r="D1556">
        <v>0</v>
      </c>
      <c r="E1556">
        <v>0</v>
      </c>
      <c r="F1556">
        <v>2400</v>
      </c>
      <c r="G1556">
        <v>1379.7731934000001</v>
      </c>
      <c r="H1556">
        <v>1365.7496338000001</v>
      </c>
      <c r="I1556">
        <v>1283.3516846</v>
      </c>
      <c r="J1556">
        <v>1261.5628661999999</v>
      </c>
      <c r="K1556">
        <v>80</v>
      </c>
      <c r="L1556">
        <v>79.959342957000004</v>
      </c>
      <c r="M1556">
        <v>50</v>
      </c>
      <c r="N1556">
        <v>40.874881744</v>
      </c>
    </row>
    <row r="1557" spans="1:14" x14ac:dyDescent="0.25">
      <c r="A1557">
        <v>1248.787135</v>
      </c>
      <c r="B1557" s="1">
        <f>DATE(2013,9,30) + TIME(18,53,28)</f>
        <v>41547.787129629629</v>
      </c>
      <c r="C1557">
        <v>2400</v>
      </c>
      <c r="D1557">
        <v>0</v>
      </c>
      <c r="E1557">
        <v>0</v>
      </c>
      <c r="F1557">
        <v>2400</v>
      </c>
      <c r="G1557">
        <v>1379.7115478999999</v>
      </c>
      <c r="H1557">
        <v>1365.6866454999999</v>
      </c>
      <c r="I1557">
        <v>1283.262207</v>
      </c>
      <c r="J1557">
        <v>1261.4143065999999</v>
      </c>
      <c r="K1557">
        <v>80</v>
      </c>
      <c r="L1557">
        <v>79.959403992000006</v>
      </c>
      <c r="M1557">
        <v>50</v>
      </c>
      <c r="N1557">
        <v>40.779689789000003</v>
      </c>
    </row>
    <row r="1558" spans="1:14" x14ac:dyDescent="0.25">
      <c r="A1558">
        <v>1249</v>
      </c>
      <c r="B1558" s="1">
        <f>DATE(2013,10,1) + TIME(0,0,0)</f>
        <v>41548</v>
      </c>
      <c r="C1558">
        <v>2400</v>
      </c>
      <c r="D1558">
        <v>0</v>
      </c>
      <c r="E1558">
        <v>0</v>
      </c>
      <c r="F1558">
        <v>2400</v>
      </c>
      <c r="G1558">
        <v>1379.6530762</v>
      </c>
      <c r="H1558">
        <v>1365.6274414</v>
      </c>
      <c r="I1558">
        <v>1283.1879882999999</v>
      </c>
      <c r="J1558">
        <v>1261.3143310999999</v>
      </c>
      <c r="K1558">
        <v>80</v>
      </c>
      <c r="L1558">
        <v>79.959403992000006</v>
      </c>
      <c r="M1558">
        <v>50</v>
      </c>
      <c r="N1558">
        <v>40.756340027</v>
      </c>
    </row>
    <row r="1559" spans="1:14" x14ac:dyDescent="0.25">
      <c r="A1559">
        <v>1251.3852529999999</v>
      </c>
      <c r="B1559" s="1">
        <f>DATE(2013,10,3) + TIME(9,14,45)</f>
        <v>41550.385243055556</v>
      </c>
      <c r="C1559">
        <v>2400</v>
      </c>
      <c r="D1559">
        <v>0</v>
      </c>
      <c r="E1559">
        <v>0</v>
      </c>
      <c r="F1559">
        <v>2400</v>
      </c>
      <c r="G1559">
        <v>1379.6446533000001</v>
      </c>
      <c r="H1559">
        <v>1365.6181641000001</v>
      </c>
      <c r="I1559">
        <v>1283.1672363</v>
      </c>
      <c r="J1559">
        <v>1261.2554932</v>
      </c>
      <c r="K1559">
        <v>80</v>
      </c>
      <c r="L1559">
        <v>79.959480286000002</v>
      </c>
      <c r="M1559">
        <v>50</v>
      </c>
      <c r="N1559">
        <v>40.681571959999999</v>
      </c>
    </row>
    <row r="1560" spans="1:14" x14ac:dyDescent="0.25">
      <c r="A1560">
        <v>1253.7705060000001</v>
      </c>
      <c r="B1560" s="1">
        <f>DATE(2013,10,5) + TIME(18,29,31)</f>
        <v>41552.770497685182</v>
      </c>
      <c r="C1560">
        <v>2400</v>
      </c>
      <c r="D1560">
        <v>0</v>
      </c>
      <c r="E1560">
        <v>0</v>
      </c>
      <c r="F1560">
        <v>2400</v>
      </c>
      <c r="G1560">
        <v>1379.5842285000001</v>
      </c>
      <c r="H1560">
        <v>1365.5563964999999</v>
      </c>
      <c r="I1560">
        <v>1283.0878906</v>
      </c>
      <c r="J1560">
        <v>1261.1251221</v>
      </c>
      <c r="K1560">
        <v>80</v>
      </c>
      <c r="L1560">
        <v>79.959548949999999</v>
      </c>
      <c r="M1560">
        <v>50</v>
      </c>
      <c r="N1560">
        <v>40.607322693</v>
      </c>
    </row>
    <row r="1561" spans="1:14" x14ac:dyDescent="0.25">
      <c r="A1561">
        <v>1256.155759</v>
      </c>
      <c r="B1561" s="1">
        <f>DATE(2013,10,8) + TIME(3,44,17)</f>
        <v>41555.155752314815</v>
      </c>
      <c r="C1561">
        <v>2400</v>
      </c>
      <c r="D1561">
        <v>0</v>
      </c>
      <c r="E1561">
        <v>0</v>
      </c>
      <c r="F1561">
        <v>2400</v>
      </c>
      <c r="G1561">
        <v>1379.5240478999999</v>
      </c>
      <c r="H1561">
        <v>1365.4948730000001</v>
      </c>
      <c r="I1561">
        <v>1283.0117187999999</v>
      </c>
      <c r="J1561">
        <v>1260.9996338000001</v>
      </c>
      <c r="K1561">
        <v>80</v>
      </c>
      <c r="L1561">
        <v>79.959609985</v>
      </c>
      <c r="M1561">
        <v>50</v>
      </c>
      <c r="N1561">
        <v>40.540344238000003</v>
      </c>
    </row>
    <row r="1562" spans="1:14" x14ac:dyDescent="0.25">
      <c r="A1562">
        <v>1258.865419</v>
      </c>
      <c r="B1562" s="1">
        <f>DATE(2013,10,10) + TIME(20,46,12)</f>
        <v>41557.865416666667</v>
      </c>
      <c r="C1562">
        <v>2400</v>
      </c>
      <c r="D1562">
        <v>0</v>
      </c>
      <c r="E1562">
        <v>0</v>
      </c>
      <c r="F1562">
        <v>2400</v>
      </c>
      <c r="G1562">
        <v>1379.4643555</v>
      </c>
      <c r="H1562">
        <v>1365.4338379000001</v>
      </c>
      <c r="I1562">
        <v>1282.9393310999999</v>
      </c>
      <c r="J1562">
        <v>1260.8798827999999</v>
      </c>
      <c r="K1562">
        <v>80</v>
      </c>
      <c r="L1562">
        <v>79.959686278999996</v>
      </c>
      <c r="M1562">
        <v>50</v>
      </c>
      <c r="N1562">
        <v>40.480907440000003</v>
      </c>
    </row>
    <row r="1563" spans="1:14" x14ac:dyDescent="0.25">
      <c r="A1563">
        <v>1261.5750800000001</v>
      </c>
      <c r="B1563" s="1">
        <f>DATE(2013,10,13) + TIME(13,48,6)</f>
        <v>41560.575069444443</v>
      </c>
      <c r="C1563">
        <v>2400</v>
      </c>
      <c r="D1563">
        <v>0</v>
      </c>
      <c r="E1563">
        <v>0</v>
      </c>
      <c r="F1563">
        <v>2400</v>
      </c>
      <c r="G1563">
        <v>1379.3972168</v>
      </c>
      <c r="H1563">
        <v>1365.3651123</v>
      </c>
      <c r="I1563">
        <v>1282.8637695</v>
      </c>
      <c r="J1563">
        <v>1260.7572021000001</v>
      </c>
      <c r="K1563">
        <v>80</v>
      </c>
      <c r="L1563">
        <v>79.959762573000006</v>
      </c>
      <c r="M1563">
        <v>50</v>
      </c>
      <c r="N1563">
        <v>40.429271698000001</v>
      </c>
    </row>
    <row r="1564" spans="1:14" x14ac:dyDescent="0.25">
      <c r="A1564">
        <v>1264.342699</v>
      </c>
      <c r="B1564" s="1">
        <f>DATE(2013,10,16) + TIME(8,13,29)</f>
        <v>41563.34269675926</v>
      </c>
      <c r="C1564">
        <v>2400</v>
      </c>
      <c r="D1564">
        <v>0</v>
      </c>
      <c r="E1564">
        <v>0</v>
      </c>
      <c r="F1564">
        <v>2400</v>
      </c>
      <c r="G1564">
        <v>1379.3305664</v>
      </c>
      <c r="H1564">
        <v>1365.296875</v>
      </c>
      <c r="I1564">
        <v>1282.7933350000001</v>
      </c>
      <c r="J1564">
        <v>1260.6434326000001</v>
      </c>
      <c r="K1564">
        <v>80</v>
      </c>
      <c r="L1564">
        <v>79.959838867000002</v>
      </c>
      <c r="M1564">
        <v>50</v>
      </c>
      <c r="N1564">
        <v>40.390281676999997</v>
      </c>
    </row>
    <row r="1565" spans="1:14" x14ac:dyDescent="0.25">
      <c r="A1565">
        <v>1267.1483470000001</v>
      </c>
      <c r="B1565" s="1">
        <f>DATE(2013,10,19) + TIME(3,33,37)</f>
        <v>41566.148344907408</v>
      </c>
      <c r="C1565">
        <v>2400</v>
      </c>
      <c r="D1565">
        <v>0</v>
      </c>
      <c r="E1565">
        <v>0</v>
      </c>
      <c r="F1565">
        <v>2400</v>
      </c>
      <c r="G1565">
        <v>1379.2630615</v>
      </c>
      <c r="H1565">
        <v>1365.2279053</v>
      </c>
      <c r="I1565">
        <v>1282.7276611</v>
      </c>
      <c r="J1565">
        <v>1260.5391846</v>
      </c>
      <c r="K1565">
        <v>80</v>
      </c>
      <c r="L1565">
        <v>79.959907532000003</v>
      </c>
      <c r="M1565">
        <v>50</v>
      </c>
      <c r="N1565">
        <v>40.365558624000002</v>
      </c>
    </row>
    <row r="1566" spans="1:14" x14ac:dyDescent="0.25">
      <c r="A1566">
        <v>1269.9539950000001</v>
      </c>
      <c r="B1566" s="1">
        <f>DATE(2013,10,21) + TIME(22,53,45)</f>
        <v>41568.953993055555</v>
      </c>
      <c r="C1566">
        <v>2400</v>
      </c>
      <c r="D1566">
        <v>0</v>
      </c>
      <c r="E1566">
        <v>0</v>
      </c>
      <c r="F1566">
        <v>2400</v>
      </c>
      <c r="G1566">
        <v>1379.1954346</v>
      </c>
      <c r="H1566">
        <v>1365.1586914</v>
      </c>
      <c r="I1566">
        <v>1282.6676024999999</v>
      </c>
      <c r="J1566">
        <v>1260.4458007999999</v>
      </c>
      <c r="K1566">
        <v>80</v>
      </c>
      <c r="L1566">
        <v>79.959983825999998</v>
      </c>
      <c r="M1566">
        <v>50</v>
      </c>
      <c r="N1566">
        <v>40.356510161999999</v>
      </c>
    </row>
    <row r="1567" spans="1:14" x14ac:dyDescent="0.25">
      <c r="A1567">
        <v>1272.7596430000001</v>
      </c>
      <c r="B1567" s="1">
        <f>DATE(2013,10,24) + TIME(18,13,53)</f>
        <v>41571.759641203702</v>
      </c>
      <c r="C1567">
        <v>2400</v>
      </c>
      <c r="D1567">
        <v>0</v>
      </c>
      <c r="E1567">
        <v>0</v>
      </c>
      <c r="F1567">
        <v>2400</v>
      </c>
      <c r="G1567">
        <v>1379.128418</v>
      </c>
      <c r="H1567">
        <v>1365.0902100000001</v>
      </c>
      <c r="I1567">
        <v>1282.6140137</v>
      </c>
      <c r="J1567">
        <v>1260.3648682</v>
      </c>
      <c r="K1567">
        <v>80</v>
      </c>
      <c r="L1567">
        <v>79.960060119999994</v>
      </c>
      <c r="M1567">
        <v>50</v>
      </c>
      <c r="N1567">
        <v>40.363872528000002</v>
      </c>
    </row>
    <row r="1568" spans="1:14" x14ac:dyDescent="0.25">
      <c r="A1568">
        <v>1275.5652909999999</v>
      </c>
      <c r="B1568" s="1">
        <f>DATE(2013,10,27) + TIME(13,34,1)</f>
        <v>41574.565289351849</v>
      </c>
      <c r="C1568">
        <v>2400</v>
      </c>
      <c r="D1568">
        <v>0</v>
      </c>
      <c r="E1568">
        <v>0</v>
      </c>
      <c r="F1568">
        <v>2400</v>
      </c>
      <c r="G1568">
        <v>1379.0621338000001</v>
      </c>
      <c r="H1568">
        <v>1365.0223389</v>
      </c>
      <c r="I1568">
        <v>1282.5668945</v>
      </c>
      <c r="J1568">
        <v>1260.2965088000001</v>
      </c>
      <c r="K1568">
        <v>80</v>
      </c>
      <c r="L1568">
        <v>79.960136414000004</v>
      </c>
      <c r="M1568">
        <v>50</v>
      </c>
      <c r="N1568">
        <v>40.387767791999998</v>
      </c>
    </row>
    <row r="1569" spans="1:14" x14ac:dyDescent="0.25">
      <c r="A1569">
        <v>1278.3709389999999</v>
      </c>
      <c r="B1569" s="1">
        <f>DATE(2013,10,30) + TIME(8,54,9)</f>
        <v>41577.370937500003</v>
      </c>
      <c r="C1569">
        <v>2400</v>
      </c>
      <c r="D1569">
        <v>0</v>
      </c>
      <c r="E1569">
        <v>0</v>
      </c>
      <c r="F1569">
        <v>2400</v>
      </c>
      <c r="G1569">
        <v>1378.9967041</v>
      </c>
      <c r="H1569">
        <v>1364.9554443</v>
      </c>
      <c r="I1569">
        <v>1282.5261230000001</v>
      </c>
      <c r="J1569">
        <v>1260.2407227000001</v>
      </c>
      <c r="K1569">
        <v>80</v>
      </c>
      <c r="L1569">
        <v>79.960205078000001</v>
      </c>
      <c r="M1569">
        <v>50</v>
      </c>
      <c r="N1569">
        <v>40.428031920999999</v>
      </c>
    </row>
    <row r="1570" spans="1:14" x14ac:dyDescent="0.25">
      <c r="A1570">
        <v>1280</v>
      </c>
      <c r="B1570" s="1">
        <f>DATE(2013,11,1) + TIME(0,0,0)</f>
        <v>41579</v>
      </c>
      <c r="C1570">
        <v>2400</v>
      </c>
      <c r="D1570">
        <v>0</v>
      </c>
      <c r="E1570">
        <v>0</v>
      </c>
      <c r="F1570">
        <v>2400</v>
      </c>
      <c r="G1570">
        <v>1378.9318848</v>
      </c>
      <c r="H1570">
        <v>1364.8894043</v>
      </c>
      <c r="I1570">
        <v>1282.4949951000001</v>
      </c>
      <c r="J1570">
        <v>1260.199707</v>
      </c>
      <c r="K1570">
        <v>80</v>
      </c>
      <c r="L1570">
        <v>79.960250853999995</v>
      </c>
      <c r="M1570">
        <v>50</v>
      </c>
      <c r="N1570">
        <v>40.476169585999997</v>
      </c>
    </row>
    <row r="1571" spans="1:14" x14ac:dyDescent="0.25">
      <c r="A1571">
        <v>1280.0000010000001</v>
      </c>
      <c r="B1571" s="1">
        <f>DATE(2013,11,1) + TIME(0,0,0)</f>
        <v>41579</v>
      </c>
      <c r="C1571">
        <v>0</v>
      </c>
      <c r="D1571">
        <v>2400</v>
      </c>
      <c r="E1571">
        <v>2400</v>
      </c>
      <c r="F1571">
        <v>0</v>
      </c>
      <c r="G1571">
        <v>1364.0174560999999</v>
      </c>
      <c r="H1571">
        <v>1352.7462158000001</v>
      </c>
      <c r="I1571">
        <v>1305.8629149999999</v>
      </c>
      <c r="J1571">
        <v>1283.3645019999999</v>
      </c>
      <c r="K1571">
        <v>80</v>
      </c>
      <c r="L1571">
        <v>79.960128784000005</v>
      </c>
      <c r="M1571">
        <v>50</v>
      </c>
      <c r="N1571">
        <v>40.476284026999998</v>
      </c>
    </row>
    <row r="1572" spans="1:14" x14ac:dyDescent="0.25">
      <c r="A1572">
        <v>1280.000004</v>
      </c>
      <c r="B1572" s="1">
        <f>DATE(2013,11,1) + TIME(0,0,0)</f>
        <v>41579</v>
      </c>
      <c r="C1572">
        <v>0</v>
      </c>
      <c r="D1572">
        <v>2400</v>
      </c>
      <c r="E1572">
        <v>2400</v>
      </c>
      <c r="F1572">
        <v>0</v>
      </c>
      <c r="G1572">
        <v>1361.8149414</v>
      </c>
      <c r="H1572">
        <v>1350.5430908000001</v>
      </c>
      <c r="I1572">
        <v>1308.2460937999999</v>
      </c>
      <c r="J1572">
        <v>1285.7269286999999</v>
      </c>
      <c r="K1572">
        <v>80</v>
      </c>
      <c r="L1572">
        <v>79.959808350000003</v>
      </c>
      <c r="M1572">
        <v>50</v>
      </c>
      <c r="N1572">
        <v>40.476604461999997</v>
      </c>
    </row>
    <row r="1573" spans="1:14" x14ac:dyDescent="0.25">
      <c r="A1573">
        <v>1280.0000130000001</v>
      </c>
      <c r="B1573" s="1">
        <f>DATE(2013,11,1) + TIME(0,0,1)</f>
        <v>41579.000011574077</v>
      </c>
      <c r="C1573">
        <v>0</v>
      </c>
      <c r="D1573">
        <v>2400</v>
      </c>
      <c r="E1573">
        <v>2400</v>
      </c>
      <c r="F1573">
        <v>0</v>
      </c>
      <c r="G1573">
        <v>1357.3686522999999</v>
      </c>
      <c r="H1573">
        <v>1346.0964355000001</v>
      </c>
      <c r="I1573">
        <v>1313.7816161999999</v>
      </c>
      <c r="J1573">
        <v>1291.2363281</v>
      </c>
      <c r="K1573">
        <v>80</v>
      </c>
      <c r="L1573">
        <v>79.959182738999999</v>
      </c>
      <c r="M1573">
        <v>50</v>
      </c>
      <c r="N1573">
        <v>40.477367401000002</v>
      </c>
    </row>
    <row r="1574" spans="1:14" x14ac:dyDescent="0.25">
      <c r="A1574">
        <v>1280.0000399999999</v>
      </c>
      <c r="B1574" s="1">
        <f>DATE(2013,11,1) + TIME(0,0,3)</f>
        <v>41579.000034722223</v>
      </c>
      <c r="C1574">
        <v>0</v>
      </c>
      <c r="D1574">
        <v>2400</v>
      </c>
      <c r="E1574">
        <v>2400</v>
      </c>
      <c r="F1574">
        <v>0</v>
      </c>
      <c r="G1574">
        <v>1350.8735352000001</v>
      </c>
      <c r="H1574">
        <v>1339.6027832</v>
      </c>
      <c r="I1574">
        <v>1323.4891356999999</v>
      </c>
      <c r="J1574">
        <v>1300.9388428</v>
      </c>
      <c r="K1574">
        <v>80</v>
      </c>
      <c r="L1574">
        <v>79.958251953000001</v>
      </c>
      <c r="M1574">
        <v>50</v>
      </c>
      <c r="N1574">
        <v>40.478836059999999</v>
      </c>
    </row>
    <row r="1575" spans="1:14" x14ac:dyDescent="0.25">
      <c r="A1575">
        <v>1280.000121</v>
      </c>
      <c r="B1575" s="1">
        <f>DATE(2013,11,1) + TIME(0,0,10)</f>
        <v>41579.000115740739</v>
      </c>
      <c r="C1575">
        <v>0</v>
      </c>
      <c r="D1575">
        <v>2400</v>
      </c>
      <c r="E1575">
        <v>2400</v>
      </c>
      <c r="F1575">
        <v>0</v>
      </c>
      <c r="G1575">
        <v>1343.6456298999999</v>
      </c>
      <c r="H1575">
        <v>1332.3793945</v>
      </c>
      <c r="I1575">
        <v>1335.8544922000001</v>
      </c>
      <c r="J1575">
        <v>1313.3302002</v>
      </c>
      <c r="K1575">
        <v>80</v>
      </c>
      <c r="L1575">
        <v>79.957214355000005</v>
      </c>
      <c r="M1575">
        <v>50</v>
      </c>
      <c r="N1575">
        <v>40.481235503999997</v>
      </c>
    </row>
    <row r="1576" spans="1:14" x14ac:dyDescent="0.25">
      <c r="A1576">
        <v>1280.000364</v>
      </c>
      <c r="B1576" s="1">
        <f>DATE(2013,11,1) + TIME(0,0,31)</f>
        <v>41579.000358796293</v>
      </c>
      <c r="C1576">
        <v>0</v>
      </c>
      <c r="D1576">
        <v>2400</v>
      </c>
      <c r="E1576">
        <v>2400</v>
      </c>
      <c r="F1576">
        <v>0</v>
      </c>
      <c r="G1576">
        <v>1336.3798827999999</v>
      </c>
      <c r="H1576">
        <v>1325.1201172000001</v>
      </c>
      <c r="I1576">
        <v>1348.8773193</v>
      </c>
      <c r="J1576">
        <v>1326.3873291</v>
      </c>
      <c r="K1576">
        <v>80</v>
      </c>
      <c r="L1576">
        <v>79.956138611</v>
      </c>
      <c r="M1576">
        <v>50</v>
      </c>
      <c r="N1576">
        <v>40.485527038999997</v>
      </c>
    </row>
    <row r="1577" spans="1:14" x14ac:dyDescent="0.25">
      <c r="A1577">
        <v>1280.0010930000001</v>
      </c>
      <c r="B1577" s="1">
        <f>DATE(2013,11,1) + TIME(0,1,34)</f>
        <v>41579.001087962963</v>
      </c>
      <c r="C1577">
        <v>0</v>
      </c>
      <c r="D1577">
        <v>2400</v>
      </c>
      <c r="E1577">
        <v>2400</v>
      </c>
      <c r="F1577">
        <v>0</v>
      </c>
      <c r="G1577">
        <v>1329.0711670000001</v>
      </c>
      <c r="H1577">
        <v>1317.8020019999999</v>
      </c>
      <c r="I1577">
        <v>1362.1198730000001</v>
      </c>
      <c r="J1577">
        <v>1339.6552733999999</v>
      </c>
      <c r="K1577">
        <v>80</v>
      </c>
      <c r="L1577">
        <v>79.954971313000001</v>
      </c>
      <c r="M1577">
        <v>50</v>
      </c>
      <c r="N1577">
        <v>40.495269774999997</v>
      </c>
    </row>
    <row r="1578" spans="1:14" x14ac:dyDescent="0.25">
      <c r="A1578">
        <v>1280.0032799999999</v>
      </c>
      <c r="B1578" s="1">
        <f>DATE(2013,11,1) + TIME(0,4,43)</f>
        <v>41579.003275462965</v>
      </c>
      <c r="C1578">
        <v>0</v>
      </c>
      <c r="D1578">
        <v>2400</v>
      </c>
      <c r="E1578">
        <v>2400</v>
      </c>
      <c r="F1578">
        <v>0</v>
      </c>
      <c r="G1578">
        <v>1321.4853516000001</v>
      </c>
      <c r="H1578">
        <v>1310.1308594</v>
      </c>
      <c r="I1578">
        <v>1375.5910644999999</v>
      </c>
      <c r="J1578">
        <v>1353.1287841999999</v>
      </c>
      <c r="K1578">
        <v>80</v>
      </c>
      <c r="L1578">
        <v>79.953498839999995</v>
      </c>
      <c r="M1578">
        <v>50</v>
      </c>
      <c r="N1578">
        <v>40.521263122999997</v>
      </c>
    </row>
    <row r="1579" spans="1:14" x14ac:dyDescent="0.25">
      <c r="A1579">
        <v>1280.0098410000001</v>
      </c>
      <c r="B1579" s="1">
        <f>DATE(2013,11,1) + TIME(0,14,10)</f>
        <v>41579.009837962964</v>
      </c>
      <c r="C1579">
        <v>0</v>
      </c>
      <c r="D1579">
        <v>2400</v>
      </c>
      <c r="E1579">
        <v>2400</v>
      </c>
      <c r="F1579">
        <v>0</v>
      </c>
      <c r="G1579">
        <v>1313.7885742000001</v>
      </c>
      <c r="H1579">
        <v>1302.2581786999999</v>
      </c>
      <c r="I1579">
        <v>1388.1966553</v>
      </c>
      <c r="J1579">
        <v>1365.7340088000001</v>
      </c>
      <c r="K1579">
        <v>80</v>
      </c>
      <c r="L1579">
        <v>79.951210021999998</v>
      </c>
      <c r="M1579">
        <v>50</v>
      </c>
      <c r="N1579">
        <v>40.595432281000001</v>
      </c>
    </row>
    <row r="1580" spans="1:14" x14ac:dyDescent="0.25">
      <c r="A1580">
        <v>1280.029524</v>
      </c>
      <c r="B1580" s="1">
        <f>DATE(2013,11,1) + TIME(0,42,30)</f>
        <v>41579.029513888891</v>
      </c>
      <c r="C1580">
        <v>0</v>
      </c>
      <c r="D1580">
        <v>2400</v>
      </c>
      <c r="E1580">
        <v>2400</v>
      </c>
      <c r="F1580">
        <v>0</v>
      </c>
      <c r="G1580">
        <v>1307.4068603999999</v>
      </c>
      <c r="H1580">
        <v>1295.7092285000001</v>
      </c>
      <c r="I1580">
        <v>1397.2404785000001</v>
      </c>
      <c r="J1580">
        <v>1374.8398437999999</v>
      </c>
      <c r="K1580">
        <v>80</v>
      </c>
      <c r="L1580">
        <v>79.946731567</v>
      </c>
      <c r="M1580">
        <v>50</v>
      </c>
      <c r="N1580">
        <v>40.809757232999999</v>
      </c>
    </row>
    <row r="1581" spans="1:14" x14ac:dyDescent="0.25">
      <c r="A1581">
        <v>1280.088573</v>
      </c>
      <c r="B1581" s="1">
        <f>DATE(2013,11,1) + TIME(2,7,32)</f>
        <v>41579.088564814818</v>
      </c>
      <c r="C1581">
        <v>0</v>
      </c>
      <c r="D1581">
        <v>2400</v>
      </c>
      <c r="E1581">
        <v>2400</v>
      </c>
      <c r="F1581">
        <v>0</v>
      </c>
      <c r="G1581">
        <v>1304.0732422000001</v>
      </c>
      <c r="H1581">
        <v>1292.2858887</v>
      </c>
      <c r="I1581">
        <v>1400.800293</v>
      </c>
      <c r="J1581">
        <v>1378.6094971</v>
      </c>
      <c r="K1581">
        <v>80</v>
      </c>
      <c r="L1581">
        <v>79.935989379999995</v>
      </c>
      <c r="M1581">
        <v>50</v>
      </c>
      <c r="N1581">
        <v>41.409099578999999</v>
      </c>
    </row>
    <row r="1582" spans="1:14" x14ac:dyDescent="0.25">
      <c r="A1582">
        <v>1280.1522500000001</v>
      </c>
      <c r="B1582" s="1">
        <f>DATE(2013,11,1) + TIME(3,39,14)</f>
        <v>41579.152245370373</v>
      </c>
      <c r="C1582">
        <v>0</v>
      </c>
      <c r="D1582">
        <v>2400</v>
      </c>
      <c r="E1582">
        <v>2400</v>
      </c>
      <c r="F1582">
        <v>0</v>
      </c>
      <c r="G1582">
        <v>1303.3419189000001</v>
      </c>
      <c r="H1582">
        <v>1291.5335693</v>
      </c>
      <c r="I1582">
        <v>1401.1145019999999</v>
      </c>
      <c r="J1582">
        <v>1379.1225586</v>
      </c>
      <c r="K1582">
        <v>80</v>
      </c>
      <c r="L1582">
        <v>79.925018311000002</v>
      </c>
      <c r="M1582">
        <v>50</v>
      </c>
      <c r="N1582">
        <v>42.011035919000001</v>
      </c>
    </row>
    <row r="1583" spans="1:14" x14ac:dyDescent="0.25">
      <c r="A1583">
        <v>1280.2197249999999</v>
      </c>
      <c r="B1583" s="1">
        <f>DATE(2013,11,1) + TIME(5,16,24)</f>
        <v>41579.219722222224</v>
      </c>
      <c r="C1583">
        <v>0</v>
      </c>
      <c r="D1583">
        <v>2400</v>
      </c>
      <c r="E1583">
        <v>2400</v>
      </c>
      <c r="F1583">
        <v>0</v>
      </c>
      <c r="G1583">
        <v>1303.1660156</v>
      </c>
      <c r="H1583">
        <v>1291.3522949000001</v>
      </c>
      <c r="I1583">
        <v>1400.9013672000001</v>
      </c>
      <c r="J1583">
        <v>1379.1005858999999</v>
      </c>
      <c r="K1583">
        <v>80</v>
      </c>
      <c r="L1583">
        <v>79.913711547999995</v>
      </c>
      <c r="M1583">
        <v>50</v>
      </c>
      <c r="N1583">
        <v>42.602806090999998</v>
      </c>
    </row>
    <row r="1584" spans="1:14" x14ac:dyDescent="0.25">
      <c r="A1584">
        <v>1280.291514</v>
      </c>
      <c r="B1584" s="1">
        <f>DATE(2013,11,1) + TIME(6,59,46)</f>
        <v>41579.291504629633</v>
      </c>
      <c r="C1584">
        <v>0</v>
      </c>
      <c r="D1584">
        <v>2400</v>
      </c>
      <c r="E1584">
        <v>2400</v>
      </c>
      <c r="F1584">
        <v>0</v>
      </c>
      <c r="G1584">
        <v>1303.1181641000001</v>
      </c>
      <c r="H1584">
        <v>1291.3028564000001</v>
      </c>
      <c r="I1584">
        <v>1400.6210937999999</v>
      </c>
      <c r="J1584">
        <v>1379.0041504000001</v>
      </c>
      <c r="K1584">
        <v>80</v>
      </c>
      <c r="L1584">
        <v>79.901954650999997</v>
      </c>
      <c r="M1584">
        <v>50</v>
      </c>
      <c r="N1584">
        <v>43.184104918999999</v>
      </c>
    </row>
    <row r="1585" spans="1:14" x14ac:dyDescent="0.25">
      <c r="A1585">
        <v>1280.3682550000001</v>
      </c>
      <c r="B1585" s="1">
        <f>DATE(2013,11,1) + TIME(8,50,17)</f>
        <v>41579.368252314816</v>
      </c>
      <c r="C1585">
        <v>0</v>
      </c>
      <c r="D1585">
        <v>2400</v>
      </c>
      <c r="E1585">
        <v>2400</v>
      </c>
      <c r="F1585">
        <v>0</v>
      </c>
      <c r="G1585">
        <v>1303.1025391000001</v>
      </c>
      <c r="H1585">
        <v>1291.286499</v>
      </c>
      <c r="I1585">
        <v>1400.3441161999999</v>
      </c>
      <c r="J1585">
        <v>1378.9042969</v>
      </c>
      <c r="K1585">
        <v>80</v>
      </c>
      <c r="L1585">
        <v>79.889671325999998</v>
      </c>
      <c r="M1585">
        <v>50</v>
      </c>
      <c r="N1585">
        <v>43.754573821999998</v>
      </c>
    </row>
    <row r="1586" spans="1:14" x14ac:dyDescent="0.25">
      <c r="A1586">
        <v>1280.4507249999999</v>
      </c>
      <c r="B1586" s="1">
        <f>DATE(2013,11,1) + TIME(10,49,2)</f>
        <v>41579.45071759259</v>
      </c>
      <c r="C1586">
        <v>0</v>
      </c>
      <c r="D1586">
        <v>2400</v>
      </c>
      <c r="E1586">
        <v>2400</v>
      </c>
      <c r="F1586">
        <v>0</v>
      </c>
      <c r="G1586">
        <v>1303.0955810999999</v>
      </c>
      <c r="H1586">
        <v>1291.2791748</v>
      </c>
      <c r="I1586">
        <v>1400.0773925999999</v>
      </c>
      <c r="J1586">
        <v>1378.8081055</v>
      </c>
      <c r="K1586">
        <v>80</v>
      </c>
      <c r="L1586">
        <v>79.876770019999995</v>
      </c>
      <c r="M1586">
        <v>50</v>
      </c>
      <c r="N1586">
        <v>44.313735962000003</v>
      </c>
    </row>
    <row r="1587" spans="1:14" x14ac:dyDescent="0.25">
      <c r="A1587">
        <v>1280.5398909999999</v>
      </c>
      <c r="B1587" s="1">
        <f>DATE(2013,11,1) + TIME(12,57,26)</f>
        <v>41579.539884259262</v>
      </c>
      <c r="C1587">
        <v>0</v>
      </c>
      <c r="D1587">
        <v>2400</v>
      </c>
      <c r="E1587">
        <v>2400</v>
      </c>
      <c r="F1587">
        <v>0</v>
      </c>
      <c r="G1587">
        <v>1303.0910644999999</v>
      </c>
      <c r="H1587">
        <v>1291.2741699000001</v>
      </c>
      <c r="I1587">
        <v>1399.8198242000001</v>
      </c>
      <c r="J1587">
        <v>1378.7145995999999</v>
      </c>
      <c r="K1587">
        <v>80</v>
      </c>
      <c r="L1587">
        <v>79.863143921000002</v>
      </c>
      <c r="M1587">
        <v>50</v>
      </c>
      <c r="N1587">
        <v>44.860992432000003</v>
      </c>
    </row>
    <row r="1588" spans="1:14" x14ac:dyDescent="0.25">
      <c r="A1588">
        <v>1280.636968</v>
      </c>
      <c r="B1588" s="1">
        <f>DATE(2013,11,1) + TIME(15,17,14)</f>
        <v>41579.636967592596</v>
      </c>
      <c r="C1588">
        <v>0</v>
      </c>
      <c r="D1588">
        <v>2400</v>
      </c>
      <c r="E1588">
        <v>2400</v>
      </c>
      <c r="F1588">
        <v>0</v>
      </c>
      <c r="G1588">
        <v>1303.0870361</v>
      </c>
      <c r="H1588">
        <v>1291.2696533000001</v>
      </c>
      <c r="I1588">
        <v>1399.5699463000001</v>
      </c>
      <c r="J1588">
        <v>1378.6223144999999</v>
      </c>
      <c r="K1588">
        <v>80</v>
      </c>
      <c r="L1588">
        <v>79.848670959000003</v>
      </c>
      <c r="M1588">
        <v>50</v>
      </c>
      <c r="N1588">
        <v>45.395568848000003</v>
      </c>
    </row>
    <row r="1589" spans="1:14" x14ac:dyDescent="0.25">
      <c r="A1589">
        <v>1280.7435129999999</v>
      </c>
      <c r="B1589" s="1">
        <f>DATE(2013,11,1) + TIME(17,50,39)</f>
        <v>41579.743506944447</v>
      </c>
      <c r="C1589">
        <v>0</v>
      </c>
      <c r="D1589">
        <v>2400</v>
      </c>
      <c r="E1589">
        <v>2400</v>
      </c>
      <c r="F1589">
        <v>0</v>
      </c>
      <c r="G1589">
        <v>1303.0828856999999</v>
      </c>
      <c r="H1589">
        <v>1291.2648925999999</v>
      </c>
      <c r="I1589">
        <v>1399.3271483999999</v>
      </c>
      <c r="J1589">
        <v>1378.5306396000001</v>
      </c>
      <c r="K1589">
        <v>80</v>
      </c>
      <c r="L1589">
        <v>79.833183289000004</v>
      </c>
      <c r="M1589">
        <v>50</v>
      </c>
      <c r="N1589">
        <v>45.916492462000001</v>
      </c>
    </row>
    <row r="1590" spans="1:14" x14ac:dyDescent="0.25">
      <c r="A1590">
        <v>1280.8616059999999</v>
      </c>
      <c r="B1590" s="1">
        <f>DATE(2013,11,1) + TIME(20,40,42)</f>
        <v>41579.861597222225</v>
      </c>
      <c r="C1590">
        <v>0</v>
      </c>
      <c r="D1590">
        <v>2400</v>
      </c>
      <c r="E1590">
        <v>2400</v>
      </c>
      <c r="F1590">
        <v>0</v>
      </c>
      <c r="G1590">
        <v>1303.0784911999999</v>
      </c>
      <c r="H1590">
        <v>1291.2598877</v>
      </c>
      <c r="I1590">
        <v>1399.0908202999999</v>
      </c>
      <c r="J1590">
        <v>1378.4388428</v>
      </c>
      <c r="K1590">
        <v>80</v>
      </c>
      <c r="L1590">
        <v>79.816474915000001</v>
      </c>
      <c r="M1590">
        <v>50</v>
      </c>
      <c r="N1590">
        <v>46.422698975000003</v>
      </c>
    </row>
    <row r="1591" spans="1:14" x14ac:dyDescent="0.25">
      <c r="A1591">
        <v>1280.9940309999999</v>
      </c>
      <c r="B1591" s="1">
        <f>DATE(2013,11,1) + TIME(23,51,24)</f>
        <v>41579.994027777779</v>
      </c>
      <c r="C1591">
        <v>0</v>
      </c>
      <c r="D1591">
        <v>2400</v>
      </c>
      <c r="E1591">
        <v>2400</v>
      </c>
      <c r="F1591">
        <v>0</v>
      </c>
      <c r="G1591">
        <v>1303.0736084</v>
      </c>
      <c r="H1591">
        <v>1291.2542725000001</v>
      </c>
      <c r="I1591">
        <v>1398.8604736</v>
      </c>
      <c r="J1591">
        <v>1378.3463135</v>
      </c>
      <c r="K1591">
        <v>80</v>
      </c>
      <c r="L1591">
        <v>79.798255920000003</v>
      </c>
      <c r="M1591">
        <v>50</v>
      </c>
      <c r="N1591">
        <v>46.912757874</v>
      </c>
    </row>
    <row r="1592" spans="1:14" x14ac:dyDescent="0.25">
      <c r="A1592">
        <v>1281.1446599999999</v>
      </c>
      <c r="B1592" s="1">
        <f>DATE(2013,11,2) + TIME(3,28,18)</f>
        <v>41580.144652777781</v>
      </c>
      <c r="C1592">
        <v>0</v>
      </c>
      <c r="D1592">
        <v>2400</v>
      </c>
      <c r="E1592">
        <v>2400</v>
      </c>
      <c r="F1592">
        <v>0</v>
      </c>
      <c r="G1592">
        <v>1303.0682373</v>
      </c>
      <c r="H1592">
        <v>1291.2480469</v>
      </c>
      <c r="I1592">
        <v>1398.6358643000001</v>
      </c>
      <c r="J1592">
        <v>1378.2525635</v>
      </c>
      <c r="K1592">
        <v>80</v>
      </c>
      <c r="L1592">
        <v>79.778167725000003</v>
      </c>
      <c r="M1592">
        <v>50</v>
      </c>
      <c r="N1592">
        <v>47.384819030999999</v>
      </c>
    </row>
    <row r="1593" spans="1:14" x14ac:dyDescent="0.25">
      <c r="A1593">
        <v>1281.319068</v>
      </c>
      <c r="B1593" s="1">
        <f>DATE(2013,11,2) + TIME(7,39,27)</f>
        <v>41580.319062499999</v>
      </c>
      <c r="C1593">
        <v>0</v>
      </c>
      <c r="D1593">
        <v>2400</v>
      </c>
      <c r="E1593">
        <v>2400</v>
      </c>
      <c r="F1593">
        <v>0</v>
      </c>
      <c r="G1593">
        <v>1303.0620117000001</v>
      </c>
      <c r="H1593">
        <v>1291.2409668</v>
      </c>
      <c r="I1593">
        <v>1398.4163818</v>
      </c>
      <c r="J1593">
        <v>1378.1566161999999</v>
      </c>
      <c r="K1593">
        <v>80</v>
      </c>
      <c r="L1593">
        <v>79.755676269999995</v>
      </c>
      <c r="M1593">
        <v>50</v>
      </c>
      <c r="N1593">
        <v>47.836483002000001</v>
      </c>
    </row>
    <row r="1594" spans="1:14" x14ac:dyDescent="0.25">
      <c r="A1594">
        <v>1281.525648</v>
      </c>
      <c r="B1594" s="1">
        <f>DATE(2013,11,2) + TIME(12,36,56)</f>
        <v>41580.525648148148</v>
      </c>
      <c r="C1594">
        <v>0</v>
      </c>
      <c r="D1594">
        <v>2400</v>
      </c>
      <c r="E1594">
        <v>2400</v>
      </c>
      <c r="F1594">
        <v>0</v>
      </c>
      <c r="G1594">
        <v>1303.0549315999999</v>
      </c>
      <c r="H1594">
        <v>1291.2327881000001</v>
      </c>
      <c r="I1594">
        <v>1398.2016602000001</v>
      </c>
      <c r="J1594">
        <v>1378.057251</v>
      </c>
      <c r="K1594">
        <v>80</v>
      </c>
      <c r="L1594">
        <v>79.730026245000005</v>
      </c>
      <c r="M1594">
        <v>50</v>
      </c>
      <c r="N1594">
        <v>48.264553069999998</v>
      </c>
    </row>
    <row r="1595" spans="1:14" x14ac:dyDescent="0.25">
      <c r="A1595">
        <v>1281.7645990000001</v>
      </c>
      <c r="B1595" s="1">
        <f>DATE(2013,11,2) + TIME(18,21,1)</f>
        <v>41580.764594907407</v>
      </c>
      <c r="C1595">
        <v>0</v>
      </c>
      <c r="D1595">
        <v>2400</v>
      </c>
      <c r="E1595">
        <v>2400</v>
      </c>
      <c r="F1595">
        <v>0</v>
      </c>
      <c r="G1595">
        <v>1303.0465088000001</v>
      </c>
      <c r="H1595">
        <v>1291.2232666</v>
      </c>
      <c r="I1595">
        <v>1397.9989014</v>
      </c>
      <c r="J1595">
        <v>1377.9562988</v>
      </c>
      <c r="K1595">
        <v>80</v>
      </c>
      <c r="L1595">
        <v>79.701301575000002</v>
      </c>
      <c r="M1595">
        <v>50</v>
      </c>
      <c r="N1595">
        <v>48.648464203000003</v>
      </c>
    </row>
    <row r="1596" spans="1:14" x14ac:dyDescent="0.25">
      <c r="A1596">
        <v>1282.0049879999999</v>
      </c>
      <c r="B1596" s="1">
        <f>DATE(2013,11,3) + TIME(0,7,10)</f>
        <v>41581.004976851851</v>
      </c>
      <c r="C1596">
        <v>0</v>
      </c>
      <c r="D1596">
        <v>2400</v>
      </c>
      <c r="E1596">
        <v>2400</v>
      </c>
      <c r="F1596">
        <v>0</v>
      </c>
      <c r="G1596">
        <v>1303.0368652</v>
      </c>
      <c r="H1596">
        <v>1291.2122803</v>
      </c>
      <c r="I1596">
        <v>1397.8262939000001</v>
      </c>
      <c r="J1596">
        <v>1377.8605957</v>
      </c>
      <c r="K1596">
        <v>80</v>
      </c>
      <c r="L1596">
        <v>79.672363281000003</v>
      </c>
      <c r="M1596">
        <v>50</v>
      </c>
      <c r="N1596">
        <v>48.947383881</v>
      </c>
    </row>
    <row r="1597" spans="1:14" x14ac:dyDescent="0.25">
      <c r="A1597">
        <v>1282.2536729999999</v>
      </c>
      <c r="B1597" s="1">
        <f>DATE(2013,11,3) + TIME(6,5,17)</f>
        <v>41581.253668981481</v>
      </c>
      <c r="C1597">
        <v>0</v>
      </c>
      <c r="D1597">
        <v>2400</v>
      </c>
      <c r="E1597">
        <v>2400</v>
      </c>
      <c r="F1597">
        <v>0</v>
      </c>
      <c r="G1597">
        <v>1303.0270995999999</v>
      </c>
      <c r="H1597">
        <v>1291.2012939000001</v>
      </c>
      <c r="I1597">
        <v>1397.677124</v>
      </c>
      <c r="J1597">
        <v>1377.7723389</v>
      </c>
      <c r="K1597">
        <v>80</v>
      </c>
      <c r="L1597">
        <v>79.642631531000006</v>
      </c>
      <c r="M1597">
        <v>50</v>
      </c>
      <c r="N1597">
        <v>49.184764862000002</v>
      </c>
    </row>
    <row r="1598" spans="1:14" x14ac:dyDescent="0.25">
      <c r="A1598">
        <v>1282.513723</v>
      </c>
      <c r="B1598" s="1">
        <f>DATE(2013,11,3) + TIME(12,19,45)</f>
        <v>41581.513715277775</v>
      </c>
      <c r="C1598">
        <v>0</v>
      </c>
      <c r="D1598">
        <v>2400</v>
      </c>
      <c r="E1598">
        <v>2400</v>
      </c>
      <c r="F1598">
        <v>0</v>
      </c>
      <c r="G1598">
        <v>1303.0172118999999</v>
      </c>
      <c r="H1598">
        <v>1291.1899414</v>
      </c>
      <c r="I1598">
        <v>1397.5460204999999</v>
      </c>
      <c r="J1598">
        <v>1377.6892089999999</v>
      </c>
      <c r="K1598">
        <v>80</v>
      </c>
      <c r="L1598">
        <v>79.611839294000006</v>
      </c>
      <c r="M1598">
        <v>50</v>
      </c>
      <c r="N1598">
        <v>49.373264313</v>
      </c>
    </row>
    <row r="1599" spans="1:14" x14ac:dyDescent="0.25">
      <c r="A1599">
        <v>1282.788841</v>
      </c>
      <c r="B1599" s="1">
        <f>DATE(2013,11,3) + TIME(18,55,55)</f>
        <v>41581.788831018515</v>
      </c>
      <c r="C1599">
        <v>0</v>
      </c>
      <c r="D1599">
        <v>2400</v>
      </c>
      <c r="E1599">
        <v>2400</v>
      </c>
      <c r="F1599">
        <v>0</v>
      </c>
      <c r="G1599">
        <v>1303.0068358999999</v>
      </c>
      <c r="H1599">
        <v>1291.1781006000001</v>
      </c>
      <c r="I1599">
        <v>1397.4287108999999</v>
      </c>
      <c r="J1599">
        <v>1377.6098632999999</v>
      </c>
      <c r="K1599">
        <v>80</v>
      </c>
      <c r="L1599">
        <v>79.579650878999999</v>
      </c>
      <c r="M1599">
        <v>50</v>
      </c>
      <c r="N1599">
        <v>49.522609711000001</v>
      </c>
    </row>
    <row r="1600" spans="1:14" x14ac:dyDescent="0.25">
      <c r="A1600">
        <v>1283.0832809999999</v>
      </c>
      <c r="B1600" s="1">
        <f>DATE(2013,11,4) + TIME(1,59,55)</f>
        <v>41582.083275462966</v>
      </c>
      <c r="C1600">
        <v>0</v>
      </c>
      <c r="D1600">
        <v>2400</v>
      </c>
      <c r="E1600">
        <v>2400</v>
      </c>
      <c r="F1600">
        <v>0</v>
      </c>
      <c r="G1600">
        <v>1302.9958495999999</v>
      </c>
      <c r="H1600">
        <v>1291.1656493999999</v>
      </c>
      <c r="I1600">
        <v>1397.3221435999999</v>
      </c>
      <c r="J1600">
        <v>1377.5330810999999</v>
      </c>
      <c r="K1600">
        <v>80</v>
      </c>
      <c r="L1600">
        <v>79.545692443999997</v>
      </c>
      <c r="M1600">
        <v>50</v>
      </c>
      <c r="N1600">
        <v>49.640247344999999</v>
      </c>
    </row>
    <row r="1601" spans="1:14" x14ac:dyDescent="0.25">
      <c r="A1601">
        <v>1283.3975459999999</v>
      </c>
      <c r="B1601" s="1">
        <f>DATE(2013,11,4) + TIME(9,32,27)</f>
        <v>41582.397534722222</v>
      </c>
      <c r="C1601">
        <v>0</v>
      </c>
      <c r="D1601">
        <v>2400</v>
      </c>
      <c r="E1601">
        <v>2400</v>
      </c>
      <c r="F1601">
        <v>0</v>
      </c>
      <c r="G1601">
        <v>1302.9842529</v>
      </c>
      <c r="H1601">
        <v>1291.1524658000001</v>
      </c>
      <c r="I1601">
        <v>1397.2242432</v>
      </c>
      <c r="J1601">
        <v>1377.4580077999999</v>
      </c>
      <c r="K1601">
        <v>80</v>
      </c>
      <c r="L1601">
        <v>79.509895325000002</v>
      </c>
      <c r="M1601">
        <v>50</v>
      </c>
      <c r="N1601">
        <v>49.731071471999996</v>
      </c>
    </row>
    <row r="1602" spans="1:14" x14ac:dyDescent="0.25">
      <c r="A1602">
        <v>1283.735107</v>
      </c>
      <c r="B1602" s="1">
        <f>DATE(2013,11,4) + TIME(17,38,33)</f>
        <v>41582.73510416667</v>
      </c>
      <c r="C1602">
        <v>0</v>
      </c>
      <c r="D1602">
        <v>2400</v>
      </c>
      <c r="E1602">
        <v>2400</v>
      </c>
      <c r="F1602">
        <v>0</v>
      </c>
      <c r="G1602">
        <v>1302.9720459</v>
      </c>
      <c r="H1602">
        <v>1291.1383057</v>
      </c>
      <c r="I1602">
        <v>1397.1333007999999</v>
      </c>
      <c r="J1602">
        <v>1377.3845214999999</v>
      </c>
      <c r="K1602">
        <v>80</v>
      </c>
      <c r="L1602">
        <v>79.471961974999999</v>
      </c>
      <c r="M1602">
        <v>50</v>
      </c>
      <c r="N1602">
        <v>49.800262451000002</v>
      </c>
    </row>
    <row r="1603" spans="1:14" x14ac:dyDescent="0.25">
      <c r="A1603">
        <v>1284.1016870000001</v>
      </c>
      <c r="B1603" s="1">
        <f>DATE(2013,11,5) + TIME(2,26,25)</f>
        <v>41583.101678240739</v>
      </c>
      <c r="C1603">
        <v>0</v>
      </c>
      <c r="D1603">
        <v>2400</v>
      </c>
      <c r="E1603">
        <v>2400</v>
      </c>
      <c r="F1603">
        <v>0</v>
      </c>
      <c r="G1603">
        <v>1302.9588623</v>
      </c>
      <c r="H1603">
        <v>1291.1232910000001</v>
      </c>
      <c r="I1603">
        <v>1397.0474853999999</v>
      </c>
      <c r="J1603">
        <v>1377.3118896000001</v>
      </c>
      <c r="K1603">
        <v>80</v>
      </c>
      <c r="L1603">
        <v>79.431404114000003</v>
      </c>
      <c r="M1603">
        <v>50</v>
      </c>
      <c r="N1603">
        <v>49.852310181</v>
      </c>
    </row>
    <row r="1604" spans="1:14" x14ac:dyDescent="0.25">
      <c r="A1604">
        <v>1284.5044519999999</v>
      </c>
      <c r="B1604" s="1">
        <f>DATE(2013,11,5) + TIME(12,6,24)</f>
        <v>41583.504444444443</v>
      </c>
      <c r="C1604">
        <v>0</v>
      </c>
      <c r="D1604">
        <v>2400</v>
      </c>
      <c r="E1604">
        <v>2400</v>
      </c>
      <c r="F1604">
        <v>0</v>
      </c>
      <c r="G1604">
        <v>1302.9447021000001</v>
      </c>
      <c r="H1604">
        <v>1291.1069336</v>
      </c>
      <c r="I1604">
        <v>1396.9652100000001</v>
      </c>
      <c r="J1604">
        <v>1377.2393798999999</v>
      </c>
      <c r="K1604">
        <v>80</v>
      </c>
      <c r="L1604">
        <v>79.387634277000004</v>
      </c>
      <c r="M1604">
        <v>50</v>
      </c>
      <c r="N1604">
        <v>49.890808104999998</v>
      </c>
    </row>
    <row r="1605" spans="1:14" x14ac:dyDescent="0.25">
      <c r="A1605">
        <v>1284.9529600000001</v>
      </c>
      <c r="B1605" s="1">
        <f>DATE(2013,11,5) + TIME(22,52,15)</f>
        <v>41583.952951388892</v>
      </c>
      <c r="C1605">
        <v>0</v>
      </c>
      <c r="D1605">
        <v>2400</v>
      </c>
      <c r="E1605">
        <v>2400</v>
      </c>
      <c r="F1605">
        <v>0</v>
      </c>
      <c r="G1605">
        <v>1302.9291992000001</v>
      </c>
      <c r="H1605">
        <v>1291.0891113</v>
      </c>
      <c r="I1605">
        <v>1396.8846435999999</v>
      </c>
      <c r="J1605">
        <v>1377.1661377</v>
      </c>
      <c r="K1605">
        <v>80</v>
      </c>
      <c r="L1605">
        <v>79.339874268000003</v>
      </c>
      <c r="M1605">
        <v>50</v>
      </c>
      <c r="N1605">
        <v>49.918704986999998</v>
      </c>
    </row>
    <row r="1606" spans="1:14" x14ac:dyDescent="0.25">
      <c r="A1606">
        <v>1285.460006</v>
      </c>
      <c r="B1606" s="1">
        <f>DATE(2013,11,6) + TIME(11,2,24)</f>
        <v>41584.46</v>
      </c>
      <c r="C1606">
        <v>0</v>
      </c>
      <c r="D1606">
        <v>2400</v>
      </c>
      <c r="E1606">
        <v>2400</v>
      </c>
      <c r="F1606">
        <v>0</v>
      </c>
      <c r="G1606">
        <v>1302.9121094</v>
      </c>
      <c r="H1606">
        <v>1291.0692139</v>
      </c>
      <c r="I1606">
        <v>1396.8041992000001</v>
      </c>
      <c r="J1606">
        <v>1377.0910644999999</v>
      </c>
      <c r="K1606">
        <v>80</v>
      </c>
      <c r="L1606">
        <v>79.287101746000005</v>
      </c>
      <c r="M1606">
        <v>50</v>
      </c>
      <c r="N1606">
        <v>49.938404083000002</v>
      </c>
    </row>
    <row r="1607" spans="1:14" x14ac:dyDescent="0.25">
      <c r="A1607">
        <v>1285.9688739999999</v>
      </c>
      <c r="B1607" s="1">
        <f>DATE(2013,11,6) + TIME(23,15,10)</f>
        <v>41584.968865740739</v>
      </c>
      <c r="C1607">
        <v>0</v>
      </c>
      <c r="D1607">
        <v>2400</v>
      </c>
      <c r="E1607">
        <v>2400</v>
      </c>
      <c r="F1607">
        <v>0</v>
      </c>
      <c r="G1607">
        <v>1302.8927002</v>
      </c>
      <c r="H1607">
        <v>1291.0471190999999</v>
      </c>
      <c r="I1607">
        <v>1396.7230225000001</v>
      </c>
      <c r="J1607">
        <v>1377.0134277</v>
      </c>
      <c r="K1607">
        <v>80</v>
      </c>
      <c r="L1607">
        <v>79.232734679999993</v>
      </c>
      <c r="M1607">
        <v>50</v>
      </c>
      <c r="N1607">
        <v>49.950786591000004</v>
      </c>
    </row>
    <row r="1608" spans="1:14" x14ac:dyDescent="0.25">
      <c r="A1608">
        <v>1286.4871370000001</v>
      </c>
      <c r="B1608" s="1">
        <f>DATE(2013,11,7) + TIME(11,41,28)</f>
        <v>41585.487129629626</v>
      </c>
      <c r="C1608">
        <v>0</v>
      </c>
      <c r="D1608">
        <v>2400</v>
      </c>
      <c r="E1608">
        <v>2400</v>
      </c>
      <c r="F1608">
        <v>0</v>
      </c>
      <c r="G1608">
        <v>1302.8732910000001</v>
      </c>
      <c r="H1608">
        <v>1291.0247803</v>
      </c>
      <c r="I1608">
        <v>1396.6488036999999</v>
      </c>
      <c r="J1608">
        <v>1376.9418945</v>
      </c>
      <c r="K1608">
        <v>80</v>
      </c>
      <c r="L1608">
        <v>79.176963806000003</v>
      </c>
      <c r="M1608">
        <v>50</v>
      </c>
      <c r="N1608">
        <v>49.958683014000002</v>
      </c>
    </row>
    <row r="1609" spans="1:14" x14ac:dyDescent="0.25">
      <c r="A1609">
        <v>1287.0222470000001</v>
      </c>
      <c r="B1609" s="1">
        <f>DATE(2013,11,8) + TIME(0,32,2)</f>
        <v>41586.022245370368</v>
      </c>
      <c r="C1609">
        <v>0</v>
      </c>
      <c r="D1609">
        <v>2400</v>
      </c>
      <c r="E1609">
        <v>2400</v>
      </c>
      <c r="F1609">
        <v>0</v>
      </c>
      <c r="G1609">
        <v>1302.8536377</v>
      </c>
      <c r="H1609">
        <v>1291.0020752</v>
      </c>
      <c r="I1609">
        <v>1396.5793457</v>
      </c>
      <c r="J1609">
        <v>1376.8746338000001</v>
      </c>
      <c r="K1609">
        <v>80</v>
      </c>
      <c r="L1609">
        <v>79.119583129999995</v>
      </c>
      <c r="M1609">
        <v>50</v>
      </c>
      <c r="N1609">
        <v>49.963760376000003</v>
      </c>
    </row>
    <row r="1610" spans="1:14" x14ac:dyDescent="0.25">
      <c r="A1610">
        <v>1287.5814250000001</v>
      </c>
      <c r="B1610" s="1">
        <f>DATE(2013,11,8) + TIME(13,57,15)</f>
        <v>41586.581423611111</v>
      </c>
      <c r="C1610">
        <v>0</v>
      </c>
      <c r="D1610">
        <v>2400</v>
      </c>
      <c r="E1610">
        <v>2400</v>
      </c>
      <c r="F1610">
        <v>0</v>
      </c>
      <c r="G1610">
        <v>1302.8334961</v>
      </c>
      <c r="H1610">
        <v>1290.9786377</v>
      </c>
      <c r="I1610">
        <v>1396.5131836</v>
      </c>
      <c r="J1610">
        <v>1376.8103027</v>
      </c>
      <c r="K1610">
        <v>80</v>
      </c>
      <c r="L1610">
        <v>79.060226439999994</v>
      </c>
      <c r="M1610">
        <v>50</v>
      </c>
      <c r="N1610">
        <v>49.967044829999999</v>
      </c>
    </row>
    <row r="1611" spans="1:14" x14ac:dyDescent="0.25">
      <c r="A1611">
        <v>1288.1724099999999</v>
      </c>
      <c r="B1611" s="1">
        <f>DATE(2013,11,9) + TIME(4,8,16)</f>
        <v>41587.172407407408</v>
      </c>
      <c r="C1611">
        <v>0</v>
      </c>
      <c r="D1611">
        <v>2400</v>
      </c>
      <c r="E1611">
        <v>2400</v>
      </c>
      <c r="F1611">
        <v>0</v>
      </c>
      <c r="G1611">
        <v>1302.8125</v>
      </c>
      <c r="H1611">
        <v>1290.9542236</v>
      </c>
      <c r="I1611">
        <v>1396.4490966999999</v>
      </c>
      <c r="J1611">
        <v>1376.7478027</v>
      </c>
      <c r="K1611">
        <v>80</v>
      </c>
      <c r="L1611">
        <v>78.998374939000001</v>
      </c>
      <c r="M1611">
        <v>50</v>
      </c>
      <c r="N1611">
        <v>49.969173431000002</v>
      </c>
    </row>
    <row r="1612" spans="1:14" x14ac:dyDescent="0.25">
      <c r="A1612">
        <v>1288.8044400000001</v>
      </c>
      <c r="B1612" s="1">
        <f>DATE(2013,11,9) + TIME(19,18,23)</f>
        <v>41587.804432870369</v>
      </c>
      <c r="C1612">
        <v>0</v>
      </c>
      <c r="D1612">
        <v>2400</v>
      </c>
      <c r="E1612">
        <v>2400</v>
      </c>
      <c r="F1612">
        <v>0</v>
      </c>
      <c r="G1612">
        <v>1302.7904053</v>
      </c>
      <c r="H1612">
        <v>1290.9284668</v>
      </c>
      <c r="I1612">
        <v>1396.3859863</v>
      </c>
      <c r="J1612">
        <v>1376.6862793</v>
      </c>
      <c r="K1612">
        <v>80</v>
      </c>
      <c r="L1612">
        <v>78.933341979999994</v>
      </c>
      <c r="M1612">
        <v>50</v>
      </c>
      <c r="N1612">
        <v>49.970561981000003</v>
      </c>
    </row>
    <row r="1613" spans="1:14" x14ac:dyDescent="0.25">
      <c r="A1613">
        <v>1289.489</v>
      </c>
      <c r="B1613" s="1">
        <f>DATE(2013,11,10) + TIME(11,44,9)</f>
        <v>41588.488993055558</v>
      </c>
      <c r="C1613">
        <v>0</v>
      </c>
      <c r="D1613">
        <v>2400</v>
      </c>
      <c r="E1613">
        <v>2400</v>
      </c>
      <c r="F1613">
        <v>0</v>
      </c>
      <c r="G1613">
        <v>1302.7668457</v>
      </c>
      <c r="H1613">
        <v>1290.9008789</v>
      </c>
      <c r="I1613">
        <v>1396.3231201000001</v>
      </c>
      <c r="J1613">
        <v>1376.625</v>
      </c>
      <c r="K1613">
        <v>80</v>
      </c>
      <c r="L1613">
        <v>78.864257812000005</v>
      </c>
      <c r="M1613">
        <v>50</v>
      </c>
      <c r="N1613">
        <v>49.971473693999997</v>
      </c>
    </row>
    <row r="1614" spans="1:14" x14ac:dyDescent="0.25">
      <c r="A1614">
        <v>1290.2290439999999</v>
      </c>
      <c r="B1614" s="1">
        <f>DATE(2013,11,11) + TIME(5,29,49)</f>
        <v>41589.229039351849</v>
      </c>
      <c r="C1614">
        <v>0</v>
      </c>
      <c r="D1614">
        <v>2400</v>
      </c>
      <c r="E1614">
        <v>2400</v>
      </c>
      <c r="F1614">
        <v>0</v>
      </c>
      <c r="G1614">
        <v>1302.7413329999999</v>
      </c>
      <c r="H1614">
        <v>1290.8710937999999</v>
      </c>
      <c r="I1614">
        <v>1396.2596435999999</v>
      </c>
      <c r="J1614">
        <v>1376.5632324000001</v>
      </c>
      <c r="K1614">
        <v>80</v>
      </c>
      <c r="L1614">
        <v>78.790641785000005</v>
      </c>
      <c r="M1614">
        <v>50</v>
      </c>
      <c r="N1614">
        <v>49.972064971999998</v>
      </c>
    </row>
    <row r="1615" spans="1:14" x14ac:dyDescent="0.25">
      <c r="A1615">
        <v>1291.033557</v>
      </c>
      <c r="B1615" s="1">
        <f>DATE(2013,11,12) + TIME(0,48,19)</f>
        <v>41590.033553240741</v>
      </c>
      <c r="C1615">
        <v>0</v>
      </c>
      <c r="D1615">
        <v>2400</v>
      </c>
      <c r="E1615">
        <v>2400</v>
      </c>
      <c r="F1615">
        <v>0</v>
      </c>
      <c r="G1615">
        <v>1302.7138672000001</v>
      </c>
      <c r="H1615">
        <v>1290.8388672000001</v>
      </c>
      <c r="I1615">
        <v>1396.1955565999999</v>
      </c>
      <c r="J1615">
        <v>1376.5009766000001</v>
      </c>
      <c r="K1615">
        <v>80</v>
      </c>
      <c r="L1615">
        <v>78.711799622000001</v>
      </c>
      <c r="M1615">
        <v>50</v>
      </c>
      <c r="N1615">
        <v>49.972457886000001</v>
      </c>
    </row>
    <row r="1616" spans="1:14" x14ac:dyDescent="0.25">
      <c r="A1616">
        <v>1291.85788</v>
      </c>
      <c r="B1616" s="1">
        <f>DATE(2013,11,12) + TIME(20,35,20)</f>
        <v>41590.857870370368</v>
      </c>
      <c r="C1616">
        <v>0</v>
      </c>
      <c r="D1616">
        <v>2400</v>
      </c>
      <c r="E1616">
        <v>2400</v>
      </c>
      <c r="F1616">
        <v>0</v>
      </c>
      <c r="G1616">
        <v>1302.6837158000001</v>
      </c>
      <c r="H1616">
        <v>1290.8039550999999</v>
      </c>
      <c r="I1616">
        <v>1396.1306152</v>
      </c>
      <c r="J1616">
        <v>1376.4381103999999</v>
      </c>
      <c r="K1616">
        <v>80</v>
      </c>
      <c r="L1616">
        <v>78.629676818999997</v>
      </c>
      <c r="M1616">
        <v>50</v>
      </c>
      <c r="N1616">
        <v>49.972705841</v>
      </c>
    </row>
    <row r="1617" spans="1:14" x14ac:dyDescent="0.25">
      <c r="A1617">
        <v>1292.6923360000001</v>
      </c>
      <c r="B1617" s="1">
        <f>DATE(2013,11,13) + TIME(16,36,57)</f>
        <v>41591.692326388889</v>
      </c>
      <c r="C1617">
        <v>0</v>
      </c>
      <c r="D1617">
        <v>2400</v>
      </c>
      <c r="E1617">
        <v>2400</v>
      </c>
      <c r="F1617">
        <v>0</v>
      </c>
      <c r="G1617">
        <v>1302.6529541</v>
      </c>
      <c r="H1617">
        <v>1290.7679443</v>
      </c>
      <c r="I1617">
        <v>1396.0686035000001</v>
      </c>
      <c r="J1617">
        <v>1376.3780518000001</v>
      </c>
      <c r="K1617">
        <v>80</v>
      </c>
      <c r="L1617">
        <v>78.545722960999996</v>
      </c>
      <c r="M1617">
        <v>50</v>
      </c>
      <c r="N1617">
        <v>49.972869873</v>
      </c>
    </row>
    <row r="1618" spans="1:14" x14ac:dyDescent="0.25">
      <c r="A1618">
        <v>1293.5484570000001</v>
      </c>
      <c r="B1618" s="1">
        <f>DATE(2013,11,14) + TIME(13,9,46)</f>
        <v>41592.548449074071</v>
      </c>
      <c r="C1618">
        <v>0</v>
      </c>
      <c r="D1618">
        <v>2400</v>
      </c>
      <c r="E1618">
        <v>2400</v>
      </c>
      <c r="F1618">
        <v>0</v>
      </c>
      <c r="G1618">
        <v>1302.6218262</v>
      </c>
      <c r="H1618">
        <v>1290.7314452999999</v>
      </c>
      <c r="I1618">
        <v>1396.0098877</v>
      </c>
      <c r="J1618">
        <v>1376.3211670000001</v>
      </c>
      <c r="K1618">
        <v>80</v>
      </c>
      <c r="L1618">
        <v>78.460105896000002</v>
      </c>
      <c r="M1618">
        <v>50</v>
      </c>
      <c r="N1618">
        <v>49.972980499000002</v>
      </c>
    </row>
    <row r="1619" spans="1:14" x14ac:dyDescent="0.25">
      <c r="A1619">
        <v>1294.4375829999999</v>
      </c>
      <c r="B1619" s="1">
        <f>DATE(2013,11,15) + TIME(10,30,7)</f>
        <v>41593.437581018516</v>
      </c>
      <c r="C1619">
        <v>0</v>
      </c>
      <c r="D1619">
        <v>2400</v>
      </c>
      <c r="E1619">
        <v>2400</v>
      </c>
      <c r="F1619">
        <v>0</v>
      </c>
      <c r="G1619">
        <v>1302.5898437999999</v>
      </c>
      <c r="H1619">
        <v>1290.6938477000001</v>
      </c>
      <c r="I1619">
        <v>1395.9532471</v>
      </c>
      <c r="J1619">
        <v>1376.2666016000001</v>
      </c>
      <c r="K1619">
        <v>80</v>
      </c>
      <c r="L1619">
        <v>78.372375488000003</v>
      </c>
      <c r="M1619">
        <v>50</v>
      </c>
      <c r="N1619">
        <v>49.973060607999997</v>
      </c>
    </row>
    <row r="1620" spans="1:14" x14ac:dyDescent="0.25">
      <c r="A1620">
        <v>1295.3718140000001</v>
      </c>
      <c r="B1620" s="1">
        <f>DATE(2013,11,16) + TIME(8,55,24)</f>
        <v>41594.371805555558</v>
      </c>
      <c r="C1620">
        <v>0</v>
      </c>
      <c r="D1620">
        <v>2400</v>
      </c>
      <c r="E1620">
        <v>2400</v>
      </c>
      <c r="F1620">
        <v>0</v>
      </c>
      <c r="G1620">
        <v>1302.5565185999999</v>
      </c>
      <c r="H1620">
        <v>1290.6546631000001</v>
      </c>
      <c r="I1620">
        <v>1395.8979492000001</v>
      </c>
      <c r="J1620">
        <v>1376.2132568</v>
      </c>
      <c r="K1620">
        <v>80</v>
      </c>
      <c r="L1620">
        <v>78.281784058</v>
      </c>
      <c r="M1620">
        <v>50</v>
      </c>
      <c r="N1620">
        <v>49.973121642999999</v>
      </c>
    </row>
    <row r="1621" spans="1:14" x14ac:dyDescent="0.25">
      <c r="A1621">
        <v>1296.3652990000001</v>
      </c>
      <c r="B1621" s="1">
        <f>DATE(2013,11,17) + TIME(8,46,1)</f>
        <v>41595.365289351852</v>
      </c>
      <c r="C1621">
        <v>0</v>
      </c>
      <c r="D1621">
        <v>2400</v>
      </c>
      <c r="E1621">
        <v>2400</v>
      </c>
      <c r="F1621">
        <v>0</v>
      </c>
      <c r="G1621">
        <v>1302.5216064000001</v>
      </c>
      <c r="H1621">
        <v>1290.6132812000001</v>
      </c>
      <c r="I1621">
        <v>1395.8431396000001</v>
      </c>
      <c r="J1621">
        <v>1376.1604004000001</v>
      </c>
      <c r="K1621">
        <v>80</v>
      </c>
      <c r="L1621">
        <v>78.187324524000005</v>
      </c>
      <c r="M1621">
        <v>50</v>
      </c>
      <c r="N1621">
        <v>49.973171233999999</v>
      </c>
    </row>
    <row r="1622" spans="1:14" x14ac:dyDescent="0.25">
      <c r="A1622">
        <v>1297.4356439999999</v>
      </c>
      <c r="B1622" s="1">
        <f>DATE(2013,11,18) + TIME(10,27,19)</f>
        <v>41596.435636574075</v>
      </c>
      <c r="C1622">
        <v>0</v>
      </c>
      <c r="D1622">
        <v>2400</v>
      </c>
      <c r="E1622">
        <v>2400</v>
      </c>
      <c r="F1622">
        <v>0</v>
      </c>
      <c r="G1622">
        <v>1302.4842529</v>
      </c>
      <c r="H1622">
        <v>1290.5692139</v>
      </c>
      <c r="I1622">
        <v>1395.7880858999999</v>
      </c>
      <c r="J1622">
        <v>1376.1074219</v>
      </c>
      <c r="K1622">
        <v>80</v>
      </c>
      <c r="L1622">
        <v>78.087738036999994</v>
      </c>
      <c r="M1622">
        <v>50</v>
      </c>
      <c r="N1622">
        <v>49.973209380999997</v>
      </c>
    </row>
    <row r="1623" spans="1:14" x14ac:dyDescent="0.25">
      <c r="A1623">
        <v>1298.6045790000001</v>
      </c>
      <c r="B1623" s="1">
        <f>DATE(2013,11,19) + TIME(14,30,35)</f>
        <v>41597.604571759257</v>
      </c>
      <c r="C1623">
        <v>0</v>
      </c>
      <c r="D1623">
        <v>2400</v>
      </c>
      <c r="E1623">
        <v>2400</v>
      </c>
      <c r="F1623">
        <v>0</v>
      </c>
      <c r="G1623">
        <v>1302.4438477000001</v>
      </c>
      <c r="H1623">
        <v>1290.5213623</v>
      </c>
      <c r="I1623">
        <v>1395.7321777</v>
      </c>
      <c r="J1623">
        <v>1376.0535889</v>
      </c>
      <c r="K1623">
        <v>80</v>
      </c>
      <c r="L1623">
        <v>77.981491089000002</v>
      </c>
      <c r="M1623">
        <v>50</v>
      </c>
      <c r="N1623">
        <v>49.973247528000002</v>
      </c>
    </row>
    <row r="1624" spans="1:14" x14ac:dyDescent="0.25">
      <c r="A1624">
        <v>1299.7756360000001</v>
      </c>
      <c r="B1624" s="1">
        <f>DATE(2013,11,20) + TIME(18,36,54)</f>
        <v>41598.775625000002</v>
      </c>
      <c r="C1624">
        <v>0</v>
      </c>
      <c r="D1624">
        <v>2400</v>
      </c>
      <c r="E1624">
        <v>2400</v>
      </c>
      <c r="F1624">
        <v>0</v>
      </c>
      <c r="G1624">
        <v>1302.3992920000001</v>
      </c>
      <c r="H1624">
        <v>1290.4689940999999</v>
      </c>
      <c r="I1624">
        <v>1395.6744385</v>
      </c>
      <c r="J1624">
        <v>1375.9981689000001</v>
      </c>
      <c r="K1624">
        <v>80</v>
      </c>
      <c r="L1624">
        <v>77.871414185000006</v>
      </c>
      <c r="M1624">
        <v>50</v>
      </c>
      <c r="N1624">
        <v>49.973278045999997</v>
      </c>
    </row>
    <row r="1625" spans="1:14" x14ac:dyDescent="0.25">
      <c r="A1625">
        <v>1300.9644900000001</v>
      </c>
      <c r="B1625" s="1">
        <f>DATE(2013,11,21) + TIME(23,8,51)</f>
        <v>41599.964479166665</v>
      </c>
      <c r="C1625">
        <v>0</v>
      </c>
      <c r="D1625">
        <v>2400</v>
      </c>
      <c r="E1625">
        <v>2400</v>
      </c>
      <c r="F1625">
        <v>0</v>
      </c>
      <c r="G1625">
        <v>1302.3542480000001</v>
      </c>
      <c r="H1625">
        <v>1290.4158935999999</v>
      </c>
      <c r="I1625">
        <v>1395.6198730000001</v>
      </c>
      <c r="J1625">
        <v>1375.9458007999999</v>
      </c>
      <c r="K1625">
        <v>80</v>
      </c>
      <c r="L1625">
        <v>77.759597778</v>
      </c>
      <c r="M1625">
        <v>50</v>
      </c>
      <c r="N1625">
        <v>49.973308563000003</v>
      </c>
    </row>
    <row r="1626" spans="1:14" x14ac:dyDescent="0.25">
      <c r="A1626">
        <v>1302.1533449999999</v>
      </c>
      <c r="B1626" s="1">
        <f>DATE(2013,11,23) + TIME(3,40,49)</f>
        <v>41601.153344907405</v>
      </c>
      <c r="C1626">
        <v>0</v>
      </c>
      <c r="D1626">
        <v>2400</v>
      </c>
      <c r="E1626">
        <v>2400</v>
      </c>
      <c r="F1626">
        <v>0</v>
      </c>
      <c r="G1626">
        <v>1302.3082274999999</v>
      </c>
      <c r="H1626">
        <v>1290.3613281</v>
      </c>
      <c r="I1626">
        <v>1395.5675048999999</v>
      </c>
      <c r="J1626">
        <v>1375.8955077999999</v>
      </c>
      <c r="K1626">
        <v>80</v>
      </c>
      <c r="L1626">
        <v>77.647430420000006</v>
      </c>
      <c r="M1626">
        <v>50</v>
      </c>
      <c r="N1626">
        <v>49.973335265999999</v>
      </c>
    </row>
    <row r="1627" spans="1:14" x14ac:dyDescent="0.25">
      <c r="A1627">
        <v>1303.426847</v>
      </c>
      <c r="B1627" s="1">
        <f>DATE(2013,11,24) + TIME(10,14,39)</f>
        <v>41602.426840277774</v>
      </c>
      <c r="C1627">
        <v>0</v>
      </c>
      <c r="D1627">
        <v>2400</v>
      </c>
      <c r="E1627">
        <v>2400</v>
      </c>
      <c r="F1627">
        <v>0</v>
      </c>
      <c r="G1627">
        <v>1302.2620850000001</v>
      </c>
      <c r="H1627">
        <v>1290.3061522999999</v>
      </c>
      <c r="I1627">
        <v>1395.5179443</v>
      </c>
      <c r="J1627">
        <v>1375.8477783000001</v>
      </c>
      <c r="K1627">
        <v>80</v>
      </c>
      <c r="L1627">
        <v>77.532478333</v>
      </c>
      <c r="M1627">
        <v>50</v>
      </c>
      <c r="N1627">
        <v>49.973365784000002</v>
      </c>
    </row>
    <row r="1628" spans="1:14" x14ac:dyDescent="0.25">
      <c r="A1628">
        <v>1304.767421</v>
      </c>
      <c r="B1628" s="1">
        <f>DATE(2013,11,25) + TIME(18,25,5)</f>
        <v>41603.767418981479</v>
      </c>
      <c r="C1628">
        <v>0</v>
      </c>
      <c r="D1628">
        <v>2400</v>
      </c>
      <c r="E1628">
        <v>2400</v>
      </c>
      <c r="F1628">
        <v>0</v>
      </c>
      <c r="G1628">
        <v>1302.2120361</v>
      </c>
      <c r="H1628">
        <v>1290.246582</v>
      </c>
      <c r="I1628">
        <v>1395.4672852000001</v>
      </c>
      <c r="J1628">
        <v>1375.7991943</v>
      </c>
      <c r="K1628">
        <v>80</v>
      </c>
      <c r="L1628">
        <v>77.413223267000006</v>
      </c>
      <c r="M1628">
        <v>50</v>
      </c>
      <c r="N1628">
        <v>49.973396301000001</v>
      </c>
    </row>
    <row r="1629" spans="1:14" x14ac:dyDescent="0.25">
      <c r="A1629">
        <v>1306.1984150000001</v>
      </c>
      <c r="B1629" s="1">
        <f>DATE(2013,11,27) + TIME(4,45,43)</f>
        <v>41605.198414351849</v>
      </c>
      <c r="C1629">
        <v>0</v>
      </c>
      <c r="D1629">
        <v>2400</v>
      </c>
      <c r="E1629">
        <v>2400</v>
      </c>
      <c r="F1629">
        <v>0</v>
      </c>
      <c r="G1629">
        <v>1302.1588135</v>
      </c>
      <c r="H1629">
        <v>1290.1831055</v>
      </c>
      <c r="I1629">
        <v>1395.4167480000001</v>
      </c>
      <c r="J1629">
        <v>1375.7506103999999</v>
      </c>
      <c r="K1629">
        <v>80</v>
      </c>
      <c r="L1629">
        <v>77.288558960000003</v>
      </c>
      <c r="M1629">
        <v>50</v>
      </c>
      <c r="N1629">
        <v>49.973426818999997</v>
      </c>
    </row>
    <row r="1630" spans="1:14" x14ac:dyDescent="0.25">
      <c r="A1630">
        <v>1307.7266749999999</v>
      </c>
      <c r="B1630" s="1">
        <f>DATE(2013,11,28) + TIME(17,26,24)</f>
        <v>41606.726666666669</v>
      </c>
      <c r="C1630">
        <v>0</v>
      </c>
      <c r="D1630">
        <v>2400</v>
      </c>
      <c r="E1630">
        <v>2400</v>
      </c>
      <c r="F1630">
        <v>0</v>
      </c>
      <c r="G1630">
        <v>1302.1013184000001</v>
      </c>
      <c r="H1630">
        <v>1290.1145019999999</v>
      </c>
      <c r="I1630">
        <v>1395.3653564000001</v>
      </c>
      <c r="J1630">
        <v>1375.7010498</v>
      </c>
      <c r="K1630">
        <v>80</v>
      </c>
      <c r="L1630">
        <v>77.157440186000002</v>
      </c>
      <c r="M1630">
        <v>50</v>
      </c>
      <c r="N1630">
        <v>49.973457336000003</v>
      </c>
    </row>
    <row r="1631" spans="1:14" x14ac:dyDescent="0.25">
      <c r="A1631">
        <v>1309.2922329999999</v>
      </c>
      <c r="B1631" s="1">
        <f>DATE(2013,11,30) + TIME(7,0,48)</f>
        <v>41608.292222222219</v>
      </c>
      <c r="C1631">
        <v>0</v>
      </c>
      <c r="D1631">
        <v>2400</v>
      </c>
      <c r="E1631">
        <v>2400</v>
      </c>
      <c r="F1631">
        <v>0</v>
      </c>
      <c r="G1631">
        <v>1302.0389404</v>
      </c>
      <c r="H1631">
        <v>1290.0400391000001</v>
      </c>
      <c r="I1631">
        <v>1395.3131103999999</v>
      </c>
      <c r="J1631">
        <v>1375.6507568</v>
      </c>
      <c r="K1631">
        <v>80</v>
      </c>
      <c r="L1631">
        <v>77.021263122999997</v>
      </c>
      <c r="M1631">
        <v>50</v>
      </c>
      <c r="N1631">
        <v>49.973491668999998</v>
      </c>
    </row>
    <row r="1632" spans="1:14" x14ac:dyDescent="0.25">
      <c r="A1632">
        <v>1310</v>
      </c>
      <c r="B1632" s="1">
        <f>DATE(2013,12,1) + TIME(0,0,0)</f>
        <v>41609</v>
      </c>
      <c r="C1632">
        <v>0</v>
      </c>
      <c r="D1632">
        <v>2400</v>
      </c>
      <c r="E1632">
        <v>2400</v>
      </c>
      <c r="F1632">
        <v>0</v>
      </c>
      <c r="G1632">
        <v>1301.9722899999999</v>
      </c>
      <c r="H1632">
        <v>1289.9648437999999</v>
      </c>
      <c r="I1632">
        <v>1395.2619629000001</v>
      </c>
      <c r="J1632">
        <v>1375.6014404</v>
      </c>
      <c r="K1632">
        <v>80</v>
      </c>
      <c r="L1632">
        <v>76.925415039000001</v>
      </c>
      <c r="M1632">
        <v>50</v>
      </c>
      <c r="N1632">
        <v>49.973503113</v>
      </c>
    </row>
    <row r="1633" spans="1:14" x14ac:dyDescent="0.25">
      <c r="A1633">
        <v>1311.5655569999999</v>
      </c>
      <c r="B1633" s="1">
        <f>DATE(2013,12,2) + TIME(13,34,24)</f>
        <v>41610.565555555557</v>
      </c>
      <c r="C1633">
        <v>0</v>
      </c>
      <c r="D1633">
        <v>2400</v>
      </c>
      <c r="E1633">
        <v>2400</v>
      </c>
      <c r="F1633">
        <v>0</v>
      </c>
      <c r="G1633">
        <v>1301.9434814000001</v>
      </c>
      <c r="H1633">
        <v>1289.9244385</v>
      </c>
      <c r="I1633">
        <v>1395.2402344</v>
      </c>
      <c r="J1633">
        <v>1375.5803223</v>
      </c>
      <c r="K1633">
        <v>80</v>
      </c>
      <c r="L1633">
        <v>76.808792113999999</v>
      </c>
      <c r="M1633">
        <v>50</v>
      </c>
      <c r="N1633">
        <v>49.973541259999998</v>
      </c>
    </row>
    <row r="1634" spans="1:14" x14ac:dyDescent="0.25">
      <c r="A1634">
        <v>1313.2096739999999</v>
      </c>
      <c r="B1634" s="1">
        <f>DATE(2013,12,4) + TIME(5,1,55)</f>
        <v>41612.209664351853</v>
      </c>
      <c r="C1634">
        <v>0</v>
      </c>
      <c r="D1634">
        <v>2400</v>
      </c>
      <c r="E1634">
        <v>2400</v>
      </c>
      <c r="F1634">
        <v>0</v>
      </c>
      <c r="G1634">
        <v>1301.8774414</v>
      </c>
      <c r="H1634">
        <v>1289.8457031</v>
      </c>
      <c r="I1634">
        <v>1395.1928711</v>
      </c>
      <c r="J1634">
        <v>1375.5344238</v>
      </c>
      <c r="K1634">
        <v>80</v>
      </c>
      <c r="L1634">
        <v>76.676963806000003</v>
      </c>
      <c r="M1634">
        <v>50</v>
      </c>
      <c r="N1634">
        <v>49.973575592000003</v>
      </c>
    </row>
    <row r="1635" spans="1:14" x14ac:dyDescent="0.25">
      <c r="A1635">
        <v>1314.8537899999999</v>
      </c>
      <c r="B1635" s="1">
        <f>DATE(2013,12,5) + TIME(20,29,27)</f>
        <v>41613.853784722225</v>
      </c>
      <c r="C1635">
        <v>0</v>
      </c>
      <c r="D1635">
        <v>2400</v>
      </c>
      <c r="E1635">
        <v>2400</v>
      </c>
      <c r="F1635">
        <v>0</v>
      </c>
      <c r="G1635">
        <v>1301.8062743999999</v>
      </c>
      <c r="H1635">
        <v>1289.7606201000001</v>
      </c>
      <c r="I1635">
        <v>1395.1452637</v>
      </c>
      <c r="J1635">
        <v>1375.4882812000001</v>
      </c>
      <c r="K1635">
        <v>80</v>
      </c>
      <c r="L1635">
        <v>76.53843689</v>
      </c>
      <c r="M1635">
        <v>50</v>
      </c>
      <c r="N1635">
        <v>49.973609924000002</v>
      </c>
    </row>
    <row r="1636" spans="1:14" x14ac:dyDescent="0.25">
      <c r="A1636">
        <v>1316.656999</v>
      </c>
      <c r="B1636" s="1">
        <f>DATE(2013,12,7) + TIME(15,46,4)</f>
        <v>41615.656990740739</v>
      </c>
      <c r="C1636">
        <v>0</v>
      </c>
      <c r="D1636">
        <v>2400</v>
      </c>
      <c r="E1636">
        <v>2400</v>
      </c>
      <c r="F1636">
        <v>0</v>
      </c>
      <c r="G1636">
        <v>1301.7338867000001</v>
      </c>
      <c r="H1636">
        <v>1289.6728516000001</v>
      </c>
      <c r="I1636">
        <v>1395.0997314000001</v>
      </c>
      <c r="J1636">
        <v>1375.4438477000001</v>
      </c>
      <c r="K1636">
        <v>80</v>
      </c>
      <c r="L1636">
        <v>76.394035338999998</v>
      </c>
      <c r="M1636">
        <v>50</v>
      </c>
      <c r="N1636">
        <v>49.973648071</v>
      </c>
    </row>
    <row r="1637" spans="1:14" x14ac:dyDescent="0.25">
      <c r="A1637">
        <v>1318.578006</v>
      </c>
      <c r="B1637" s="1">
        <f>DATE(2013,12,9) + TIME(13,52,19)</f>
        <v>41617.577997685185</v>
      </c>
      <c r="C1637">
        <v>0</v>
      </c>
      <c r="D1637">
        <v>2400</v>
      </c>
      <c r="E1637">
        <v>2400</v>
      </c>
      <c r="F1637">
        <v>0</v>
      </c>
      <c r="G1637">
        <v>1301.652832</v>
      </c>
      <c r="H1637">
        <v>1289.5750731999999</v>
      </c>
      <c r="I1637">
        <v>1395.0517577999999</v>
      </c>
      <c r="J1637">
        <v>1375.3972168</v>
      </c>
      <c r="K1637">
        <v>80</v>
      </c>
      <c r="L1637">
        <v>76.241027832</v>
      </c>
      <c r="M1637">
        <v>50</v>
      </c>
      <c r="N1637">
        <v>49.973686217999997</v>
      </c>
    </row>
    <row r="1638" spans="1:14" x14ac:dyDescent="0.25">
      <c r="A1638">
        <v>1320.4990130000001</v>
      </c>
      <c r="B1638" s="1">
        <f>DATE(2013,12,11) + TIME(11,58,34)</f>
        <v>41619.49900462963</v>
      </c>
      <c r="C1638">
        <v>0</v>
      </c>
      <c r="D1638">
        <v>2400</v>
      </c>
      <c r="E1638">
        <v>2400</v>
      </c>
      <c r="F1638">
        <v>0</v>
      </c>
      <c r="G1638">
        <v>1301.5644531</v>
      </c>
      <c r="H1638">
        <v>1289.4683838000001</v>
      </c>
      <c r="I1638">
        <v>1395.0029297000001</v>
      </c>
      <c r="J1638">
        <v>1375.3492432</v>
      </c>
      <c r="K1638">
        <v>80</v>
      </c>
      <c r="L1638">
        <v>76.082725525000001</v>
      </c>
      <c r="M1638">
        <v>50</v>
      </c>
      <c r="N1638">
        <v>49.973728180000002</v>
      </c>
    </row>
    <row r="1639" spans="1:14" x14ac:dyDescent="0.25">
      <c r="A1639">
        <v>1322.5132619999999</v>
      </c>
      <c r="B1639" s="1">
        <f>DATE(2013,12,13) + TIME(12,19,5)</f>
        <v>41621.513252314813</v>
      </c>
      <c r="C1639">
        <v>0</v>
      </c>
      <c r="D1639">
        <v>2400</v>
      </c>
      <c r="E1639">
        <v>2400</v>
      </c>
      <c r="F1639">
        <v>0</v>
      </c>
      <c r="G1639">
        <v>1301.4737548999999</v>
      </c>
      <c r="H1639">
        <v>1289.3580322</v>
      </c>
      <c r="I1639">
        <v>1394.9562988</v>
      </c>
      <c r="J1639">
        <v>1375.3033447</v>
      </c>
      <c r="K1639">
        <v>80</v>
      </c>
      <c r="L1639">
        <v>75.921539307000003</v>
      </c>
      <c r="M1639">
        <v>50</v>
      </c>
      <c r="N1639">
        <v>49.973770141999999</v>
      </c>
    </row>
    <row r="1640" spans="1:14" x14ac:dyDescent="0.25">
      <c r="A1640">
        <v>1324.568937</v>
      </c>
      <c r="B1640" s="1">
        <f>DATE(2013,12,15) + TIME(13,39,16)</f>
        <v>41623.568935185183</v>
      </c>
      <c r="C1640">
        <v>0</v>
      </c>
      <c r="D1640">
        <v>2400</v>
      </c>
      <c r="E1640">
        <v>2400</v>
      </c>
      <c r="F1640">
        <v>0</v>
      </c>
      <c r="G1640">
        <v>1301.3763428</v>
      </c>
      <c r="H1640">
        <v>1289.2395019999999</v>
      </c>
      <c r="I1640">
        <v>1394.9093018000001</v>
      </c>
      <c r="J1640">
        <v>1375.2568358999999</v>
      </c>
      <c r="K1640">
        <v>80</v>
      </c>
      <c r="L1640">
        <v>75.756690978999998</v>
      </c>
      <c r="M1640">
        <v>50</v>
      </c>
      <c r="N1640">
        <v>49.973815918</v>
      </c>
    </row>
    <row r="1641" spans="1:14" x14ac:dyDescent="0.25">
      <c r="A1641">
        <v>1326.624611</v>
      </c>
      <c r="B1641" s="1">
        <f>DATE(2013,12,17) + TIME(14,59,26)</f>
        <v>41625.624606481484</v>
      </c>
      <c r="C1641">
        <v>0</v>
      </c>
      <c r="D1641">
        <v>2400</v>
      </c>
      <c r="E1641">
        <v>2400</v>
      </c>
      <c r="F1641">
        <v>0</v>
      </c>
      <c r="G1641">
        <v>1301.2742920000001</v>
      </c>
      <c r="H1641">
        <v>1289.1148682</v>
      </c>
      <c r="I1641">
        <v>1394.8631591999999</v>
      </c>
      <c r="J1641">
        <v>1375.2110596</v>
      </c>
      <c r="K1641">
        <v>80</v>
      </c>
      <c r="L1641">
        <v>75.590553283999995</v>
      </c>
      <c r="M1641">
        <v>50</v>
      </c>
      <c r="N1641">
        <v>49.973857879999997</v>
      </c>
    </row>
    <row r="1642" spans="1:14" x14ac:dyDescent="0.25">
      <c r="A1642">
        <v>1328.8472489999999</v>
      </c>
      <c r="B1642" s="1">
        <f>DATE(2013,12,19) + TIME(20,20,2)</f>
        <v>41627.847245370373</v>
      </c>
      <c r="C1642">
        <v>0</v>
      </c>
      <c r="D1642">
        <v>2400</v>
      </c>
      <c r="E1642">
        <v>2400</v>
      </c>
      <c r="F1642">
        <v>0</v>
      </c>
      <c r="G1642">
        <v>1301.1691894999999</v>
      </c>
      <c r="H1642">
        <v>1288.9858397999999</v>
      </c>
      <c r="I1642">
        <v>1394.8190918</v>
      </c>
      <c r="J1642">
        <v>1375.1669922000001</v>
      </c>
      <c r="K1642">
        <v>80</v>
      </c>
      <c r="L1642">
        <v>75.42124939</v>
      </c>
      <c r="M1642">
        <v>50</v>
      </c>
      <c r="N1642">
        <v>49.973907470999997</v>
      </c>
    </row>
    <row r="1643" spans="1:14" x14ac:dyDescent="0.25">
      <c r="A1643">
        <v>1331.0698870000001</v>
      </c>
      <c r="B1643" s="1">
        <f>DATE(2013,12,22) + TIME(1,40,38)</f>
        <v>41630.069884259261</v>
      </c>
      <c r="C1643">
        <v>0</v>
      </c>
      <c r="D1643">
        <v>2400</v>
      </c>
      <c r="E1643">
        <v>2400</v>
      </c>
      <c r="F1643">
        <v>0</v>
      </c>
      <c r="G1643">
        <v>1301.0528564000001</v>
      </c>
      <c r="H1643">
        <v>1288.8432617000001</v>
      </c>
      <c r="I1643">
        <v>1394.7730713000001</v>
      </c>
      <c r="J1643">
        <v>1375.1207274999999</v>
      </c>
      <c r="K1643">
        <v>80</v>
      </c>
      <c r="L1643">
        <v>75.246536254999995</v>
      </c>
      <c r="M1643">
        <v>50</v>
      </c>
      <c r="N1643">
        <v>49.973953246999997</v>
      </c>
    </row>
    <row r="1644" spans="1:14" x14ac:dyDescent="0.25">
      <c r="A1644">
        <v>1333.2925250000001</v>
      </c>
      <c r="B1644" s="1">
        <f>DATE(2013,12,24) + TIME(7,1,14)</f>
        <v>41632.292523148149</v>
      </c>
      <c r="C1644">
        <v>0</v>
      </c>
      <c r="D1644">
        <v>2400</v>
      </c>
      <c r="E1644">
        <v>2400</v>
      </c>
      <c r="F1644">
        <v>0</v>
      </c>
      <c r="G1644">
        <v>1300.9327393000001</v>
      </c>
      <c r="H1644">
        <v>1288.6953125</v>
      </c>
      <c r="I1644">
        <v>1394.7287598</v>
      </c>
      <c r="J1644">
        <v>1375.0759277</v>
      </c>
      <c r="K1644">
        <v>80</v>
      </c>
      <c r="L1644">
        <v>75.071342467999997</v>
      </c>
      <c r="M1644">
        <v>50</v>
      </c>
      <c r="N1644">
        <v>49.973999022999998</v>
      </c>
    </row>
    <row r="1645" spans="1:14" x14ac:dyDescent="0.25">
      <c r="A1645">
        <v>1335.515163</v>
      </c>
      <c r="B1645" s="1">
        <f>DATE(2013,12,26) + TIME(12,21,50)</f>
        <v>41634.515162037038</v>
      </c>
      <c r="C1645">
        <v>0</v>
      </c>
      <c r="D1645">
        <v>2400</v>
      </c>
      <c r="E1645">
        <v>2400</v>
      </c>
      <c r="F1645">
        <v>0</v>
      </c>
      <c r="G1645">
        <v>1300.8089600000001</v>
      </c>
      <c r="H1645">
        <v>1288.5423584</v>
      </c>
      <c r="I1645">
        <v>1394.6861572</v>
      </c>
      <c r="J1645">
        <v>1375.0324707</v>
      </c>
      <c r="K1645">
        <v>80</v>
      </c>
      <c r="L1645">
        <v>74.896942139000004</v>
      </c>
      <c r="M1645">
        <v>50</v>
      </c>
      <c r="N1645">
        <v>49.974048615000001</v>
      </c>
    </row>
    <row r="1646" spans="1:14" x14ac:dyDescent="0.25">
      <c r="A1646">
        <v>1338.0099700000001</v>
      </c>
      <c r="B1646" s="1">
        <f>DATE(2013,12,29) + TIME(0,14,21)</f>
        <v>41637.009965277779</v>
      </c>
      <c r="C1646">
        <v>0</v>
      </c>
      <c r="D1646">
        <v>2400</v>
      </c>
      <c r="E1646">
        <v>2400</v>
      </c>
      <c r="F1646">
        <v>0</v>
      </c>
      <c r="G1646">
        <v>1300.6813964999999</v>
      </c>
      <c r="H1646">
        <v>1288.3835449000001</v>
      </c>
      <c r="I1646">
        <v>1394.6450195</v>
      </c>
      <c r="J1646">
        <v>1374.9902344</v>
      </c>
      <c r="K1646">
        <v>80</v>
      </c>
      <c r="L1646">
        <v>74.717842102000006</v>
      </c>
      <c r="M1646">
        <v>50</v>
      </c>
      <c r="N1646">
        <v>49.974102019999997</v>
      </c>
    </row>
    <row r="1647" spans="1:14" x14ac:dyDescent="0.25">
      <c r="A1647">
        <v>1340.504778</v>
      </c>
      <c r="B1647" s="1">
        <f>DATE(2013,12,31) + TIME(12,6,52)</f>
        <v>41639.50476851852</v>
      </c>
      <c r="C1647">
        <v>0</v>
      </c>
      <c r="D1647">
        <v>2400</v>
      </c>
      <c r="E1647">
        <v>2400</v>
      </c>
      <c r="F1647">
        <v>0</v>
      </c>
      <c r="G1647">
        <v>1300.5351562000001</v>
      </c>
      <c r="H1647">
        <v>1288.2025146000001</v>
      </c>
      <c r="I1647">
        <v>1394.6003418</v>
      </c>
      <c r="J1647">
        <v>1374.9442139</v>
      </c>
      <c r="K1647">
        <v>80</v>
      </c>
      <c r="L1647">
        <v>74.528396606000001</v>
      </c>
      <c r="M1647">
        <v>50</v>
      </c>
      <c r="N1647">
        <v>49.974155426000003</v>
      </c>
    </row>
    <row r="1648" spans="1:14" x14ac:dyDescent="0.25">
      <c r="A1648">
        <v>1341</v>
      </c>
      <c r="B1648" s="1">
        <f>DATE(2014,1,1) + TIME(0,0,0)</f>
        <v>41640</v>
      </c>
      <c r="C1648">
        <v>0</v>
      </c>
      <c r="D1648">
        <v>2400</v>
      </c>
      <c r="E1648">
        <v>2400</v>
      </c>
      <c r="F1648">
        <v>0</v>
      </c>
      <c r="G1648">
        <v>1300.387207</v>
      </c>
      <c r="H1648">
        <v>1288.0308838000001</v>
      </c>
      <c r="I1648">
        <v>1394.5567627</v>
      </c>
      <c r="J1648">
        <v>1374.8994141000001</v>
      </c>
      <c r="K1648">
        <v>80</v>
      </c>
      <c r="L1648">
        <v>74.435699463000006</v>
      </c>
      <c r="M1648">
        <v>50</v>
      </c>
      <c r="N1648">
        <v>49.974163054999998</v>
      </c>
    </row>
    <row r="1649" spans="1:14" x14ac:dyDescent="0.25">
      <c r="A1649">
        <v>1343.4948079999999</v>
      </c>
      <c r="B1649" s="1">
        <f>DATE(2014,1,3) + TIME(11,52,31)</f>
        <v>41642.494803240741</v>
      </c>
      <c r="C1649">
        <v>0</v>
      </c>
      <c r="D1649">
        <v>2400</v>
      </c>
      <c r="E1649">
        <v>2400</v>
      </c>
      <c r="F1649">
        <v>0</v>
      </c>
      <c r="G1649">
        <v>1300.3470459</v>
      </c>
      <c r="H1649">
        <v>1287.965332</v>
      </c>
      <c r="I1649">
        <v>1394.5489502</v>
      </c>
      <c r="J1649">
        <v>1374.8901367000001</v>
      </c>
      <c r="K1649">
        <v>80</v>
      </c>
      <c r="L1649">
        <v>74.284118652000004</v>
      </c>
      <c r="M1649">
        <v>50</v>
      </c>
      <c r="N1649">
        <v>49.974220275999997</v>
      </c>
    </row>
    <row r="1650" spans="1:14" x14ac:dyDescent="0.25">
      <c r="A1650">
        <v>1346.268145</v>
      </c>
      <c r="B1650" s="1">
        <f>DATE(2014,1,6) + TIME(6,26,7)</f>
        <v>41645.268136574072</v>
      </c>
      <c r="C1650">
        <v>0</v>
      </c>
      <c r="D1650">
        <v>2400</v>
      </c>
      <c r="E1650">
        <v>2400</v>
      </c>
      <c r="F1650">
        <v>0</v>
      </c>
      <c r="G1650">
        <v>1300.1933594</v>
      </c>
      <c r="H1650">
        <v>1287.7739257999999</v>
      </c>
      <c r="I1650">
        <v>1394.5078125</v>
      </c>
      <c r="J1650">
        <v>1374.8470459</v>
      </c>
      <c r="K1650">
        <v>80</v>
      </c>
      <c r="L1650">
        <v>74.097816467000001</v>
      </c>
      <c r="M1650">
        <v>50</v>
      </c>
      <c r="N1650">
        <v>49.974277495999999</v>
      </c>
    </row>
    <row r="1651" spans="1:14" x14ac:dyDescent="0.25">
      <c r="A1651">
        <v>1349.0414820000001</v>
      </c>
      <c r="B1651" s="1">
        <f>DATE(2014,1,9) + TIME(0,59,44)</f>
        <v>41648.041481481479</v>
      </c>
      <c r="C1651">
        <v>0</v>
      </c>
      <c r="D1651">
        <v>2400</v>
      </c>
      <c r="E1651">
        <v>2400</v>
      </c>
      <c r="F1651">
        <v>0</v>
      </c>
      <c r="G1651">
        <v>1300.0150146000001</v>
      </c>
      <c r="H1651">
        <v>1287.5510254000001</v>
      </c>
      <c r="I1651">
        <v>1394.4632568</v>
      </c>
      <c r="J1651">
        <v>1374.8000488</v>
      </c>
      <c r="K1651">
        <v>80</v>
      </c>
      <c r="L1651">
        <v>73.891242981000005</v>
      </c>
      <c r="M1651">
        <v>50</v>
      </c>
      <c r="N1651">
        <v>49.974334716999998</v>
      </c>
    </row>
    <row r="1652" spans="1:14" x14ac:dyDescent="0.25">
      <c r="A1652">
        <v>1351.8148189999999</v>
      </c>
      <c r="B1652" s="1">
        <f>DATE(2014,1,11) + TIME(19,33,20)</f>
        <v>41650.814814814818</v>
      </c>
      <c r="C1652">
        <v>0</v>
      </c>
      <c r="D1652">
        <v>2400</v>
      </c>
      <c r="E1652">
        <v>2400</v>
      </c>
      <c r="F1652">
        <v>0</v>
      </c>
      <c r="G1652">
        <v>1299.8288574000001</v>
      </c>
      <c r="H1652">
        <v>1287.3164062000001</v>
      </c>
      <c r="I1652">
        <v>1394.4202881000001</v>
      </c>
      <c r="J1652">
        <v>1374.7540283000001</v>
      </c>
      <c r="K1652">
        <v>80</v>
      </c>
      <c r="L1652">
        <v>73.679435729999994</v>
      </c>
      <c r="M1652">
        <v>50</v>
      </c>
      <c r="N1652">
        <v>49.974395752</v>
      </c>
    </row>
    <row r="1653" spans="1:14" x14ac:dyDescent="0.25">
      <c r="A1653">
        <v>1354.588156</v>
      </c>
      <c r="B1653" s="1">
        <f>DATE(2014,1,14) + TIME(14,6,56)</f>
        <v>41653.588148148148</v>
      </c>
      <c r="C1653">
        <v>0</v>
      </c>
      <c r="D1653">
        <v>2400</v>
      </c>
      <c r="E1653">
        <v>2400</v>
      </c>
      <c r="F1653">
        <v>0</v>
      </c>
      <c r="G1653">
        <v>1299.6361084</v>
      </c>
      <c r="H1653">
        <v>1287.0726318</v>
      </c>
      <c r="I1653">
        <v>1394.3787841999999</v>
      </c>
      <c r="J1653">
        <v>1374.7091064000001</v>
      </c>
      <c r="K1653">
        <v>80</v>
      </c>
      <c r="L1653">
        <v>73.465721130000006</v>
      </c>
      <c r="M1653">
        <v>50</v>
      </c>
      <c r="N1653">
        <v>49.974452972000002</v>
      </c>
    </row>
    <row r="1654" spans="1:14" x14ac:dyDescent="0.25">
      <c r="A1654">
        <v>1357.3614930000001</v>
      </c>
      <c r="B1654" s="1">
        <f>DATE(2014,1,17) + TIME(8,40,32)</f>
        <v>41656.361481481479</v>
      </c>
      <c r="C1654">
        <v>0</v>
      </c>
      <c r="D1654">
        <v>2400</v>
      </c>
      <c r="E1654">
        <v>2400</v>
      </c>
      <c r="F1654">
        <v>0</v>
      </c>
      <c r="G1654">
        <v>1299.4373779</v>
      </c>
      <c r="H1654">
        <v>1286.8199463000001</v>
      </c>
      <c r="I1654">
        <v>1394.3383789</v>
      </c>
      <c r="J1654">
        <v>1374.6651611</v>
      </c>
      <c r="K1654">
        <v>80</v>
      </c>
      <c r="L1654">
        <v>73.250564574999999</v>
      </c>
      <c r="M1654">
        <v>50</v>
      </c>
      <c r="N1654">
        <v>49.974514008</v>
      </c>
    </row>
    <row r="1655" spans="1:14" x14ac:dyDescent="0.25">
      <c r="A1655">
        <v>1360.13483</v>
      </c>
      <c r="B1655" s="1">
        <f>DATE(2014,1,20) + TIME(3,14,9)</f>
        <v>41659.134826388887</v>
      </c>
      <c r="C1655">
        <v>0</v>
      </c>
      <c r="D1655">
        <v>2400</v>
      </c>
      <c r="E1655">
        <v>2400</v>
      </c>
      <c r="F1655">
        <v>0</v>
      </c>
      <c r="G1655">
        <v>1299.2326660000001</v>
      </c>
      <c r="H1655">
        <v>1286.5587158000001</v>
      </c>
      <c r="I1655">
        <v>1394.2993164</v>
      </c>
      <c r="J1655">
        <v>1374.6221923999999</v>
      </c>
      <c r="K1655">
        <v>80</v>
      </c>
      <c r="L1655">
        <v>73.033706664999997</v>
      </c>
      <c r="M1655">
        <v>50</v>
      </c>
      <c r="N1655">
        <v>49.974571228000002</v>
      </c>
    </row>
    <row r="1656" spans="1:14" x14ac:dyDescent="0.25">
      <c r="A1656">
        <v>1362.908167</v>
      </c>
      <c r="B1656" s="1">
        <f>DATE(2014,1,22) + TIME(21,47,45)</f>
        <v>41661.908159722225</v>
      </c>
      <c r="C1656">
        <v>0</v>
      </c>
      <c r="D1656">
        <v>2400</v>
      </c>
      <c r="E1656">
        <v>2400</v>
      </c>
      <c r="F1656">
        <v>0</v>
      </c>
      <c r="G1656">
        <v>1299.0219727000001</v>
      </c>
      <c r="H1656">
        <v>1286.2889404</v>
      </c>
      <c r="I1656">
        <v>1394.2612305</v>
      </c>
      <c r="J1656">
        <v>1374.5799560999999</v>
      </c>
      <c r="K1656">
        <v>80</v>
      </c>
      <c r="L1656">
        <v>72.814712524000001</v>
      </c>
      <c r="M1656">
        <v>50</v>
      </c>
      <c r="N1656">
        <v>49.974632262999997</v>
      </c>
    </row>
    <row r="1657" spans="1:14" x14ac:dyDescent="0.25">
      <c r="A1657">
        <v>1365.6815039999999</v>
      </c>
      <c r="B1657" s="1">
        <f>DATE(2014,1,25) + TIME(16,21,21)</f>
        <v>41664.681493055556</v>
      </c>
      <c r="C1657">
        <v>0</v>
      </c>
      <c r="D1657">
        <v>2400</v>
      </c>
      <c r="E1657">
        <v>2400</v>
      </c>
      <c r="F1657">
        <v>0</v>
      </c>
      <c r="G1657">
        <v>1298.8055420000001</v>
      </c>
      <c r="H1657">
        <v>1286.0106201000001</v>
      </c>
      <c r="I1657">
        <v>1394.2242432</v>
      </c>
      <c r="J1657">
        <v>1374.5384521000001</v>
      </c>
      <c r="K1657">
        <v>80</v>
      </c>
      <c r="L1657">
        <v>72.593116760000001</v>
      </c>
      <c r="M1657">
        <v>50</v>
      </c>
      <c r="N1657">
        <v>49.974689484000002</v>
      </c>
    </row>
    <row r="1658" spans="1:14" x14ac:dyDescent="0.25">
      <c r="A1658">
        <v>1368.454841</v>
      </c>
      <c r="B1658" s="1">
        <f>DATE(2014,1,28) + TIME(10,54,58)</f>
        <v>41667.454837962963</v>
      </c>
      <c r="C1658">
        <v>0</v>
      </c>
      <c r="D1658">
        <v>2400</v>
      </c>
      <c r="E1658">
        <v>2400</v>
      </c>
      <c r="F1658">
        <v>0</v>
      </c>
      <c r="G1658">
        <v>1298.5832519999999</v>
      </c>
      <c r="H1658">
        <v>1285.7237548999999</v>
      </c>
      <c r="I1658">
        <v>1394.1882324000001</v>
      </c>
      <c r="J1658">
        <v>1374.4978027</v>
      </c>
      <c r="K1658">
        <v>80</v>
      </c>
      <c r="L1658">
        <v>72.368431091000005</v>
      </c>
      <c r="M1658">
        <v>50</v>
      </c>
      <c r="N1658">
        <v>49.974746703999998</v>
      </c>
    </row>
    <row r="1659" spans="1:14" x14ac:dyDescent="0.25">
      <c r="A1659">
        <v>1371.2281780000001</v>
      </c>
      <c r="B1659" s="1">
        <f>DATE(2014,1,31) + TIME(5,28,34)</f>
        <v>41670.228171296294</v>
      </c>
      <c r="C1659">
        <v>0</v>
      </c>
      <c r="D1659">
        <v>2400</v>
      </c>
      <c r="E1659">
        <v>2400</v>
      </c>
      <c r="F1659">
        <v>0</v>
      </c>
      <c r="G1659">
        <v>1298.3553466999999</v>
      </c>
      <c r="H1659">
        <v>1285.4285889</v>
      </c>
      <c r="I1659">
        <v>1394.1529541</v>
      </c>
      <c r="J1659">
        <v>1374.4577637</v>
      </c>
      <c r="K1659">
        <v>80</v>
      </c>
      <c r="L1659">
        <v>72.140190125000004</v>
      </c>
      <c r="M1659">
        <v>50</v>
      </c>
      <c r="N1659">
        <v>49.974807738999999</v>
      </c>
    </row>
    <row r="1660" spans="1:14" x14ac:dyDescent="0.25">
      <c r="A1660">
        <v>1372</v>
      </c>
      <c r="B1660" s="1">
        <f>DATE(2014,2,1) + TIME(0,0,0)</f>
        <v>41671</v>
      </c>
      <c r="C1660">
        <v>0</v>
      </c>
      <c r="D1660">
        <v>2400</v>
      </c>
      <c r="E1660">
        <v>2400</v>
      </c>
      <c r="F1660">
        <v>0</v>
      </c>
      <c r="G1660">
        <v>1298.1304932</v>
      </c>
      <c r="H1660">
        <v>1285.1508789</v>
      </c>
      <c r="I1660">
        <v>1394.1177978999999</v>
      </c>
      <c r="J1660">
        <v>1374.418457</v>
      </c>
      <c r="K1660">
        <v>80</v>
      </c>
      <c r="L1660">
        <v>71.997337341000005</v>
      </c>
      <c r="M1660">
        <v>50</v>
      </c>
      <c r="N1660">
        <v>49.974822998</v>
      </c>
    </row>
    <row r="1661" spans="1:14" x14ac:dyDescent="0.25">
      <c r="A1661">
        <v>1375.099487</v>
      </c>
      <c r="B1661" s="1">
        <f>DATE(2014,2,4) + TIME(2,23,15)</f>
        <v>41674.099479166667</v>
      </c>
      <c r="C1661">
        <v>0</v>
      </c>
      <c r="D1661">
        <v>2400</v>
      </c>
      <c r="E1661">
        <v>2400</v>
      </c>
      <c r="F1661">
        <v>0</v>
      </c>
      <c r="G1661">
        <v>1298.0422363</v>
      </c>
      <c r="H1661">
        <v>1285.0161132999999</v>
      </c>
      <c r="I1661">
        <v>1394.1092529</v>
      </c>
      <c r="J1661">
        <v>1374.4068603999999</v>
      </c>
      <c r="K1661">
        <v>80</v>
      </c>
      <c r="L1661">
        <v>71.818466186999999</v>
      </c>
      <c r="M1661">
        <v>50</v>
      </c>
      <c r="N1661">
        <v>49.974887848000002</v>
      </c>
    </row>
    <row r="1662" spans="1:14" x14ac:dyDescent="0.25">
      <c r="A1662">
        <v>1378.1989739999999</v>
      </c>
      <c r="B1662" s="1">
        <f>DATE(2014,2,7) + TIME(4,46,31)</f>
        <v>41677.198969907404</v>
      </c>
      <c r="C1662">
        <v>0</v>
      </c>
      <c r="D1662">
        <v>2400</v>
      </c>
      <c r="E1662">
        <v>2400</v>
      </c>
      <c r="F1662">
        <v>0</v>
      </c>
      <c r="G1662">
        <v>1297.7873535000001</v>
      </c>
      <c r="H1662">
        <v>1284.6868896000001</v>
      </c>
      <c r="I1662">
        <v>1394.0718993999999</v>
      </c>
      <c r="J1662">
        <v>1374.3645019999999</v>
      </c>
      <c r="K1662">
        <v>80</v>
      </c>
      <c r="L1662">
        <v>71.570526122999993</v>
      </c>
      <c r="M1662">
        <v>50</v>
      </c>
      <c r="N1662">
        <v>49.974952698000003</v>
      </c>
    </row>
    <row r="1663" spans="1:14" x14ac:dyDescent="0.25">
      <c r="A1663">
        <v>1381.29846</v>
      </c>
      <c r="B1663" s="1">
        <f>DATE(2014,2,10) + TIME(7,9,46)</f>
        <v>41680.298449074071</v>
      </c>
      <c r="C1663">
        <v>0</v>
      </c>
      <c r="D1663">
        <v>2400</v>
      </c>
      <c r="E1663">
        <v>2400</v>
      </c>
      <c r="F1663">
        <v>0</v>
      </c>
      <c r="G1663">
        <v>1297.5151367000001</v>
      </c>
      <c r="H1663">
        <v>1284.3306885</v>
      </c>
      <c r="I1663">
        <v>1394.0354004000001</v>
      </c>
      <c r="J1663">
        <v>1374.3222656</v>
      </c>
      <c r="K1663">
        <v>80</v>
      </c>
      <c r="L1663">
        <v>71.302200317</v>
      </c>
      <c r="M1663">
        <v>50</v>
      </c>
      <c r="N1663">
        <v>49.975017547999997</v>
      </c>
    </row>
    <row r="1664" spans="1:14" x14ac:dyDescent="0.25">
      <c r="A1664">
        <v>1384.3979469999999</v>
      </c>
      <c r="B1664" s="1">
        <f>DATE(2014,2,13) + TIME(9,33,2)</f>
        <v>41683.397939814815</v>
      </c>
      <c r="C1664">
        <v>0</v>
      </c>
      <c r="D1664">
        <v>2400</v>
      </c>
      <c r="E1664">
        <v>2400</v>
      </c>
      <c r="F1664">
        <v>0</v>
      </c>
      <c r="G1664">
        <v>1297.2346190999999</v>
      </c>
      <c r="H1664">
        <v>1283.9611815999999</v>
      </c>
      <c r="I1664">
        <v>1393.9996338000001</v>
      </c>
      <c r="J1664">
        <v>1374.2805175999999</v>
      </c>
      <c r="K1664">
        <v>80</v>
      </c>
      <c r="L1664">
        <v>71.023910521999994</v>
      </c>
      <c r="M1664">
        <v>50</v>
      </c>
      <c r="N1664">
        <v>49.975078582999998</v>
      </c>
    </row>
    <row r="1665" spans="1:14" x14ac:dyDescent="0.25">
      <c r="A1665">
        <v>1387.4974340000001</v>
      </c>
      <c r="B1665" s="1">
        <f>DATE(2014,2,16) + TIME(11,56,18)</f>
        <v>41686.497430555559</v>
      </c>
      <c r="C1665">
        <v>0</v>
      </c>
      <c r="D1665">
        <v>2400</v>
      </c>
      <c r="E1665">
        <v>2400</v>
      </c>
      <c r="F1665">
        <v>0</v>
      </c>
      <c r="G1665">
        <v>1296.9476318</v>
      </c>
      <c r="H1665">
        <v>1283.5812988</v>
      </c>
      <c r="I1665">
        <v>1393.9645995999999</v>
      </c>
      <c r="J1665">
        <v>1374.2393798999999</v>
      </c>
      <c r="K1665">
        <v>80</v>
      </c>
      <c r="L1665">
        <v>70.737541199000006</v>
      </c>
      <c r="M1665">
        <v>50</v>
      </c>
      <c r="N1665">
        <v>49.975143433</v>
      </c>
    </row>
    <row r="1666" spans="1:14" x14ac:dyDescent="0.25">
      <c r="A1666">
        <v>1390.5969210000001</v>
      </c>
      <c r="B1666" s="1">
        <f>DATE(2014,2,19) + TIME(14,19,33)</f>
        <v>41689.596909722219</v>
      </c>
      <c r="C1666">
        <v>0</v>
      </c>
      <c r="D1666">
        <v>2400</v>
      </c>
      <c r="E1666">
        <v>2400</v>
      </c>
      <c r="F1666">
        <v>0</v>
      </c>
      <c r="G1666">
        <v>1296.6549072</v>
      </c>
      <c r="H1666">
        <v>1283.1922606999999</v>
      </c>
      <c r="I1666">
        <v>1393.9302978999999</v>
      </c>
      <c r="J1666">
        <v>1374.1988524999999</v>
      </c>
      <c r="K1666">
        <v>80</v>
      </c>
      <c r="L1666">
        <v>70.443145752000007</v>
      </c>
      <c r="M1666">
        <v>50</v>
      </c>
      <c r="N1666">
        <v>49.975208281999997</v>
      </c>
    </row>
    <row r="1667" spans="1:14" x14ac:dyDescent="0.25">
      <c r="A1667">
        <v>1393.6964069999999</v>
      </c>
      <c r="B1667" s="1">
        <f>DATE(2014,2,22) + TIME(16,42,49)</f>
        <v>41692.696400462963</v>
      </c>
      <c r="C1667">
        <v>0</v>
      </c>
      <c r="D1667">
        <v>2400</v>
      </c>
      <c r="E1667">
        <v>2400</v>
      </c>
      <c r="F1667">
        <v>0</v>
      </c>
      <c r="G1667">
        <v>1296.3565673999999</v>
      </c>
      <c r="H1667">
        <v>1282.7940673999999</v>
      </c>
      <c r="I1667">
        <v>1393.8964844</v>
      </c>
      <c r="J1667">
        <v>1374.1589355000001</v>
      </c>
      <c r="K1667">
        <v>80</v>
      </c>
      <c r="L1667">
        <v>70.140472411999994</v>
      </c>
      <c r="M1667">
        <v>50</v>
      </c>
      <c r="N1667">
        <v>49.975269318000002</v>
      </c>
    </row>
    <row r="1668" spans="1:14" x14ac:dyDescent="0.25">
      <c r="A1668">
        <v>1396.7958940000001</v>
      </c>
      <c r="B1668" s="1">
        <f>DATE(2014,2,25) + TIME(19,6,5)</f>
        <v>41695.795891203707</v>
      </c>
      <c r="C1668">
        <v>0</v>
      </c>
      <c r="D1668">
        <v>2400</v>
      </c>
      <c r="E1668">
        <v>2400</v>
      </c>
      <c r="F1668">
        <v>0</v>
      </c>
      <c r="G1668">
        <v>1296.0531006000001</v>
      </c>
      <c r="H1668">
        <v>1282.3873291</v>
      </c>
      <c r="I1668">
        <v>1393.8632812000001</v>
      </c>
      <c r="J1668">
        <v>1374.1195068</v>
      </c>
      <c r="K1668">
        <v>80</v>
      </c>
      <c r="L1668">
        <v>69.829147339000002</v>
      </c>
      <c r="M1668">
        <v>50</v>
      </c>
      <c r="N1668">
        <v>49.975330352999997</v>
      </c>
    </row>
    <row r="1669" spans="1:14" x14ac:dyDescent="0.25">
      <c r="A1669">
        <v>1400</v>
      </c>
      <c r="B1669" s="1">
        <f>DATE(2014,3,1) + TIME(0,0,0)</f>
        <v>41699</v>
      </c>
      <c r="C1669">
        <v>0</v>
      </c>
      <c r="D1669">
        <v>2400</v>
      </c>
      <c r="E1669">
        <v>2400</v>
      </c>
      <c r="F1669">
        <v>0</v>
      </c>
      <c r="G1669">
        <v>1295.7446289</v>
      </c>
      <c r="H1669">
        <v>1281.9716797000001</v>
      </c>
      <c r="I1669">
        <v>1393.8306885</v>
      </c>
      <c r="J1669">
        <v>1374.0805664</v>
      </c>
      <c r="K1669">
        <v>80</v>
      </c>
      <c r="L1669">
        <v>69.506271362000007</v>
      </c>
      <c r="M1669">
        <v>50</v>
      </c>
      <c r="N1669">
        <v>49.975395202999998</v>
      </c>
    </row>
    <row r="1670" spans="1:14" x14ac:dyDescent="0.25">
      <c r="A1670">
        <v>1403.099487</v>
      </c>
      <c r="B1670" s="1">
        <f>DATE(2014,3,4) + TIME(2,23,15)</f>
        <v>41702.099479166667</v>
      </c>
      <c r="C1670">
        <v>0</v>
      </c>
      <c r="D1670">
        <v>2400</v>
      </c>
      <c r="E1670">
        <v>2400</v>
      </c>
      <c r="F1670">
        <v>0</v>
      </c>
      <c r="G1670">
        <v>1295.4227295000001</v>
      </c>
      <c r="H1670">
        <v>1281.5373535000001</v>
      </c>
      <c r="I1670">
        <v>1393.7972411999999</v>
      </c>
      <c r="J1670">
        <v>1374.0408935999999</v>
      </c>
      <c r="K1670">
        <v>80</v>
      </c>
      <c r="L1670">
        <v>69.169197083</v>
      </c>
      <c r="M1670">
        <v>50</v>
      </c>
      <c r="N1670">
        <v>49.975456238</v>
      </c>
    </row>
    <row r="1671" spans="1:14" x14ac:dyDescent="0.25">
      <c r="A1671">
        <v>1406.1989739999999</v>
      </c>
      <c r="B1671" s="1">
        <f>DATE(2014,3,7) + TIME(4,46,31)</f>
        <v>41705.198969907404</v>
      </c>
      <c r="C1671">
        <v>0</v>
      </c>
      <c r="D1671">
        <v>2400</v>
      </c>
      <c r="E1671">
        <v>2400</v>
      </c>
      <c r="F1671">
        <v>0</v>
      </c>
      <c r="G1671">
        <v>1295.1042480000001</v>
      </c>
      <c r="H1671">
        <v>1281.1047363</v>
      </c>
      <c r="I1671">
        <v>1393.7655029</v>
      </c>
      <c r="J1671">
        <v>1374.0028076000001</v>
      </c>
      <c r="K1671">
        <v>80</v>
      </c>
      <c r="L1671">
        <v>68.827514648000005</v>
      </c>
      <c r="M1671">
        <v>50</v>
      </c>
      <c r="N1671">
        <v>49.975517273000001</v>
      </c>
    </row>
    <row r="1672" spans="1:14" x14ac:dyDescent="0.25">
      <c r="A1672">
        <v>1409.29846</v>
      </c>
      <c r="B1672" s="1">
        <f>DATE(2014,3,10) + TIME(7,9,46)</f>
        <v>41708.298449074071</v>
      </c>
      <c r="C1672">
        <v>0</v>
      </c>
      <c r="D1672">
        <v>2400</v>
      </c>
      <c r="E1672">
        <v>2400</v>
      </c>
      <c r="F1672">
        <v>0</v>
      </c>
      <c r="G1672">
        <v>1294.7828368999999</v>
      </c>
      <c r="H1672">
        <v>1280.6663818</v>
      </c>
      <c r="I1672">
        <v>1393.7341309000001</v>
      </c>
      <c r="J1672">
        <v>1373.9652100000001</v>
      </c>
      <c r="K1672">
        <v>80</v>
      </c>
      <c r="L1672">
        <v>68.477043151999993</v>
      </c>
      <c r="M1672">
        <v>50</v>
      </c>
      <c r="N1672">
        <v>49.975578308000003</v>
      </c>
    </row>
    <row r="1673" spans="1:14" x14ac:dyDescent="0.25">
      <c r="A1673">
        <v>1412.3979469999999</v>
      </c>
      <c r="B1673" s="1">
        <f>DATE(2014,3,13) + TIME(9,33,2)</f>
        <v>41711.397939814815</v>
      </c>
      <c r="C1673">
        <v>0</v>
      </c>
      <c r="D1673">
        <v>2400</v>
      </c>
      <c r="E1673">
        <v>2400</v>
      </c>
      <c r="F1673">
        <v>0</v>
      </c>
      <c r="G1673">
        <v>1294.4578856999999</v>
      </c>
      <c r="H1673">
        <v>1280.2215576000001</v>
      </c>
      <c r="I1673">
        <v>1393.7030029</v>
      </c>
      <c r="J1673">
        <v>1373.9281006000001</v>
      </c>
      <c r="K1673">
        <v>80</v>
      </c>
      <c r="L1673">
        <v>68.116760253999999</v>
      </c>
      <c r="M1673">
        <v>50</v>
      </c>
      <c r="N1673">
        <v>49.975639342999997</v>
      </c>
    </row>
    <row r="1674" spans="1:14" x14ac:dyDescent="0.25">
      <c r="A1674">
        <v>1415.4974340000001</v>
      </c>
      <c r="B1674" s="1">
        <f>DATE(2014,3,16) + TIME(11,56,18)</f>
        <v>41714.497430555559</v>
      </c>
      <c r="C1674">
        <v>0</v>
      </c>
      <c r="D1674">
        <v>2400</v>
      </c>
      <c r="E1674">
        <v>2400</v>
      </c>
      <c r="F1674">
        <v>0</v>
      </c>
      <c r="G1674">
        <v>1294.1297606999999</v>
      </c>
      <c r="H1674">
        <v>1279.7705077999999</v>
      </c>
      <c r="I1674">
        <v>1393.6722411999999</v>
      </c>
      <c r="J1674">
        <v>1373.8913574000001</v>
      </c>
      <c r="K1674">
        <v>80</v>
      </c>
      <c r="L1674">
        <v>67.746444702000005</v>
      </c>
      <c r="M1674">
        <v>50</v>
      </c>
      <c r="N1674">
        <v>49.975696564000003</v>
      </c>
    </row>
    <row r="1675" spans="1:14" x14ac:dyDescent="0.25">
      <c r="A1675">
        <v>1418.5969210000001</v>
      </c>
      <c r="B1675" s="1">
        <f>DATE(2014,3,19) + TIME(14,19,33)</f>
        <v>41717.596909722219</v>
      </c>
      <c r="C1675">
        <v>0</v>
      </c>
      <c r="D1675">
        <v>2400</v>
      </c>
      <c r="E1675">
        <v>2400</v>
      </c>
      <c r="F1675">
        <v>0</v>
      </c>
      <c r="G1675">
        <v>1293.7987060999999</v>
      </c>
      <c r="H1675">
        <v>1279.3134766000001</v>
      </c>
      <c r="I1675">
        <v>1393.6417236</v>
      </c>
      <c r="J1675">
        <v>1373.8551024999999</v>
      </c>
      <c r="K1675">
        <v>80</v>
      </c>
      <c r="L1675">
        <v>67.366058350000003</v>
      </c>
      <c r="M1675">
        <v>50</v>
      </c>
      <c r="N1675">
        <v>49.975753783999998</v>
      </c>
    </row>
    <row r="1676" spans="1:14" x14ac:dyDescent="0.25">
      <c r="A1676">
        <v>1421.701448</v>
      </c>
      <c r="B1676" s="1">
        <f>DATE(2014,3,22) + TIME(16,50,5)</f>
        <v>41720.70144675926</v>
      </c>
      <c r="C1676">
        <v>0</v>
      </c>
      <c r="D1676">
        <v>2400</v>
      </c>
      <c r="E1676">
        <v>2400</v>
      </c>
      <c r="F1676">
        <v>0</v>
      </c>
      <c r="G1676">
        <v>1293.4649658000001</v>
      </c>
      <c r="H1676">
        <v>1278.8508300999999</v>
      </c>
      <c r="I1676">
        <v>1393.6113281</v>
      </c>
      <c r="J1676">
        <v>1373.8190918</v>
      </c>
      <c r="K1676">
        <v>80</v>
      </c>
      <c r="L1676">
        <v>66.975547790999997</v>
      </c>
      <c r="M1676">
        <v>50</v>
      </c>
      <c r="N1676">
        <v>49.975814819</v>
      </c>
    </row>
    <row r="1677" spans="1:14" x14ac:dyDescent="0.25">
      <c r="A1677">
        <v>1424.805975</v>
      </c>
      <c r="B1677" s="1">
        <f>DATE(2014,3,25) + TIME(19,20,36)</f>
        <v>41723.805972222224</v>
      </c>
      <c r="C1677">
        <v>0</v>
      </c>
      <c r="D1677">
        <v>2400</v>
      </c>
      <c r="E1677">
        <v>2400</v>
      </c>
      <c r="F1677">
        <v>0</v>
      </c>
      <c r="G1677">
        <v>1293.128418</v>
      </c>
      <c r="H1677">
        <v>1278.3824463000001</v>
      </c>
      <c r="I1677">
        <v>1393.5812988</v>
      </c>
      <c r="J1677">
        <v>1373.7833252</v>
      </c>
      <c r="K1677">
        <v>80</v>
      </c>
      <c r="L1677">
        <v>66.574768066000004</v>
      </c>
      <c r="M1677">
        <v>50</v>
      </c>
      <c r="N1677">
        <v>49.975872039999999</v>
      </c>
    </row>
    <row r="1678" spans="1:14" x14ac:dyDescent="0.25">
      <c r="A1678">
        <v>1427.9980559999999</v>
      </c>
      <c r="B1678" s="1">
        <f>DATE(2014,3,28) + TIME(23,57,12)</f>
        <v>41726.998055555552</v>
      </c>
      <c r="C1678">
        <v>0</v>
      </c>
      <c r="D1678">
        <v>2400</v>
      </c>
      <c r="E1678">
        <v>2400</v>
      </c>
      <c r="F1678">
        <v>0</v>
      </c>
      <c r="G1678">
        <v>1292.7897949000001</v>
      </c>
      <c r="H1678">
        <v>1277.9084473</v>
      </c>
      <c r="I1678">
        <v>1393.5512695</v>
      </c>
      <c r="J1678">
        <v>1373.7480469</v>
      </c>
      <c r="K1678">
        <v>80</v>
      </c>
      <c r="L1678">
        <v>66.161804199000002</v>
      </c>
      <c r="M1678">
        <v>50</v>
      </c>
      <c r="N1678">
        <v>49.975929260000001</v>
      </c>
    </row>
    <row r="1679" spans="1:14" x14ac:dyDescent="0.25">
      <c r="A1679">
        <v>1431</v>
      </c>
      <c r="B1679" s="1">
        <f>DATE(2014,4,1) + TIME(0,0,0)</f>
        <v>41730</v>
      </c>
      <c r="C1679">
        <v>0</v>
      </c>
      <c r="D1679">
        <v>2400</v>
      </c>
      <c r="E1679">
        <v>2400</v>
      </c>
      <c r="F1679">
        <v>0</v>
      </c>
      <c r="G1679">
        <v>1292.4416504000001</v>
      </c>
      <c r="H1679">
        <v>1277.4213867000001</v>
      </c>
      <c r="I1679">
        <v>1393.5206298999999</v>
      </c>
      <c r="J1679">
        <v>1373.7120361</v>
      </c>
      <c r="K1679">
        <v>80</v>
      </c>
      <c r="L1679">
        <v>65.737426757999998</v>
      </c>
      <c r="M1679">
        <v>50</v>
      </c>
      <c r="N1679">
        <v>49.975982666</v>
      </c>
    </row>
    <row r="1680" spans="1:14" x14ac:dyDescent="0.25">
      <c r="A1680">
        <v>1434.1920809999999</v>
      </c>
      <c r="B1680" s="1">
        <f>DATE(2014,4,4) + TIME(4,36,35)</f>
        <v>41733.192071759258</v>
      </c>
      <c r="C1680">
        <v>0</v>
      </c>
      <c r="D1680">
        <v>2400</v>
      </c>
      <c r="E1680">
        <v>2400</v>
      </c>
      <c r="F1680">
        <v>0</v>
      </c>
      <c r="G1680">
        <v>1292.1085204999999</v>
      </c>
      <c r="H1680">
        <v>1276.949707</v>
      </c>
      <c r="I1680">
        <v>1393.4919434000001</v>
      </c>
      <c r="J1680">
        <v>1373.6783447</v>
      </c>
      <c r="K1680">
        <v>80</v>
      </c>
      <c r="L1680">
        <v>65.312774657999995</v>
      </c>
      <c r="M1680">
        <v>50</v>
      </c>
      <c r="N1680">
        <v>49.976039886000002</v>
      </c>
    </row>
    <row r="1681" spans="1:14" x14ac:dyDescent="0.25">
      <c r="A1681">
        <v>1437.3841620000001</v>
      </c>
      <c r="B1681" s="1">
        <f>DATE(2014,4,7) + TIME(9,13,11)</f>
        <v>41736.384155092594</v>
      </c>
      <c r="C1681">
        <v>0</v>
      </c>
      <c r="D1681">
        <v>2400</v>
      </c>
      <c r="E1681">
        <v>2400</v>
      </c>
      <c r="F1681">
        <v>0</v>
      </c>
      <c r="G1681">
        <v>1291.7585449000001</v>
      </c>
      <c r="H1681">
        <v>1276.4552002</v>
      </c>
      <c r="I1681">
        <v>1393.4615478999999</v>
      </c>
      <c r="J1681">
        <v>1373.6429443</v>
      </c>
      <c r="K1681">
        <v>80</v>
      </c>
      <c r="L1681">
        <v>64.865982056000007</v>
      </c>
      <c r="M1681">
        <v>50</v>
      </c>
      <c r="N1681">
        <v>49.976097107000001</v>
      </c>
    </row>
    <row r="1682" spans="1:14" x14ac:dyDescent="0.25">
      <c r="A1682">
        <v>1440.576243</v>
      </c>
      <c r="B1682" s="1">
        <f>DATE(2014,4,10) + TIME(13,49,47)</f>
        <v>41739.576238425929</v>
      </c>
      <c r="C1682">
        <v>0</v>
      </c>
      <c r="D1682">
        <v>2400</v>
      </c>
      <c r="E1682">
        <v>2400</v>
      </c>
      <c r="F1682">
        <v>0</v>
      </c>
      <c r="G1682">
        <v>1291.4061279</v>
      </c>
      <c r="H1682">
        <v>1275.9543457</v>
      </c>
      <c r="I1682">
        <v>1393.4312743999999</v>
      </c>
      <c r="J1682">
        <v>1373.6077881000001</v>
      </c>
      <c r="K1682">
        <v>80</v>
      </c>
      <c r="L1682">
        <v>64.407890320000007</v>
      </c>
      <c r="M1682">
        <v>50</v>
      </c>
      <c r="N1682">
        <v>49.976154327000003</v>
      </c>
    </row>
    <row r="1683" spans="1:14" x14ac:dyDescent="0.25">
      <c r="A1683">
        <v>1443.7683239999999</v>
      </c>
      <c r="B1683" s="1">
        <f>DATE(2014,4,13) + TIME(18,26,23)</f>
        <v>41742.768321759257</v>
      </c>
      <c r="C1683">
        <v>0</v>
      </c>
      <c r="D1683">
        <v>2400</v>
      </c>
      <c r="E1683">
        <v>2400</v>
      </c>
      <c r="F1683">
        <v>0</v>
      </c>
      <c r="G1683">
        <v>1291.0528564000001</v>
      </c>
      <c r="H1683">
        <v>1275.4503173999999</v>
      </c>
      <c r="I1683">
        <v>1393.401001</v>
      </c>
      <c r="J1683">
        <v>1373.5729980000001</v>
      </c>
      <c r="K1683">
        <v>80</v>
      </c>
      <c r="L1683">
        <v>63.941059113000001</v>
      </c>
      <c r="M1683">
        <v>50</v>
      </c>
      <c r="N1683">
        <v>49.976207733000003</v>
      </c>
    </row>
    <row r="1684" spans="1:14" x14ac:dyDescent="0.25">
      <c r="A1684">
        <v>1446.960405</v>
      </c>
      <c r="B1684" s="1">
        <f>DATE(2014,4,16) + TIME(23,2,58)</f>
        <v>41745.960393518515</v>
      </c>
      <c r="C1684">
        <v>0</v>
      </c>
      <c r="D1684">
        <v>2400</v>
      </c>
      <c r="E1684">
        <v>2400</v>
      </c>
      <c r="F1684">
        <v>0</v>
      </c>
      <c r="G1684">
        <v>1290.699707</v>
      </c>
      <c r="H1684">
        <v>1274.9439697</v>
      </c>
      <c r="I1684">
        <v>1393.3708495999999</v>
      </c>
      <c r="J1684">
        <v>1373.5383300999999</v>
      </c>
      <c r="K1684">
        <v>80</v>
      </c>
      <c r="L1684">
        <v>63.466564177999999</v>
      </c>
      <c r="M1684">
        <v>50</v>
      </c>
      <c r="N1684">
        <v>49.976261139000002</v>
      </c>
    </row>
    <row r="1685" spans="1:14" x14ac:dyDescent="0.25">
      <c r="A1685">
        <v>1450.152486</v>
      </c>
      <c r="B1685" s="1">
        <f>DATE(2014,4,20) + TIME(3,39,34)</f>
        <v>41749.15247685185</v>
      </c>
      <c r="C1685">
        <v>0</v>
      </c>
      <c r="D1685">
        <v>2400</v>
      </c>
      <c r="E1685">
        <v>2400</v>
      </c>
      <c r="F1685">
        <v>0</v>
      </c>
      <c r="G1685">
        <v>1290.3468018000001</v>
      </c>
      <c r="H1685">
        <v>1274.4359131000001</v>
      </c>
      <c r="I1685">
        <v>1393.3406981999999</v>
      </c>
      <c r="J1685">
        <v>1373.5039062000001</v>
      </c>
      <c r="K1685">
        <v>80</v>
      </c>
      <c r="L1685">
        <v>62.985099792</v>
      </c>
      <c r="M1685">
        <v>50</v>
      </c>
      <c r="N1685">
        <v>49.976314545000001</v>
      </c>
    </row>
    <row r="1686" spans="1:14" x14ac:dyDescent="0.25">
      <c r="A1686">
        <v>1453.693777</v>
      </c>
      <c r="B1686" s="1">
        <f>DATE(2014,4,23) + TIME(16,39,2)</f>
        <v>41752.693773148145</v>
      </c>
      <c r="C1686">
        <v>0</v>
      </c>
      <c r="D1686">
        <v>2400</v>
      </c>
      <c r="E1686">
        <v>2400</v>
      </c>
      <c r="F1686">
        <v>0</v>
      </c>
      <c r="G1686">
        <v>1289.9941406</v>
      </c>
      <c r="H1686">
        <v>1273.9237060999999</v>
      </c>
      <c r="I1686">
        <v>1393.3105469</v>
      </c>
      <c r="J1686">
        <v>1373.4698486</v>
      </c>
      <c r="K1686">
        <v>80</v>
      </c>
      <c r="L1686">
        <v>62.487316131999997</v>
      </c>
      <c r="M1686">
        <v>50</v>
      </c>
      <c r="N1686">
        <v>49.976375580000003</v>
      </c>
    </row>
    <row r="1687" spans="1:14" x14ac:dyDescent="0.25">
      <c r="A1687">
        <v>1457.2350690000001</v>
      </c>
      <c r="B1687" s="1">
        <f>DATE(2014,4,27) + TIME(5,38,29)</f>
        <v>41756.23505787037</v>
      </c>
      <c r="C1687">
        <v>0</v>
      </c>
      <c r="D1687">
        <v>2400</v>
      </c>
      <c r="E1687">
        <v>2400</v>
      </c>
      <c r="F1687">
        <v>0</v>
      </c>
      <c r="G1687">
        <v>1289.609375</v>
      </c>
      <c r="H1687">
        <v>1273.3670654</v>
      </c>
      <c r="I1687">
        <v>1393.2770995999999</v>
      </c>
      <c r="J1687">
        <v>1373.4323730000001</v>
      </c>
      <c r="K1687">
        <v>80</v>
      </c>
      <c r="L1687">
        <v>61.948337555000002</v>
      </c>
      <c r="M1687">
        <v>50</v>
      </c>
      <c r="N1687">
        <v>49.976432799999998</v>
      </c>
    </row>
    <row r="1688" spans="1:14" x14ac:dyDescent="0.25">
      <c r="A1688">
        <v>1461</v>
      </c>
      <c r="B1688" s="1">
        <f>DATE(2014,5,1) + TIME(0,0,0)</f>
        <v>41760</v>
      </c>
      <c r="C1688">
        <v>0</v>
      </c>
      <c r="D1688">
        <v>2400</v>
      </c>
      <c r="E1688">
        <v>2400</v>
      </c>
      <c r="F1688">
        <v>0</v>
      </c>
      <c r="G1688">
        <v>1289.2219238</v>
      </c>
      <c r="H1688">
        <v>1272.8010254000001</v>
      </c>
      <c r="I1688">
        <v>1393.2436522999999</v>
      </c>
      <c r="J1688">
        <v>1373.3950195</v>
      </c>
      <c r="K1688">
        <v>80</v>
      </c>
      <c r="L1688">
        <v>61.390739441000001</v>
      </c>
      <c r="M1688">
        <v>50</v>
      </c>
      <c r="N1688">
        <v>49.976493834999999</v>
      </c>
    </row>
    <row r="1689" spans="1:14" x14ac:dyDescent="0.25">
      <c r="A1689">
        <v>1461.0000010000001</v>
      </c>
      <c r="B1689" s="1">
        <f>DATE(2014,5,1) + TIME(0,0,0)</f>
        <v>41760</v>
      </c>
      <c r="C1689">
        <v>2400</v>
      </c>
      <c r="D1689">
        <v>0</v>
      </c>
      <c r="E1689">
        <v>0</v>
      </c>
      <c r="F1689">
        <v>2400</v>
      </c>
      <c r="G1689">
        <v>1308.2658690999999</v>
      </c>
      <c r="H1689">
        <v>1290.1571045000001</v>
      </c>
      <c r="I1689">
        <v>1372.5206298999999</v>
      </c>
      <c r="J1689">
        <v>1354.0286865</v>
      </c>
      <c r="K1689">
        <v>80</v>
      </c>
      <c r="L1689">
        <v>61.390888214</v>
      </c>
      <c r="M1689">
        <v>50</v>
      </c>
      <c r="N1689">
        <v>49.976383208999998</v>
      </c>
    </row>
    <row r="1690" spans="1:14" x14ac:dyDescent="0.25">
      <c r="A1690">
        <v>1461.000004</v>
      </c>
      <c r="B1690" s="1">
        <f>DATE(2014,5,1) + TIME(0,0,0)</f>
        <v>41760</v>
      </c>
      <c r="C1690">
        <v>2400</v>
      </c>
      <c r="D1690">
        <v>0</v>
      </c>
      <c r="E1690">
        <v>0</v>
      </c>
      <c r="F1690">
        <v>2400</v>
      </c>
      <c r="G1690">
        <v>1310.5889893000001</v>
      </c>
      <c r="H1690">
        <v>1292.5955810999999</v>
      </c>
      <c r="I1690">
        <v>1370.1881103999999</v>
      </c>
      <c r="J1690">
        <v>1351.6955565999999</v>
      </c>
      <c r="K1690">
        <v>80</v>
      </c>
      <c r="L1690">
        <v>61.391284943000002</v>
      </c>
      <c r="M1690">
        <v>50</v>
      </c>
      <c r="N1690">
        <v>49.976089477999999</v>
      </c>
    </row>
    <row r="1691" spans="1:14" x14ac:dyDescent="0.25">
      <c r="A1691">
        <v>1461.0000130000001</v>
      </c>
      <c r="B1691" s="1">
        <f>DATE(2014,5,1) + TIME(0,0,1)</f>
        <v>41760.000011574077</v>
      </c>
      <c r="C1691">
        <v>2400</v>
      </c>
      <c r="D1691">
        <v>0</v>
      </c>
      <c r="E1691">
        <v>0</v>
      </c>
      <c r="F1691">
        <v>2400</v>
      </c>
      <c r="G1691">
        <v>1315.6716309000001</v>
      </c>
      <c r="H1691">
        <v>1297.8309326000001</v>
      </c>
      <c r="I1691">
        <v>1364.9558105000001</v>
      </c>
      <c r="J1691">
        <v>1346.4622803</v>
      </c>
      <c r="K1691">
        <v>80</v>
      </c>
      <c r="L1691">
        <v>61.392200469999999</v>
      </c>
      <c r="M1691">
        <v>50</v>
      </c>
      <c r="N1691">
        <v>49.975429535000004</v>
      </c>
    </row>
    <row r="1692" spans="1:14" x14ac:dyDescent="0.25">
      <c r="A1692">
        <v>1461.0000399999999</v>
      </c>
      <c r="B1692" s="1">
        <f>DATE(2014,5,1) + TIME(0,0,3)</f>
        <v>41760.000034722223</v>
      </c>
      <c r="C1692">
        <v>2400</v>
      </c>
      <c r="D1692">
        <v>0</v>
      </c>
      <c r="E1692">
        <v>0</v>
      </c>
      <c r="F1692">
        <v>2400</v>
      </c>
      <c r="G1692">
        <v>1323.8787841999999</v>
      </c>
      <c r="H1692">
        <v>1306.0964355000001</v>
      </c>
      <c r="I1692">
        <v>1356.2122803</v>
      </c>
      <c r="J1692">
        <v>1337.7193603999999</v>
      </c>
      <c r="K1692">
        <v>80</v>
      </c>
      <c r="L1692">
        <v>61.393962860000002</v>
      </c>
      <c r="M1692">
        <v>50</v>
      </c>
      <c r="N1692">
        <v>49.974327086999999</v>
      </c>
    </row>
    <row r="1693" spans="1:14" x14ac:dyDescent="0.25">
      <c r="A1693">
        <v>1461.000121</v>
      </c>
      <c r="B1693" s="1">
        <f>DATE(2014,5,1) + TIME(0,0,10)</f>
        <v>41760.000115740739</v>
      </c>
      <c r="C1693">
        <v>2400</v>
      </c>
      <c r="D1693">
        <v>0</v>
      </c>
      <c r="E1693">
        <v>0</v>
      </c>
      <c r="F1693">
        <v>2400</v>
      </c>
      <c r="G1693">
        <v>1333.6807861</v>
      </c>
      <c r="H1693">
        <v>1315.8431396000001</v>
      </c>
      <c r="I1693">
        <v>1345.5391846</v>
      </c>
      <c r="J1693">
        <v>1327.0506591999999</v>
      </c>
      <c r="K1693">
        <v>80</v>
      </c>
      <c r="L1693">
        <v>61.397274017000001</v>
      </c>
      <c r="M1693">
        <v>50</v>
      </c>
      <c r="N1693">
        <v>49.972976684999999</v>
      </c>
    </row>
    <row r="1694" spans="1:14" x14ac:dyDescent="0.25">
      <c r="A1694">
        <v>1461.000364</v>
      </c>
      <c r="B1694" s="1">
        <f>DATE(2014,5,1) + TIME(0,0,31)</f>
        <v>41760.000358796293</v>
      </c>
      <c r="C1694">
        <v>2400</v>
      </c>
      <c r="D1694">
        <v>0</v>
      </c>
      <c r="E1694">
        <v>0</v>
      </c>
      <c r="F1694">
        <v>2400</v>
      </c>
      <c r="G1694">
        <v>1343.8278809000001</v>
      </c>
      <c r="H1694">
        <v>1325.9193115</v>
      </c>
      <c r="I1694">
        <v>1334.5518798999999</v>
      </c>
      <c r="J1694">
        <v>1316.0717772999999</v>
      </c>
      <c r="K1694">
        <v>80</v>
      </c>
      <c r="L1694">
        <v>61.404689789000003</v>
      </c>
      <c r="M1694">
        <v>50</v>
      </c>
      <c r="N1694">
        <v>49.971565247000001</v>
      </c>
    </row>
    <row r="1695" spans="1:14" x14ac:dyDescent="0.25">
      <c r="A1695">
        <v>1461.0010930000001</v>
      </c>
      <c r="B1695" s="1">
        <f>DATE(2014,5,1) + TIME(0,1,34)</f>
        <v>41760.001087962963</v>
      </c>
      <c r="C1695">
        <v>2400</v>
      </c>
      <c r="D1695">
        <v>0</v>
      </c>
      <c r="E1695">
        <v>0</v>
      </c>
      <c r="F1695">
        <v>2400</v>
      </c>
      <c r="G1695">
        <v>1354.3001709</v>
      </c>
      <c r="H1695">
        <v>1336.3270264</v>
      </c>
      <c r="I1695">
        <v>1323.5671387</v>
      </c>
      <c r="J1695">
        <v>1305.0976562000001</v>
      </c>
      <c r="K1695">
        <v>80</v>
      </c>
      <c r="L1695">
        <v>61.424365997000002</v>
      </c>
      <c r="M1695">
        <v>50</v>
      </c>
      <c r="N1695">
        <v>49.970108031999999</v>
      </c>
    </row>
    <row r="1696" spans="1:14" x14ac:dyDescent="0.25">
      <c r="A1696">
        <v>1461.0032799999999</v>
      </c>
      <c r="B1696" s="1">
        <f>DATE(2014,5,1) + TIME(0,4,43)</f>
        <v>41760.003275462965</v>
      </c>
      <c r="C1696">
        <v>2400</v>
      </c>
      <c r="D1696">
        <v>0</v>
      </c>
      <c r="E1696">
        <v>0</v>
      </c>
      <c r="F1696">
        <v>2400</v>
      </c>
      <c r="G1696">
        <v>1365.4603271000001</v>
      </c>
      <c r="H1696">
        <v>1347.4421387</v>
      </c>
      <c r="I1696">
        <v>1312.4849853999999</v>
      </c>
      <c r="J1696">
        <v>1294.0040283000001</v>
      </c>
      <c r="K1696">
        <v>80</v>
      </c>
      <c r="L1696">
        <v>61.480747223000002</v>
      </c>
      <c r="M1696">
        <v>50</v>
      </c>
      <c r="N1696">
        <v>49.968482971</v>
      </c>
    </row>
    <row r="1697" spans="1:14" x14ac:dyDescent="0.25">
      <c r="A1697">
        <v>1461.0098410000001</v>
      </c>
      <c r="B1697" s="1">
        <f>DATE(2014,5,1) + TIME(0,14,10)</f>
        <v>41760.009837962964</v>
      </c>
      <c r="C1697">
        <v>2400</v>
      </c>
      <c r="D1697">
        <v>0</v>
      </c>
      <c r="E1697">
        <v>0</v>
      </c>
      <c r="F1697">
        <v>2400</v>
      </c>
      <c r="G1697">
        <v>1376.8050536999999</v>
      </c>
      <c r="H1697">
        <v>1358.8355713000001</v>
      </c>
      <c r="I1697">
        <v>1301.6754149999999</v>
      </c>
      <c r="J1697">
        <v>1283.104126</v>
      </c>
      <c r="K1697">
        <v>80</v>
      </c>
      <c r="L1697">
        <v>61.64547348</v>
      </c>
      <c r="M1697">
        <v>50</v>
      </c>
      <c r="N1697">
        <v>49.966434479</v>
      </c>
    </row>
    <row r="1698" spans="1:14" x14ac:dyDescent="0.25">
      <c r="A1698">
        <v>1461.029524</v>
      </c>
      <c r="B1698" s="1">
        <f>DATE(2014,5,1) + TIME(0,42,30)</f>
        <v>41760.029513888891</v>
      </c>
      <c r="C1698">
        <v>2400</v>
      </c>
      <c r="D1698">
        <v>0</v>
      </c>
      <c r="E1698">
        <v>0</v>
      </c>
      <c r="F1698">
        <v>2400</v>
      </c>
      <c r="G1698">
        <v>1385.9704589999999</v>
      </c>
      <c r="H1698">
        <v>1368.2414550999999</v>
      </c>
      <c r="I1698">
        <v>1293.2612305</v>
      </c>
      <c r="J1698">
        <v>1274.5021973</v>
      </c>
      <c r="K1698">
        <v>80</v>
      </c>
      <c r="L1698">
        <v>62.120559692</v>
      </c>
      <c r="M1698">
        <v>50</v>
      </c>
      <c r="N1698">
        <v>49.963325500000003</v>
      </c>
    </row>
    <row r="1699" spans="1:14" x14ac:dyDescent="0.25">
      <c r="A1699">
        <v>1461.058955</v>
      </c>
      <c r="B1699" s="1">
        <f>DATE(2014,5,1) + TIME(1,24,53)</f>
        <v>41760.058946759258</v>
      </c>
      <c r="C1699">
        <v>2400</v>
      </c>
      <c r="D1699">
        <v>0</v>
      </c>
      <c r="E1699">
        <v>0</v>
      </c>
      <c r="F1699">
        <v>2400</v>
      </c>
      <c r="G1699">
        <v>1389.822876</v>
      </c>
      <c r="H1699">
        <v>1372.3526611</v>
      </c>
      <c r="I1699">
        <v>1290.0887451000001</v>
      </c>
      <c r="J1699">
        <v>1271.1939697</v>
      </c>
      <c r="K1699">
        <v>80</v>
      </c>
      <c r="L1699">
        <v>62.799461364999999</v>
      </c>
      <c r="M1699">
        <v>50</v>
      </c>
      <c r="N1699">
        <v>49.959880828999999</v>
      </c>
    </row>
    <row r="1700" spans="1:14" x14ac:dyDescent="0.25">
      <c r="A1700">
        <v>1461.088839</v>
      </c>
      <c r="B1700" s="1">
        <f>DATE(2014,5,1) + TIME(2,7,55)</f>
        <v>41760.088831018518</v>
      </c>
      <c r="C1700">
        <v>2400</v>
      </c>
      <c r="D1700">
        <v>0</v>
      </c>
      <c r="E1700">
        <v>0</v>
      </c>
      <c r="F1700">
        <v>2400</v>
      </c>
      <c r="G1700">
        <v>1391.0812988</v>
      </c>
      <c r="H1700">
        <v>1373.7995605000001</v>
      </c>
      <c r="I1700">
        <v>1289.2520752</v>
      </c>
      <c r="J1700">
        <v>1270.2937012</v>
      </c>
      <c r="K1700">
        <v>80</v>
      </c>
      <c r="L1700">
        <v>63.461200714</v>
      </c>
      <c r="M1700">
        <v>50</v>
      </c>
      <c r="N1700">
        <v>49.956695557000003</v>
      </c>
    </row>
    <row r="1701" spans="1:14" x14ac:dyDescent="0.25">
      <c r="A1701">
        <v>1461.11934</v>
      </c>
      <c r="B1701" s="1">
        <f>DATE(2014,5,1) + TIME(2,51,50)</f>
        <v>41760.119328703702</v>
      </c>
      <c r="C1701">
        <v>2400</v>
      </c>
      <c r="D1701">
        <v>0</v>
      </c>
      <c r="E1701">
        <v>0</v>
      </c>
      <c r="F1701">
        <v>2400</v>
      </c>
      <c r="G1701">
        <v>1391.4671631000001</v>
      </c>
      <c r="H1701">
        <v>1374.3421631000001</v>
      </c>
      <c r="I1701">
        <v>1289.0690918</v>
      </c>
      <c r="J1701">
        <v>1270.0817870999999</v>
      </c>
      <c r="K1701">
        <v>80</v>
      </c>
      <c r="L1701">
        <v>64.110198975000003</v>
      </c>
      <c r="M1701">
        <v>50</v>
      </c>
      <c r="N1701">
        <v>49.953556061</v>
      </c>
    </row>
    <row r="1702" spans="1:14" x14ac:dyDescent="0.25">
      <c r="A1702">
        <v>1461.1505629999999</v>
      </c>
      <c r="B1702" s="1">
        <f>DATE(2014,5,1) + TIME(3,36,48)</f>
        <v>41760.150555555556</v>
      </c>
      <c r="C1702">
        <v>2400</v>
      </c>
      <c r="D1702">
        <v>0</v>
      </c>
      <c r="E1702">
        <v>0</v>
      </c>
      <c r="F1702">
        <v>2400</v>
      </c>
      <c r="G1702">
        <v>1391.526001</v>
      </c>
      <c r="H1702">
        <v>1374.5412598</v>
      </c>
      <c r="I1702">
        <v>1289.0605469</v>
      </c>
      <c r="J1702">
        <v>1270.0601807</v>
      </c>
      <c r="K1702">
        <v>80</v>
      </c>
      <c r="L1702">
        <v>64.748481749999996</v>
      </c>
      <c r="M1702">
        <v>50</v>
      </c>
      <c r="N1702">
        <v>49.950397490999997</v>
      </c>
    </row>
    <row r="1703" spans="1:14" x14ac:dyDescent="0.25">
      <c r="A1703">
        <v>1461.1825859999999</v>
      </c>
      <c r="B1703" s="1">
        <f>DATE(2014,5,1) + TIME(4,22,55)</f>
        <v>41760.182581018518</v>
      </c>
      <c r="C1703">
        <v>2400</v>
      </c>
      <c r="D1703">
        <v>0</v>
      </c>
      <c r="E1703">
        <v>0</v>
      </c>
      <c r="F1703">
        <v>2400</v>
      </c>
      <c r="G1703">
        <v>1391.4538574000001</v>
      </c>
      <c r="H1703">
        <v>1374.6000977000001</v>
      </c>
      <c r="I1703">
        <v>1289.0870361</v>
      </c>
      <c r="J1703">
        <v>1270.0805664</v>
      </c>
      <c r="K1703">
        <v>80</v>
      </c>
      <c r="L1703">
        <v>65.377037048000005</v>
      </c>
      <c r="M1703">
        <v>50</v>
      </c>
      <c r="N1703">
        <v>49.947193145999996</v>
      </c>
    </row>
    <row r="1704" spans="1:14" x14ac:dyDescent="0.25">
      <c r="A1704">
        <v>1461.2154760000001</v>
      </c>
      <c r="B1704" s="1">
        <f>DATE(2014,5,1) + TIME(5,10,17)</f>
        <v>41760.215474537035</v>
      </c>
      <c r="C1704">
        <v>2400</v>
      </c>
      <c r="D1704">
        <v>0</v>
      </c>
      <c r="E1704">
        <v>0</v>
      </c>
      <c r="F1704">
        <v>2400</v>
      </c>
      <c r="G1704">
        <v>1391.3275146000001</v>
      </c>
      <c r="H1704">
        <v>1374.5983887</v>
      </c>
      <c r="I1704">
        <v>1289.1118164</v>
      </c>
      <c r="J1704">
        <v>1270.1024170000001</v>
      </c>
      <c r="K1704">
        <v>80</v>
      </c>
      <c r="L1704">
        <v>65.996170043999996</v>
      </c>
      <c r="M1704">
        <v>50</v>
      </c>
      <c r="N1704">
        <v>49.943939209</v>
      </c>
    </row>
    <row r="1705" spans="1:14" x14ac:dyDescent="0.25">
      <c r="A1705">
        <v>1461.249294</v>
      </c>
      <c r="B1705" s="1">
        <f>DATE(2014,5,1) + TIME(5,58,59)</f>
        <v>41760.249293981484</v>
      </c>
      <c r="C1705">
        <v>2400</v>
      </c>
      <c r="D1705">
        <v>0</v>
      </c>
      <c r="E1705">
        <v>0</v>
      </c>
      <c r="F1705">
        <v>2400</v>
      </c>
      <c r="G1705">
        <v>1391.1790771000001</v>
      </c>
      <c r="H1705">
        <v>1374.5698242000001</v>
      </c>
      <c r="I1705">
        <v>1289.1287841999999</v>
      </c>
      <c r="J1705">
        <v>1270.1176757999999</v>
      </c>
      <c r="K1705">
        <v>80</v>
      </c>
      <c r="L1705">
        <v>66.605934142999999</v>
      </c>
      <c r="M1705">
        <v>50</v>
      </c>
      <c r="N1705">
        <v>49.940624237000002</v>
      </c>
    </row>
    <row r="1706" spans="1:14" x14ac:dyDescent="0.25">
      <c r="A1706">
        <v>1461.2841040000001</v>
      </c>
      <c r="B1706" s="1">
        <f>DATE(2014,5,1) + TIME(6,49,6)</f>
        <v>41760.284097222226</v>
      </c>
      <c r="C1706">
        <v>2400</v>
      </c>
      <c r="D1706">
        <v>0</v>
      </c>
      <c r="E1706">
        <v>0</v>
      </c>
      <c r="F1706">
        <v>2400</v>
      </c>
      <c r="G1706">
        <v>1391.0225829999999</v>
      </c>
      <c r="H1706">
        <v>1374.5289307</v>
      </c>
      <c r="I1706">
        <v>1289.1391602000001</v>
      </c>
      <c r="J1706">
        <v>1270.1268310999999</v>
      </c>
      <c r="K1706">
        <v>80</v>
      </c>
      <c r="L1706">
        <v>67.206314086999996</v>
      </c>
      <c r="M1706">
        <v>50</v>
      </c>
      <c r="N1706">
        <v>49.937248230000002</v>
      </c>
    </row>
    <row r="1707" spans="1:14" x14ac:dyDescent="0.25">
      <c r="A1707">
        <v>1461.3199810000001</v>
      </c>
      <c r="B1707" s="1">
        <f>DATE(2014,5,1) + TIME(7,40,46)</f>
        <v>41760.319976851853</v>
      </c>
      <c r="C1707">
        <v>2400</v>
      </c>
      <c r="D1707">
        <v>0</v>
      </c>
      <c r="E1707">
        <v>0</v>
      </c>
      <c r="F1707">
        <v>2400</v>
      </c>
      <c r="G1707">
        <v>1390.8645019999999</v>
      </c>
      <c r="H1707">
        <v>1374.4827881000001</v>
      </c>
      <c r="I1707">
        <v>1289.1452637</v>
      </c>
      <c r="J1707">
        <v>1270.1317139</v>
      </c>
      <c r="K1707">
        <v>80</v>
      </c>
      <c r="L1707">
        <v>67.797340392999999</v>
      </c>
      <c r="M1707">
        <v>50</v>
      </c>
      <c r="N1707">
        <v>49.933807373</v>
      </c>
    </row>
    <row r="1708" spans="1:14" x14ac:dyDescent="0.25">
      <c r="A1708">
        <v>1461.3570030000001</v>
      </c>
      <c r="B1708" s="1">
        <f>DATE(2014,5,1) + TIME(8,34,5)</f>
        <v>41760.357002314813</v>
      </c>
      <c r="C1708">
        <v>2400</v>
      </c>
      <c r="D1708">
        <v>0</v>
      </c>
      <c r="E1708">
        <v>0</v>
      </c>
      <c r="F1708">
        <v>2400</v>
      </c>
      <c r="G1708">
        <v>1390.7080077999999</v>
      </c>
      <c r="H1708">
        <v>1374.4345702999999</v>
      </c>
      <c r="I1708">
        <v>1289.1486815999999</v>
      </c>
      <c r="J1708">
        <v>1270.1341553</v>
      </c>
      <c r="K1708">
        <v>80</v>
      </c>
      <c r="L1708">
        <v>68.378982543999996</v>
      </c>
      <c r="M1708">
        <v>50</v>
      </c>
      <c r="N1708">
        <v>49.930294037000003</v>
      </c>
    </row>
    <row r="1709" spans="1:14" x14ac:dyDescent="0.25">
      <c r="A1709">
        <v>1461.3952409999999</v>
      </c>
      <c r="B1709" s="1">
        <f>DATE(2014,5,1) + TIME(9,29,8)</f>
        <v>41760.395231481481</v>
      </c>
      <c r="C1709">
        <v>2400</v>
      </c>
      <c r="D1709">
        <v>0</v>
      </c>
      <c r="E1709">
        <v>0</v>
      </c>
      <c r="F1709">
        <v>2400</v>
      </c>
      <c r="G1709">
        <v>1390.5545654</v>
      </c>
      <c r="H1709">
        <v>1374.3858643000001</v>
      </c>
      <c r="I1709">
        <v>1289.1506348</v>
      </c>
      <c r="J1709">
        <v>1270.1351318</v>
      </c>
      <c r="K1709">
        <v>80</v>
      </c>
      <c r="L1709">
        <v>68.950942992999998</v>
      </c>
      <c r="M1709">
        <v>50</v>
      </c>
      <c r="N1709">
        <v>49.926704407000003</v>
      </c>
    </row>
    <row r="1710" spans="1:14" x14ac:dyDescent="0.25">
      <c r="A1710">
        <v>1461.434786</v>
      </c>
      <c r="B1710" s="1">
        <f>DATE(2014,5,1) + TIME(10,26,5)</f>
        <v>41760.43478009259</v>
      </c>
      <c r="C1710">
        <v>2400</v>
      </c>
      <c r="D1710">
        <v>0</v>
      </c>
      <c r="E1710">
        <v>0</v>
      </c>
      <c r="F1710">
        <v>2400</v>
      </c>
      <c r="G1710">
        <v>1390.4046631000001</v>
      </c>
      <c r="H1710">
        <v>1374.3375243999999</v>
      </c>
      <c r="I1710">
        <v>1289.1518555</v>
      </c>
      <c r="J1710">
        <v>1270.1352539</v>
      </c>
      <c r="K1710">
        <v>80</v>
      </c>
      <c r="L1710">
        <v>69.513084411999998</v>
      </c>
      <c r="M1710">
        <v>50</v>
      </c>
      <c r="N1710">
        <v>49.923034668</v>
      </c>
    </row>
    <row r="1711" spans="1:14" x14ac:dyDescent="0.25">
      <c r="A1711">
        <v>1461.4757340000001</v>
      </c>
      <c r="B1711" s="1">
        <f>DATE(2014,5,1) + TIME(11,25,3)</f>
        <v>41760.475729166668</v>
      </c>
      <c r="C1711">
        <v>2400</v>
      </c>
      <c r="D1711">
        <v>0</v>
      </c>
      <c r="E1711">
        <v>0</v>
      </c>
      <c r="F1711">
        <v>2400</v>
      </c>
      <c r="G1711">
        <v>1390.2586670000001</v>
      </c>
      <c r="H1711">
        <v>1374.2896728999999</v>
      </c>
      <c r="I1711">
        <v>1289.1525879000001</v>
      </c>
      <c r="J1711">
        <v>1270.1348877</v>
      </c>
      <c r="K1711">
        <v>80</v>
      </c>
      <c r="L1711">
        <v>70.065216063999998</v>
      </c>
      <c r="M1711">
        <v>50</v>
      </c>
      <c r="N1711">
        <v>49.919273376</v>
      </c>
    </row>
    <row r="1712" spans="1:14" x14ac:dyDescent="0.25">
      <c r="A1712">
        <v>1461.5181970000001</v>
      </c>
      <c r="B1712" s="1">
        <f>DATE(2014,5,1) + TIME(12,26,12)</f>
        <v>41760.518194444441</v>
      </c>
      <c r="C1712">
        <v>2400</v>
      </c>
      <c r="D1712">
        <v>0</v>
      </c>
      <c r="E1712">
        <v>0</v>
      </c>
      <c r="F1712">
        <v>2400</v>
      </c>
      <c r="G1712">
        <v>1390.1164550999999</v>
      </c>
      <c r="H1712">
        <v>1374.2424315999999</v>
      </c>
      <c r="I1712">
        <v>1289.1531981999999</v>
      </c>
      <c r="J1712">
        <v>1270.1342772999999</v>
      </c>
      <c r="K1712">
        <v>80</v>
      </c>
      <c r="L1712">
        <v>70.606849670000003</v>
      </c>
      <c r="M1712">
        <v>50</v>
      </c>
      <c r="N1712">
        <v>49.915416718000003</v>
      </c>
    </row>
    <row r="1713" spans="1:14" x14ac:dyDescent="0.25">
      <c r="A1713">
        <v>1461.5622960000001</v>
      </c>
      <c r="B1713" s="1">
        <f>DATE(2014,5,1) + TIME(13,29,42)</f>
        <v>41760.562291666669</v>
      </c>
      <c r="C1713">
        <v>2400</v>
      </c>
      <c r="D1713">
        <v>0</v>
      </c>
      <c r="E1713">
        <v>0</v>
      </c>
      <c r="F1713">
        <v>2400</v>
      </c>
      <c r="G1713">
        <v>1389.9780272999999</v>
      </c>
      <c r="H1713">
        <v>1374.1958007999999</v>
      </c>
      <c r="I1713">
        <v>1289.1535644999999</v>
      </c>
      <c r="J1713">
        <v>1270.1335449000001</v>
      </c>
      <c r="K1713">
        <v>80</v>
      </c>
      <c r="L1713">
        <v>71.138130188000005</v>
      </c>
      <c r="M1713">
        <v>50</v>
      </c>
      <c r="N1713">
        <v>49.911457061999997</v>
      </c>
    </row>
    <row r="1714" spans="1:14" x14ac:dyDescent="0.25">
      <c r="A1714">
        <v>1461.6081690000001</v>
      </c>
      <c r="B1714" s="1">
        <f>DATE(2014,5,1) + TIME(14,35,45)</f>
        <v>41760.608159722222</v>
      </c>
      <c r="C1714">
        <v>2400</v>
      </c>
      <c r="D1714">
        <v>0</v>
      </c>
      <c r="E1714">
        <v>0</v>
      </c>
      <c r="F1714">
        <v>2400</v>
      </c>
      <c r="G1714">
        <v>1389.8431396000001</v>
      </c>
      <c r="H1714">
        <v>1374.1499022999999</v>
      </c>
      <c r="I1714">
        <v>1289.1539307</v>
      </c>
      <c r="J1714">
        <v>1270.1326904</v>
      </c>
      <c r="K1714">
        <v>80</v>
      </c>
      <c r="L1714">
        <v>71.658866881999998</v>
      </c>
      <c r="M1714">
        <v>50</v>
      </c>
      <c r="N1714">
        <v>49.907382964999996</v>
      </c>
    </row>
    <row r="1715" spans="1:14" x14ac:dyDescent="0.25">
      <c r="A1715">
        <v>1461.655972</v>
      </c>
      <c r="B1715" s="1">
        <f>DATE(2014,5,1) + TIME(15,44,35)</f>
        <v>41760.655960648146</v>
      </c>
      <c r="C1715">
        <v>2400</v>
      </c>
      <c r="D1715">
        <v>0</v>
      </c>
      <c r="E1715">
        <v>0</v>
      </c>
      <c r="F1715">
        <v>2400</v>
      </c>
      <c r="G1715">
        <v>1389.7117920000001</v>
      </c>
      <c r="H1715">
        <v>1374.1042480000001</v>
      </c>
      <c r="I1715">
        <v>1289.1541748</v>
      </c>
      <c r="J1715">
        <v>1270.1317139</v>
      </c>
      <c r="K1715">
        <v>80</v>
      </c>
      <c r="L1715">
        <v>72.168823242000002</v>
      </c>
      <c r="M1715">
        <v>50</v>
      </c>
      <c r="N1715">
        <v>49.903190613</v>
      </c>
    </row>
    <row r="1716" spans="1:14" x14ac:dyDescent="0.25">
      <c r="A1716">
        <v>1461.705878</v>
      </c>
      <c r="B1716" s="1">
        <f>DATE(2014,5,1) + TIME(16,56,27)</f>
        <v>41760.705868055556</v>
      </c>
      <c r="C1716">
        <v>2400</v>
      </c>
      <c r="D1716">
        <v>0</v>
      </c>
      <c r="E1716">
        <v>0</v>
      </c>
      <c r="F1716">
        <v>2400</v>
      </c>
      <c r="G1716">
        <v>1389.5834961</v>
      </c>
      <c r="H1716">
        <v>1374.059082</v>
      </c>
      <c r="I1716">
        <v>1289.1542969</v>
      </c>
      <c r="J1716">
        <v>1270.1307373</v>
      </c>
      <c r="K1716">
        <v>80</v>
      </c>
      <c r="L1716">
        <v>72.667762756000002</v>
      </c>
      <c r="M1716">
        <v>50</v>
      </c>
      <c r="N1716">
        <v>49.898860931000002</v>
      </c>
    </row>
    <row r="1717" spans="1:14" x14ac:dyDescent="0.25">
      <c r="A1717">
        <v>1461.7580889999999</v>
      </c>
      <c r="B1717" s="1">
        <f>DATE(2014,5,1) + TIME(18,11,38)</f>
        <v>41760.7580787037</v>
      </c>
      <c r="C1717">
        <v>2400</v>
      </c>
      <c r="D1717">
        <v>0</v>
      </c>
      <c r="E1717">
        <v>0</v>
      </c>
      <c r="F1717">
        <v>2400</v>
      </c>
      <c r="G1717">
        <v>1389.4582519999999</v>
      </c>
      <c r="H1717">
        <v>1374.0140381000001</v>
      </c>
      <c r="I1717">
        <v>1289.1544189000001</v>
      </c>
      <c r="J1717">
        <v>1270.1296387</v>
      </c>
      <c r="K1717">
        <v>80</v>
      </c>
      <c r="L1717">
        <v>73.155426024999997</v>
      </c>
      <c r="M1717">
        <v>50</v>
      </c>
      <c r="N1717">
        <v>49.894386292</v>
      </c>
    </row>
    <row r="1718" spans="1:14" x14ac:dyDescent="0.25">
      <c r="A1718">
        <v>1461.81287</v>
      </c>
      <c r="B1718" s="1">
        <f>DATE(2014,5,1) + TIME(19,30,32)</f>
        <v>41760.81287037037</v>
      </c>
      <c r="C1718">
        <v>2400</v>
      </c>
      <c r="D1718">
        <v>0</v>
      </c>
      <c r="E1718">
        <v>0</v>
      </c>
      <c r="F1718">
        <v>2400</v>
      </c>
      <c r="G1718">
        <v>1389.3356934000001</v>
      </c>
      <c r="H1718">
        <v>1373.9689940999999</v>
      </c>
      <c r="I1718">
        <v>1289.1544189000001</v>
      </c>
      <c r="J1718">
        <v>1270.1285399999999</v>
      </c>
      <c r="K1718">
        <v>80</v>
      </c>
      <c r="L1718">
        <v>73.631835937999995</v>
      </c>
      <c r="M1718">
        <v>50</v>
      </c>
      <c r="N1718">
        <v>49.889743805000002</v>
      </c>
    </row>
    <row r="1719" spans="1:14" x14ac:dyDescent="0.25">
      <c r="A1719">
        <v>1461.8704519999999</v>
      </c>
      <c r="B1719" s="1">
        <f>DATE(2014,5,1) + TIME(20,53,27)</f>
        <v>41760.870451388888</v>
      </c>
      <c r="C1719">
        <v>2400</v>
      </c>
      <c r="D1719">
        <v>0</v>
      </c>
      <c r="E1719">
        <v>0</v>
      </c>
      <c r="F1719">
        <v>2400</v>
      </c>
      <c r="G1719">
        <v>1389.2156981999999</v>
      </c>
      <c r="H1719">
        <v>1373.9237060999999</v>
      </c>
      <c r="I1719">
        <v>1289.1544189000001</v>
      </c>
      <c r="J1719">
        <v>1270.1271973</v>
      </c>
      <c r="K1719">
        <v>80</v>
      </c>
      <c r="L1719">
        <v>74.096359253000003</v>
      </c>
      <c r="M1719">
        <v>50</v>
      </c>
      <c r="N1719">
        <v>49.884925842000001</v>
      </c>
    </row>
    <row r="1720" spans="1:14" x14ac:dyDescent="0.25">
      <c r="A1720">
        <v>1461.9311399999999</v>
      </c>
      <c r="B1720" s="1">
        <f>DATE(2014,5,1) + TIME(22,20,50)</f>
        <v>41760.931134259263</v>
      </c>
      <c r="C1720">
        <v>2400</v>
      </c>
      <c r="D1720">
        <v>0</v>
      </c>
      <c r="E1720">
        <v>0</v>
      </c>
      <c r="F1720">
        <v>2400</v>
      </c>
      <c r="G1720">
        <v>1389.0981445</v>
      </c>
      <c r="H1720">
        <v>1373.8781738</v>
      </c>
      <c r="I1720">
        <v>1289.1544189000001</v>
      </c>
      <c r="J1720">
        <v>1270.1259766000001</v>
      </c>
      <c r="K1720">
        <v>80</v>
      </c>
      <c r="L1720">
        <v>74.548660278</v>
      </c>
      <c r="M1720">
        <v>50</v>
      </c>
      <c r="N1720">
        <v>49.879909515000001</v>
      </c>
    </row>
    <row r="1721" spans="1:14" x14ac:dyDescent="0.25">
      <c r="A1721">
        <v>1461.9952900000001</v>
      </c>
      <c r="B1721" s="1">
        <f>DATE(2014,5,1) + TIME(23,53,13)</f>
        <v>41760.995289351849</v>
      </c>
      <c r="C1721">
        <v>2400</v>
      </c>
      <c r="D1721">
        <v>0</v>
      </c>
      <c r="E1721">
        <v>0</v>
      </c>
      <c r="F1721">
        <v>2400</v>
      </c>
      <c r="G1721">
        <v>1388.9827881000001</v>
      </c>
      <c r="H1721">
        <v>1373.8322754000001</v>
      </c>
      <c r="I1721">
        <v>1289.1541748</v>
      </c>
      <c r="J1721">
        <v>1270.1245117000001</v>
      </c>
      <c r="K1721">
        <v>80</v>
      </c>
      <c r="L1721">
        <v>74.988365173000005</v>
      </c>
      <c r="M1721">
        <v>50</v>
      </c>
      <c r="N1721">
        <v>49.874671935999999</v>
      </c>
    </row>
    <row r="1722" spans="1:14" x14ac:dyDescent="0.25">
      <c r="A1722">
        <v>1462.063322</v>
      </c>
      <c r="B1722" s="1">
        <f>DATE(2014,5,2) + TIME(1,31,10)</f>
        <v>41761.063310185185</v>
      </c>
      <c r="C1722">
        <v>2400</v>
      </c>
      <c r="D1722">
        <v>0</v>
      </c>
      <c r="E1722">
        <v>0</v>
      </c>
      <c r="F1722">
        <v>2400</v>
      </c>
      <c r="G1722">
        <v>1388.8693848</v>
      </c>
      <c r="H1722">
        <v>1373.7855225000001</v>
      </c>
      <c r="I1722">
        <v>1289.1539307</v>
      </c>
      <c r="J1722">
        <v>1270.1230469</v>
      </c>
      <c r="K1722">
        <v>80</v>
      </c>
      <c r="L1722">
        <v>75.414733886999997</v>
      </c>
      <c r="M1722">
        <v>50</v>
      </c>
      <c r="N1722">
        <v>49.869190216</v>
      </c>
    </row>
    <row r="1723" spans="1:14" x14ac:dyDescent="0.25">
      <c r="A1723">
        <v>1462.13572</v>
      </c>
      <c r="B1723" s="1">
        <f>DATE(2014,5,2) + TIME(3,15,26)</f>
        <v>41761.135717592595</v>
      </c>
      <c r="C1723">
        <v>2400</v>
      </c>
      <c r="D1723">
        <v>0</v>
      </c>
      <c r="E1723">
        <v>0</v>
      </c>
      <c r="F1723">
        <v>2400</v>
      </c>
      <c r="G1723">
        <v>1388.7575684000001</v>
      </c>
      <c r="H1723">
        <v>1373.7379149999999</v>
      </c>
      <c r="I1723">
        <v>1289.1535644999999</v>
      </c>
      <c r="J1723">
        <v>1270.121582</v>
      </c>
      <c r="K1723">
        <v>80</v>
      </c>
      <c r="L1723">
        <v>75.827552795000003</v>
      </c>
      <c r="M1723">
        <v>50</v>
      </c>
      <c r="N1723">
        <v>49.863433837999999</v>
      </c>
    </row>
    <row r="1724" spans="1:14" x14ac:dyDescent="0.25">
      <c r="A1724">
        <v>1462.21309</v>
      </c>
      <c r="B1724" s="1">
        <f>DATE(2014,5,2) + TIME(5,6,50)</f>
        <v>41761.213078703702</v>
      </c>
      <c r="C1724">
        <v>2400</v>
      </c>
      <c r="D1724">
        <v>0</v>
      </c>
      <c r="E1724">
        <v>0</v>
      </c>
      <c r="F1724">
        <v>2400</v>
      </c>
      <c r="G1724">
        <v>1388.6473389</v>
      </c>
      <c r="H1724">
        <v>1373.6890868999999</v>
      </c>
      <c r="I1724">
        <v>1289.1530762</v>
      </c>
      <c r="J1724">
        <v>1270.1198730000001</v>
      </c>
      <c r="K1724">
        <v>80</v>
      </c>
      <c r="L1724">
        <v>76.226387024000005</v>
      </c>
      <c r="M1724">
        <v>50</v>
      </c>
      <c r="N1724">
        <v>49.857360839999998</v>
      </c>
    </row>
    <row r="1725" spans="1:14" x14ac:dyDescent="0.25">
      <c r="A1725">
        <v>1462.2961580000001</v>
      </c>
      <c r="B1725" s="1">
        <f>DATE(2014,5,2) + TIME(7,6,28)</f>
        <v>41761.296157407407</v>
      </c>
      <c r="C1725">
        <v>2400</v>
      </c>
      <c r="D1725">
        <v>0</v>
      </c>
      <c r="E1725">
        <v>0</v>
      </c>
      <c r="F1725">
        <v>2400</v>
      </c>
      <c r="G1725">
        <v>1388.5380858999999</v>
      </c>
      <c r="H1725">
        <v>1373.6389160000001</v>
      </c>
      <c r="I1725">
        <v>1289.1524658000001</v>
      </c>
      <c r="J1725">
        <v>1270.1180420000001</v>
      </c>
      <c r="K1725">
        <v>80</v>
      </c>
      <c r="L1725">
        <v>76.610702515</v>
      </c>
      <c r="M1725">
        <v>50</v>
      </c>
      <c r="N1725">
        <v>49.850933075</v>
      </c>
    </row>
    <row r="1726" spans="1:14" x14ac:dyDescent="0.25">
      <c r="A1726">
        <v>1462.3858170000001</v>
      </c>
      <c r="B1726" s="1">
        <f>DATE(2014,5,2) + TIME(9,15,34)</f>
        <v>41761.385810185187</v>
      </c>
      <c r="C1726">
        <v>2400</v>
      </c>
      <c r="D1726">
        <v>0</v>
      </c>
      <c r="E1726">
        <v>0</v>
      </c>
      <c r="F1726">
        <v>2400</v>
      </c>
      <c r="G1726">
        <v>1388.4298096</v>
      </c>
      <c r="H1726">
        <v>1373.5870361</v>
      </c>
      <c r="I1726">
        <v>1289.1517334</v>
      </c>
      <c r="J1726">
        <v>1270.1162108999999</v>
      </c>
      <c r="K1726">
        <v>80</v>
      </c>
      <c r="L1726">
        <v>76.979911803999997</v>
      </c>
      <c r="M1726">
        <v>50</v>
      </c>
      <c r="N1726">
        <v>49.844093323000003</v>
      </c>
    </row>
    <row r="1727" spans="1:14" x14ac:dyDescent="0.25">
      <c r="A1727">
        <v>1462.4831750000001</v>
      </c>
      <c r="B1727" s="1">
        <f>DATE(2014,5,2) + TIME(11,35,46)</f>
        <v>41761.483171296299</v>
      </c>
      <c r="C1727">
        <v>2400</v>
      </c>
      <c r="D1727">
        <v>0</v>
      </c>
      <c r="E1727">
        <v>0</v>
      </c>
      <c r="F1727">
        <v>2400</v>
      </c>
      <c r="G1727">
        <v>1388.3218993999999</v>
      </c>
      <c r="H1727">
        <v>1373.5330810999999</v>
      </c>
      <c r="I1727">
        <v>1289.1508789</v>
      </c>
      <c r="J1727">
        <v>1270.1141356999999</v>
      </c>
      <c r="K1727">
        <v>80</v>
      </c>
      <c r="L1727">
        <v>77.333343506000006</v>
      </c>
      <c r="M1727">
        <v>50</v>
      </c>
      <c r="N1727">
        <v>49.836776733000001</v>
      </c>
    </row>
    <row r="1728" spans="1:14" x14ac:dyDescent="0.25">
      <c r="A1728">
        <v>1462.5896660000001</v>
      </c>
      <c r="B1728" s="1">
        <f>DATE(2014,5,2) + TIME(14,9,7)</f>
        <v>41761.58966435185</v>
      </c>
      <c r="C1728">
        <v>2400</v>
      </c>
      <c r="D1728">
        <v>0</v>
      </c>
      <c r="E1728">
        <v>0</v>
      </c>
      <c r="F1728">
        <v>2400</v>
      </c>
      <c r="G1728">
        <v>1388.2141113</v>
      </c>
      <c r="H1728">
        <v>1373.4766846</v>
      </c>
      <c r="I1728">
        <v>1289.1497803</v>
      </c>
      <c r="J1728">
        <v>1270.1119385</v>
      </c>
      <c r="K1728">
        <v>80</v>
      </c>
      <c r="L1728">
        <v>77.670326232999997</v>
      </c>
      <c r="M1728">
        <v>50</v>
      </c>
      <c r="N1728">
        <v>49.828903197999999</v>
      </c>
    </row>
    <row r="1729" spans="1:14" x14ac:dyDescent="0.25">
      <c r="A1729">
        <v>1462.707144</v>
      </c>
      <c r="B1729" s="1">
        <f>DATE(2014,5,2) + TIME(16,58,17)</f>
        <v>41761.707141203704</v>
      </c>
      <c r="C1729">
        <v>2400</v>
      </c>
      <c r="D1729">
        <v>0</v>
      </c>
      <c r="E1729">
        <v>0</v>
      </c>
      <c r="F1729">
        <v>2400</v>
      </c>
      <c r="G1729">
        <v>1388.1058350000001</v>
      </c>
      <c r="H1729">
        <v>1373.4172363</v>
      </c>
      <c r="I1729">
        <v>1289.1485596</v>
      </c>
      <c r="J1729">
        <v>1270.1094971</v>
      </c>
      <c r="K1729">
        <v>80</v>
      </c>
      <c r="L1729">
        <v>77.990081786999994</v>
      </c>
      <c r="M1729">
        <v>50</v>
      </c>
      <c r="N1729">
        <v>49.820358276</v>
      </c>
    </row>
    <row r="1730" spans="1:14" x14ac:dyDescent="0.25">
      <c r="A1730">
        <v>1462.8305929999999</v>
      </c>
      <c r="B1730" s="1">
        <f>DATE(2014,5,2) + TIME(19,56,3)</f>
        <v>41761.830590277779</v>
      </c>
      <c r="C1730">
        <v>2400</v>
      </c>
      <c r="D1730">
        <v>0</v>
      </c>
      <c r="E1730">
        <v>0</v>
      </c>
      <c r="F1730">
        <v>2400</v>
      </c>
      <c r="G1730">
        <v>1388.0019531</v>
      </c>
      <c r="H1730">
        <v>1373.3568115</v>
      </c>
      <c r="I1730">
        <v>1289.1469727000001</v>
      </c>
      <c r="J1730">
        <v>1270.1069336</v>
      </c>
      <c r="K1730">
        <v>80</v>
      </c>
      <c r="L1730">
        <v>78.277008057000003</v>
      </c>
      <c r="M1730">
        <v>50</v>
      </c>
      <c r="N1730">
        <v>49.811473845999998</v>
      </c>
    </row>
    <row r="1731" spans="1:14" x14ac:dyDescent="0.25">
      <c r="A1731">
        <v>1462.954461</v>
      </c>
      <c r="B1731" s="1">
        <f>DATE(2014,5,2) + TIME(22,54,25)</f>
        <v>41761.954456018517</v>
      </c>
      <c r="C1731">
        <v>2400</v>
      </c>
      <c r="D1731">
        <v>0</v>
      </c>
      <c r="E1731">
        <v>0</v>
      </c>
      <c r="F1731">
        <v>2400</v>
      </c>
      <c r="G1731">
        <v>1387.9055175999999</v>
      </c>
      <c r="H1731">
        <v>1373.2973632999999</v>
      </c>
      <c r="I1731">
        <v>1289.1452637</v>
      </c>
      <c r="J1731">
        <v>1270.104126</v>
      </c>
      <c r="K1731">
        <v>80</v>
      </c>
      <c r="L1731">
        <v>78.522712708</v>
      </c>
      <c r="M1731">
        <v>50</v>
      </c>
      <c r="N1731">
        <v>49.802597046000002</v>
      </c>
    </row>
    <row r="1732" spans="1:14" x14ac:dyDescent="0.25">
      <c r="A1732">
        <v>1463.0794530000001</v>
      </c>
      <c r="B1732" s="1">
        <f>DATE(2014,5,3) + TIME(1,54,24)</f>
        <v>41762.079444444447</v>
      </c>
      <c r="C1732">
        <v>2400</v>
      </c>
      <c r="D1732">
        <v>0</v>
      </c>
      <c r="E1732">
        <v>0</v>
      </c>
      <c r="F1732">
        <v>2400</v>
      </c>
      <c r="G1732">
        <v>1387.8151855000001</v>
      </c>
      <c r="H1732">
        <v>1373.2392577999999</v>
      </c>
      <c r="I1732">
        <v>1289.1434326000001</v>
      </c>
      <c r="J1732">
        <v>1270.1014404</v>
      </c>
      <c r="K1732">
        <v>80</v>
      </c>
      <c r="L1732">
        <v>78.733993530000006</v>
      </c>
      <c r="M1732">
        <v>50</v>
      </c>
      <c r="N1732">
        <v>49.793682097999998</v>
      </c>
    </row>
    <row r="1733" spans="1:14" x14ac:dyDescent="0.25">
      <c r="A1733">
        <v>1463.2059999999999</v>
      </c>
      <c r="B1733" s="1">
        <f>DATE(2014,5,3) + TIME(4,56,38)</f>
        <v>41762.205995370372</v>
      </c>
      <c r="C1733">
        <v>2400</v>
      </c>
      <c r="D1733">
        <v>0</v>
      </c>
      <c r="E1733">
        <v>0</v>
      </c>
      <c r="F1733">
        <v>2400</v>
      </c>
      <c r="G1733">
        <v>1387.7301024999999</v>
      </c>
      <c r="H1733">
        <v>1373.1823730000001</v>
      </c>
      <c r="I1733">
        <v>1289.1416016000001</v>
      </c>
      <c r="J1733">
        <v>1270.0986327999999</v>
      </c>
      <c r="K1733">
        <v>80</v>
      </c>
      <c r="L1733">
        <v>78.915939331000004</v>
      </c>
      <c r="M1733">
        <v>50</v>
      </c>
      <c r="N1733">
        <v>49.784698486000003</v>
      </c>
    </row>
    <row r="1734" spans="1:14" x14ac:dyDescent="0.25">
      <c r="A1734">
        <v>1463.334531</v>
      </c>
      <c r="B1734" s="1">
        <f>DATE(2014,5,3) + TIME(8,1,43)</f>
        <v>41762.33452546296</v>
      </c>
      <c r="C1734">
        <v>2400</v>
      </c>
      <c r="D1734">
        <v>0</v>
      </c>
      <c r="E1734">
        <v>0</v>
      </c>
      <c r="F1734">
        <v>2400</v>
      </c>
      <c r="G1734">
        <v>1387.6492920000001</v>
      </c>
      <c r="H1734">
        <v>1373.1264647999999</v>
      </c>
      <c r="I1734">
        <v>1289.1395264</v>
      </c>
      <c r="J1734">
        <v>1270.0958252</v>
      </c>
      <c r="K1734">
        <v>80</v>
      </c>
      <c r="L1734">
        <v>79.072746276999993</v>
      </c>
      <c r="M1734">
        <v>50</v>
      </c>
      <c r="N1734">
        <v>49.775623322000001</v>
      </c>
    </row>
    <row r="1735" spans="1:14" x14ac:dyDescent="0.25">
      <c r="A1735">
        <v>1463.4654660000001</v>
      </c>
      <c r="B1735" s="1">
        <f>DATE(2014,5,3) + TIME(11,10,16)</f>
        <v>41762.465462962966</v>
      </c>
      <c r="C1735">
        <v>2400</v>
      </c>
      <c r="D1735">
        <v>0</v>
      </c>
      <c r="E1735">
        <v>0</v>
      </c>
      <c r="F1735">
        <v>2400</v>
      </c>
      <c r="G1735">
        <v>1387.5722656</v>
      </c>
      <c r="H1735">
        <v>1373.0712891000001</v>
      </c>
      <c r="I1735">
        <v>1289.1374512</v>
      </c>
      <c r="J1735">
        <v>1270.0930175999999</v>
      </c>
      <c r="K1735">
        <v>80</v>
      </c>
      <c r="L1735">
        <v>79.207901000999996</v>
      </c>
      <c r="M1735">
        <v>50</v>
      </c>
      <c r="N1735">
        <v>49.766433716000002</v>
      </c>
    </row>
    <row r="1736" spans="1:14" x14ac:dyDescent="0.25">
      <c r="A1736">
        <v>1463.599238</v>
      </c>
      <c r="B1736" s="1">
        <f>DATE(2014,5,3) + TIME(14,22,54)</f>
        <v>41762.599236111113</v>
      </c>
      <c r="C1736">
        <v>2400</v>
      </c>
      <c r="D1736">
        <v>0</v>
      </c>
      <c r="E1736">
        <v>0</v>
      </c>
      <c r="F1736">
        <v>2400</v>
      </c>
      <c r="G1736">
        <v>1387.4982910000001</v>
      </c>
      <c r="H1736">
        <v>1373.0167236</v>
      </c>
      <c r="I1736">
        <v>1289.1352539</v>
      </c>
      <c r="J1736">
        <v>1270.0900879000001</v>
      </c>
      <c r="K1736">
        <v>80</v>
      </c>
      <c r="L1736">
        <v>79.324363708000007</v>
      </c>
      <c r="M1736">
        <v>50</v>
      </c>
      <c r="N1736">
        <v>49.757095337000003</v>
      </c>
    </row>
    <row r="1737" spans="1:14" x14ac:dyDescent="0.25">
      <c r="A1737">
        <v>1463.736294</v>
      </c>
      <c r="B1737" s="1">
        <f>DATE(2014,5,3) + TIME(17,40,15)</f>
        <v>41762.736284722225</v>
      </c>
      <c r="C1737">
        <v>2400</v>
      </c>
      <c r="D1737">
        <v>0</v>
      </c>
      <c r="E1737">
        <v>0</v>
      </c>
      <c r="F1737">
        <v>2400</v>
      </c>
      <c r="G1737">
        <v>1387.427124</v>
      </c>
      <c r="H1737">
        <v>1372.9626464999999</v>
      </c>
      <c r="I1737">
        <v>1289.1329346</v>
      </c>
      <c r="J1737">
        <v>1270.0871582</v>
      </c>
      <c r="K1737">
        <v>80</v>
      </c>
      <c r="L1737">
        <v>79.424613953000005</v>
      </c>
      <c r="M1737">
        <v>50</v>
      </c>
      <c r="N1737">
        <v>49.747589111000003</v>
      </c>
    </row>
    <row r="1738" spans="1:14" x14ac:dyDescent="0.25">
      <c r="A1738">
        <v>1463.8771099999999</v>
      </c>
      <c r="B1738" s="1">
        <f>DATE(2014,5,3) + TIME(21,3,2)</f>
        <v>41762.877106481479</v>
      </c>
      <c r="C1738">
        <v>2400</v>
      </c>
      <c r="D1738">
        <v>0</v>
      </c>
      <c r="E1738">
        <v>0</v>
      </c>
      <c r="F1738">
        <v>2400</v>
      </c>
      <c r="G1738">
        <v>1387.3581543</v>
      </c>
      <c r="H1738">
        <v>1372.9090576000001</v>
      </c>
      <c r="I1738">
        <v>1289.1306152</v>
      </c>
      <c r="J1738">
        <v>1270.0841064000001</v>
      </c>
      <c r="K1738">
        <v>80</v>
      </c>
      <c r="L1738">
        <v>79.510795592999997</v>
      </c>
      <c r="M1738">
        <v>50</v>
      </c>
      <c r="N1738">
        <v>49.737880707000002</v>
      </c>
    </row>
    <row r="1739" spans="1:14" x14ac:dyDescent="0.25">
      <c r="A1739">
        <v>1464.022195</v>
      </c>
      <c r="B1739" s="1">
        <f>DATE(2014,5,4) + TIME(0,31,57)</f>
        <v>41763.022187499999</v>
      </c>
      <c r="C1739">
        <v>2400</v>
      </c>
      <c r="D1739">
        <v>0</v>
      </c>
      <c r="E1739">
        <v>0</v>
      </c>
      <c r="F1739">
        <v>2400</v>
      </c>
      <c r="G1739">
        <v>1387.2908935999999</v>
      </c>
      <c r="H1739">
        <v>1372.8555908000001</v>
      </c>
      <c r="I1739">
        <v>1289.1280518000001</v>
      </c>
      <c r="J1739">
        <v>1270.0810547000001</v>
      </c>
      <c r="K1739">
        <v>80</v>
      </c>
      <c r="L1739">
        <v>79.584724425999994</v>
      </c>
      <c r="M1739">
        <v>50</v>
      </c>
      <c r="N1739">
        <v>49.727943420000003</v>
      </c>
    </row>
    <row r="1740" spans="1:14" x14ac:dyDescent="0.25">
      <c r="A1740">
        <v>1464.1721090000001</v>
      </c>
      <c r="B1740" s="1">
        <f>DATE(2014,5,4) + TIME(4,7,50)</f>
        <v>41763.172106481485</v>
      </c>
      <c r="C1740">
        <v>2400</v>
      </c>
      <c r="D1740">
        <v>0</v>
      </c>
      <c r="E1740">
        <v>0</v>
      </c>
      <c r="F1740">
        <v>2400</v>
      </c>
      <c r="G1740">
        <v>1387.2252197</v>
      </c>
      <c r="H1740">
        <v>1372.802124</v>
      </c>
      <c r="I1740">
        <v>1289.1254882999999</v>
      </c>
      <c r="J1740">
        <v>1270.0777588000001</v>
      </c>
      <c r="K1740">
        <v>80</v>
      </c>
      <c r="L1740">
        <v>79.648002625000004</v>
      </c>
      <c r="M1740">
        <v>50</v>
      </c>
      <c r="N1740">
        <v>49.717739105</v>
      </c>
    </row>
    <row r="1741" spans="1:14" x14ac:dyDescent="0.25">
      <c r="A1741">
        <v>1464.3275679999999</v>
      </c>
      <c r="B1741" s="1">
        <f>DATE(2014,5,4) + TIME(7,51,41)</f>
        <v>41763.327557870369</v>
      </c>
      <c r="C1741">
        <v>2400</v>
      </c>
      <c r="D1741">
        <v>0</v>
      </c>
      <c r="E1741">
        <v>0</v>
      </c>
      <c r="F1741">
        <v>2400</v>
      </c>
      <c r="G1741">
        <v>1387.1607666</v>
      </c>
      <c r="H1741">
        <v>1372.7487793</v>
      </c>
      <c r="I1741">
        <v>1289.1228027</v>
      </c>
      <c r="J1741">
        <v>1270.0744629000001</v>
      </c>
      <c r="K1741">
        <v>80</v>
      </c>
      <c r="L1741">
        <v>79.702026367000002</v>
      </c>
      <c r="M1741">
        <v>50</v>
      </c>
      <c r="N1741">
        <v>49.707233428999999</v>
      </c>
    </row>
    <row r="1742" spans="1:14" x14ac:dyDescent="0.25">
      <c r="A1742">
        <v>1464.4891829999999</v>
      </c>
      <c r="B1742" s="1">
        <f>DATE(2014,5,4) + TIME(11,44,25)</f>
        <v>41763.489178240743</v>
      </c>
      <c r="C1742">
        <v>2400</v>
      </c>
      <c r="D1742">
        <v>0</v>
      </c>
      <c r="E1742">
        <v>0</v>
      </c>
      <c r="F1742">
        <v>2400</v>
      </c>
      <c r="G1742">
        <v>1387.097168</v>
      </c>
      <c r="H1742">
        <v>1372.6951904</v>
      </c>
      <c r="I1742">
        <v>1289.1199951000001</v>
      </c>
      <c r="J1742">
        <v>1270.0710449000001</v>
      </c>
      <c r="K1742">
        <v>80</v>
      </c>
      <c r="L1742">
        <v>79.747955321999996</v>
      </c>
      <c r="M1742">
        <v>50</v>
      </c>
      <c r="N1742">
        <v>49.696384430000002</v>
      </c>
    </row>
    <row r="1743" spans="1:14" x14ac:dyDescent="0.25">
      <c r="A1743">
        <v>1464.657739</v>
      </c>
      <c r="B1743" s="1">
        <f>DATE(2014,5,4) + TIME(15,47,8)</f>
        <v>41763.657731481479</v>
      </c>
      <c r="C1743">
        <v>2400</v>
      </c>
      <c r="D1743">
        <v>0</v>
      </c>
      <c r="E1743">
        <v>0</v>
      </c>
      <c r="F1743">
        <v>2400</v>
      </c>
      <c r="G1743">
        <v>1387.0340576000001</v>
      </c>
      <c r="H1743">
        <v>1372.6413574000001</v>
      </c>
      <c r="I1743">
        <v>1289.1170654</v>
      </c>
      <c r="J1743">
        <v>1270.0673827999999</v>
      </c>
      <c r="K1743">
        <v>80</v>
      </c>
      <c r="L1743">
        <v>79.786849975999999</v>
      </c>
      <c r="M1743">
        <v>50</v>
      </c>
      <c r="N1743">
        <v>49.685153960999997</v>
      </c>
    </row>
    <row r="1744" spans="1:14" x14ac:dyDescent="0.25">
      <c r="A1744">
        <v>1464.8341379999999</v>
      </c>
      <c r="B1744" s="1">
        <f>DATE(2014,5,4) + TIME(20,1,9)</f>
        <v>41763.834131944444</v>
      </c>
      <c r="C1744">
        <v>2400</v>
      </c>
      <c r="D1744">
        <v>0</v>
      </c>
      <c r="E1744">
        <v>0</v>
      </c>
      <c r="F1744">
        <v>2400</v>
      </c>
      <c r="G1744">
        <v>1386.9713135</v>
      </c>
      <c r="H1744">
        <v>1372.5870361</v>
      </c>
      <c r="I1744">
        <v>1289.1141356999999</v>
      </c>
      <c r="J1744">
        <v>1270.0635986</v>
      </c>
      <c r="K1744">
        <v>80</v>
      </c>
      <c r="L1744">
        <v>79.819625853999995</v>
      </c>
      <c r="M1744">
        <v>50</v>
      </c>
      <c r="N1744">
        <v>49.673488616999997</v>
      </c>
    </row>
    <row r="1745" spans="1:14" x14ac:dyDescent="0.25">
      <c r="A1745">
        <v>1465.018967</v>
      </c>
      <c r="B1745" s="1">
        <f>DATE(2014,5,5) + TIME(0,27,18)</f>
        <v>41764.018958333334</v>
      </c>
      <c r="C1745">
        <v>2400</v>
      </c>
      <c r="D1745">
        <v>0</v>
      </c>
      <c r="E1745">
        <v>0</v>
      </c>
      <c r="F1745">
        <v>2400</v>
      </c>
      <c r="G1745">
        <v>1386.9086914</v>
      </c>
      <c r="H1745">
        <v>1372.5321045000001</v>
      </c>
      <c r="I1745">
        <v>1289.1108397999999</v>
      </c>
      <c r="J1745">
        <v>1270.0596923999999</v>
      </c>
      <c r="K1745">
        <v>80</v>
      </c>
      <c r="L1745">
        <v>79.847053528000004</v>
      </c>
      <c r="M1745">
        <v>50</v>
      </c>
      <c r="N1745">
        <v>49.661354064999998</v>
      </c>
    </row>
    <row r="1746" spans="1:14" x14ac:dyDescent="0.25">
      <c r="A1746">
        <v>1465.2112239999999</v>
      </c>
      <c r="B1746" s="1">
        <f>DATE(2014,5,5) + TIME(5,4,9)</f>
        <v>41764.211215277777</v>
      </c>
      <c r="C1746">
        <v>2400</v>
      </c>
      <c r="D1746">
        <v>0</v>
      </c>
      <c r="E1746">
        <v>0</v>
      </c>
      <c r="F1746">
        <v>2400</v>
      </c>
      <c r="G1746">
        <v>1386.8460693</v>
      </c>
      <c r="H1746">
        <v>1372.4766846</v>
      </c>
      <c r="I1746">
        <v>1289.1075439000001</v>
      </c>
      <c r="J1746">
        <v>1270.0556641000001</v>
      </c>
      <c r="K1746">
        <v>80</v>
      </c>
      <c r="L1746">
        <v>79.869667053000001</v>
      </c>
      <c r="M1746">
        <v>50</v>
      </c>
      <c r="N1746">
        <v>49.648799896</v>
      </c>
    </row>
    <row r="1747" spans="1:14" x14ac:dyDescent="0.25">
      <c r="A1747">
        <v>1465.4117639999999</v>
      </c>
      <c r="B1747" s="1">
        <f>DATE(2014,5,5) + TIME(9,52,56)</f>
        <v>41764.411759259259</v>
      </c>
      <c r="C1747">
        <v>2400</v>
      </c>
      <c r="D1747">
        <v>0</v>
      </c>
      <c r="E1747">
        <v>0</v>
      </c>
      <c r="F1747">
        <v>2400</v>
      </c>
      <c r="G1747">
        <v>1386.7836914</v>
      </c>
      <c r="H1747">
        <v>1372.4210204999999</v>
      </c>
      <c r="I1747">
        <v>1289.1040039</v>
      </c>
      <c r="J1747">
        <v>1270.0513916</v>
      </c>
      <c r="K1747">
        <v>80</v>
      </c>
      <c r="L1747">
        <v>79.888221740999995</v>
      </c>
      <c r="M1747">
        <v>50</v>
      </c>
      <c r="N1747">
        <v>49.635784149000003</v>
      </c>
    </row>
    <row r="1748" spans="1:14" x14ac:dyDescent="0.25">
      <c r="A1748">
        <v>1465.6215810000001</v>
      </c>
      <c r="B1748" s="1">
        <f>DATE(2014,5,5) + TIME(14,55,4)</f>
        <v>41764.621574074074</v>
      </c>
      <c r="C1748">
        <v>2400</v>
      </c>
      <c r="D1748">
        <v>0</v>
      </c>
      <c r="E1748">
        <v>0</v>
      </c>
      <c r="F1748">
        <v>2400</v>
      </c>
      <c r="G1748">
        <v>1386.7213135</v>
      </c>
      <c r="H1748">
        <v>1372.3648682</v>
      </c>
      <c r="I1748">
        <v>1289.1004639</v>
      </c>
      <c r="J1748">
        <v>1270.046875</v>
      </c>
      <c r="K1748">
        <v>80</v>
      </c>
      <c r="L1748">
        <v>79.903366089000002</v>
      </c>
      <c r="M1748">
        <v>50</v>
      </c>
      <c r="N1748">
        <v>49.622253418</v>
      </c>
    </row>
    <row r="1749" spans="1:14" x14ac:dyDescent="0.25">
      <c r="A1749">
        <v>1465.841821</v>
      </c>
      <c r="B1749" s="1">
        <f>DATE(2014,5,5) + TIME(20,12,13)</f>
        <v>41764.841817129629</v>
      </c>
      <c r="C1749">
        <v>2400</v>
      </c>
      <c r="D1749">
        <v>0</v>
      </c>
      <c r="E1749">
        <v>0</v>
      </c>
      <c r="F1749">
        <v>2400</v>
      </c>
      <c r="G1749">
        <v>1386.6586914</v>
      </c>
      <c r="H1749">
        <v>1372.3083495999999</v>
      </c>
      <c r="I1749">
        <v>1289.0966797000001</v>
      </c>
      <c r="J1749">
        <v>1270.0422363</v>
      </c>
      <c r="K1749">
        <v>80</v>
      </c>
      <c r="L1749">
        <v>79.915657042999996</v>
      </c>
      <c r="M1749">
        <v>50</v>
      </c>
      <c r="N1749">
        <v>49.608146667</v>
      </c>
    </row>
    <row r="1750" spans="1:14" x14ac:dyDescent="0.25">
      <c r="A1750">
        <v>1466.0738180000001</v>
      </c>
      <c r="B1750" s="1">
        <f>DATE(2014,5,6) + TIME(1,46,17)</f>
        <v>41765.073807870373</v>
      </c>
      <c r="C1750">
        <v>2400</v>
      </c>
      <c r="D1750">
        <v>0</v>
      </c>
      <c r="E1750">
        <v>0</v>
      </c>
      <c r="F1750">
        <v>2400</v>
      </c>
      <c r="G1750">
        <v>1386.5957031</v>
      </c>
      <c r="H1750">
        <v>1372.2509766000001</v>
      </c>
      <c r="I1750">
        <v>1289.0926514</v>
      </c>
      <c r="J1750">
        <v>1270.0372314000001</v>
      </c>
      <c r="K1750">
        <v>80</v>
      </c>
      <c r="L1750">
        <v>79.925559997999997</v>
      </c>
      <c r="M1750">
        <v>50</v>
      </c>
      <c r="N1750">
        <v>49.593395233000003</v>
      </c>
    </row>
    <row r="1751" spans="1:14" x14ac:dyDescent="0.25">
      <c r="A1751">
        <v>1466.319092</v>
      </c>
      <c r="B1751" s="1">
        <f>DATE(2014,5,6) + TIME(7,39,29)</f>
        <v>41765.319085648145</v>
      </c>
      <c r="C1751">
        <v>2400</v>
      </c>
      <c r="D1751">
        <v>0</v>
      </c>
      <c r="E1751">
        <v>0</v>
      </c>
      <c r="F1751">
        <v>2400</v>
      </c>
      <c r="G1751">
        <v>1386.5319824000001</v>
      </c>
      <c r="H1751">
        <v>1372.192749</v>
      </c>
      <c r="I1751">
        <v>1289.088501</v>
      </c>
      <c r="J1751">
        <v>1270.0321045000001</v>
      </c>
      <c r="K1751">
        <v>80</v>
      </c>
      <c r="L1751">
        <v>79.933486938000001</v>
      </c>
      <c r="M1751">
        <v>50</v>
      </c>
      <c r="N1751">
        <v>49.577919006000002</v>
      </c>
    </row>
    <row r="1752" spans="1:14" x14ac:dyDescent="0.25">
      <c r="A1752">
        <v>1466.5770680000001</v>
      </c>
      <c r="B1752" s="1">
        <f>DATE(2014,5,6) + TIME(13,50,58)</f>
        <v>41765.577060185184</v>
      </c>
      <c r="C1752">
        <v>2400</v>
      </c>
      <c r="D1752">
        <v>0</v>
      </c>
      <c r="E1752">
        <v>0</v>
      </c>
      <c r="F1752">
        <v>2400</v>
      </c>
      <c r="G1752">
        <v>1386.4671631000001</v>
      </c>
      <c r="H1752">
        <v>1372.1334228999999</v>
      </c>
      <c r="I1752">
        <v>1289.0841064000001</v>
      </c>
      <c r="J1752">
        <v>1270.0266113</v>
      </c>
      <c r="K1752">
        <v>80</v>
      </c>
      <c r="L1752">
        <v>79.939735412999994</v>
      </c>
      <c r="M1752">
        <v>50</v>
      </c>
      <c r="N1752">
        <v>49.561737061000002</v>
      </c>
    </row>
    <row r="1753" spans="1:14" x14ac:dyDescent="0.25">
      <c r="A1753">
        <v>1466.836935</v>
      </c>
      <c r="B1753" s="1">
        <f>DATE(2014,5,6) + TIME(20,5,11)</f>
        <v>41765.83693287037</v>
      </c>
      <c r="C1753">
        <v>2400</v>
      </c>
      <c r="D1753">
        <v>0</v>
      </c>
      <c r="E1753">
        <v>0</v>
      </c>
      <c r="F1753">
        <v>2400</v>
      </c>
      <c r="G1753">
        <v>1386.4018555</v>
      </c>
      <c r="H1753">
        <v>1372.0734863</v>
      </c>
      <c r="I1753">
        <v>1289.0794678</v>
      </c>
      <c r="J1753">
        <v>1270.020874</v>
      </c>
      <c r="K1753">
        <v>80</v>
      </c>
      <c r="L1753">
        <v>79.944473267000006</v>
      </c>
      <c r="M1753">
        <v>50</v>
      </c>
      <c r="N1753">
        <v>49.545364380000002</v>
      </c>
    </row>
    <row r="1754" spans="1:14" x14ac:dyDescent="0.25">
      <c r="A1754">
        <v>1467.0998199999999</v>
      </c>
      <c r="B1754" s="1">
        <f>DATE(2014,5,7) + TIME(2,23,44)</f>
        <v>41766.099814814814</v>
      </c>
      <c r="C1754">
        <v>2400</v>
      </c>
      <c r="D1754">
        <v>0</v>
      </c>
      <c r="E1754">
        <v>0</v>
      </c>
      <c r="F1754">
        <v>2400</v>
      </c>
      <c r="G1754">
        <v>1386.338501</v>
      </c>
      <c r="H1754">
        <v>1372.0151367000001</v>
      </c>
      <c r="I1754">
        <v>1289.0748291</v>
      </c>
      <c r="J1754">
        <v>1270.0151367000001</v>
      </c>
      <c r="K1754">
        <v>80</v>
      </c>
      <c r="L1754">
        <v>79.948074340999995</v>
      </c>
      <c r="M1754">
        <v>50</v>
      </c>
      <c r="N1754">
        <v>49.528774261000002</v>
      </c>
    </row>
    <row r="1755" spans="1:14" x14ac:dyDescent="0.25">
      <c r="A1755">
        <v>1467.366773</v>
      </c>
      <c r="B1755" s="1">
        <f>DATE(2014,5,7) + TIME(8,48,9)</f>
        <v>41766.366770833331</v>
      </c>
      <c r="C1755">
        <v>2400</v>
      </c>
      <c r="D1755">
        <v>0</v>
      </c>
      <c r="E1755">
        <v>0</v>
      </c>
      <c r="F1755">
        <v>2400</v>
      </c>
      <c r="G1755">
        <v>1386.2767334</v>
      </c>
      <c r="H1755">
        <v>1371.9582519999999</v>
      </c>
      <c r="I1755">
        <v>1289.0700684000001</v>
      </c>
      <c r="J1755">
        <v>1270.0092772999999</v>
      </c>
      <c r="K1755">
        <v>80</v>
      </c>
      <c r="L1755">
        <v>79.950836182000003</v>
      </c>
      <c r="M1755">
        <v>50</v>
      </c>
      <c r="N1755">
        <v>49.511943817000002</v>
      </c>
    </row>
    <row r="1756" spans="1:14" x14ac:dyDescent="0.25">
      <c r="A1756">
        <v>1467.638843</v>
      </c>
      <c r="B1756" s="1">
        <f>DATE(2014,5,7) + TIME(15,19,56)</f>
        <v>41766.638842592591</v>
      </c>
      <c r="C1756">
        <v>2400</v>
      </c>
      <c r="D1756">
        <v>0</v>
      </c>
      <c r="E1756">
        <v>0</v>
      </c>
      <c r="F1756">
        <v>2400</v>
      </c>
      <c r="G1756">
        <v>1386.2161865</v>
      </c>
      <c r="H1756">
        <v>1371.9023437999999</v>
      </c>
      <c r="I1756">
        <v>1289.0653076000001</v>
      </c>
      <c r="J1756">
        <v>1270.0032959</v>
      </c>
      <c r="K1756">
        <v>80</v>
      </c>
      <c r="L1756">
        <v>79.952957153</v>
      </c>
      <c r="M1756">
        <v>50</v>
      </c>
      <c r="N1756">
        <v>49.494834900000001</v>
      </c>
    </row>
    <row r="1757" spans="1:14" x14ac:dyDescent="0.25">
      <c r="A1757">
        <v>1467.9171060000001</v>
      </c>
      <c r="B1757" s="1">
        <f>DATE(2014,5,7) + TIME(22,0,37)</f>
        <v>41766.917094907411</v>
      </c>
      <c r="C1757">
        <v>2400</v>
      </c>
      <c r="D1757">
        <v>0</v>
      </c>
      <c r="E1757">
        <v>0</v>
      </c>
      <c r="F1757">
        <v>2400</v>
      </c>
      <c r="G1757">
        <v>1386.1566161999999</v>
      </c>
      <c r="H1757">
        <v>1371.8474120999999</v>
      </c>
      <c r="I1757">
        <v>1289.0605469</v>
      </c>
      <c r="J1757">
        <v>1269.9971923999999</v>
      </c>
      <c r="K1757">
        <v>80</v>
      </c>
      <c r="L1757">
        <v>79.954597473000007</v>
      </c>
      <c r="M1757">
        <v>50</v>
      </c>
      <c r="N1757">
        <v>49.477401733000001</v>
      </c>
    </row>
    <row r="1758" spans="1:14" x14ac:dyDescent="0.25">
      <c r="A1758">
        <v>1468.202873</v>
      </c>
      <c r="B1758" s="1">
        <f>DATE(2014,5,8) + TIME(4,52,8)</f>
        <v>41767.202870370369</v>
      </c>
      <c r="C1758">
        <v>2400</v>
      </c>
      <c r="D1758">
        <v>0</v>
      </c>
      <c r="E1758">
        <v>0</v>
      </c>
      <c r="F1758">
        <v>2400</v>
      </c>
      <c r="G1758">
        <v>1386.0976562000001</v>
      </c>
      <c r="H1758">
        <v>1371.7929687999999</v>
      </c>
      <c r="I1758">
        <v>1289.0555420000001</v>
      </c>
      <c r="J1758">
        <v>1269.9909668</v>
      </c>
      <c r="K1758">
        <v>80</v>
      </c>
      <c r="L1758">
        <v>79.955863953000005</v>
      </c>
      <c r="M1758">
        <v>50</v>
      </c>
      <c r="N1758">
        <v>49.459587096999996</v>
      </c>
    </row>
    <row r="1759" spans="1:14" x14ac:dyDescent="0.25">
      <c r="A1759">
        <v>1468.4972379999999</v>
      </c>
      <c r="B1759" s="1">
        <f>DATE(2014,5,8) + TIME(11,56,1)</f>
        <v>41767.497233796297</v>
      </c>
      <c r="C1759">
        <v>2400</v>
      </c>
      <c r="D1759">
        <v>0</v>
      </c>
      <c r="E1759">
        <v>0</v>
      </c>
      <c r="F1759">
        <v>2400</v>
      </c>
      <c r="G1759">
        <v>1386.0390625</v>
      </c>
      <c r="H1759">
        <v>1371.7387695</v>
      </c>
      <c r="I1759">
        <v>1289.0505370999999</v>
      </c>
      <c r="J1759">
        <v>1269.9844971</v>
      </c>
      <c r="K1759">
        <v>80</v>
      </c>
      <c r="L1759">
        <v>79.956855774000005</v>
      </c>
      <c r="M1759">
        <v>50</v>
      </c>
      <c r="N1759">
        <v>49.441333770999996</v>
      </c>
    </row>
    <row r="1760" spans="1:14" x14ac:dyDescent="0.25">
      <c r="A1760">
        <v>1468.8015330000001</v>
      </c>
      <c r="B1760" s="1">
        <f>DATE(2014,5,8) + TIME(19,14,12)</f>
        <v>41767.801527777781</v>
      </c>
      <c r="C1760">
        <v>2400</v>
      </c>
      <c r="D1760">
        <v>0</v>
      </c>
      <c r="E1760">
        <v>0</v>
      </c>
      <c r="F1760">
        <v>2400</v>
      </c>
      <c r="G1760">
        <v>1385.9805908000001</v>
      </c>
      <c r="H1760">
        <v>1371.6848144999999</v>
      </c>
      <c r="I1760">
        <v>1289.0454102000001</v>
      </c>
      <c r="J1760">
        <v>1269.9779053</v>
      </c>
      <c r="K1760">
        <v>80</v>
      </c>
      <c r="L1760">
        <v>79.957641601999995</v>
      </c>
      <c r="M1760">
        <v>50</v>
      </c>
      <c r="N1760">
        <v>49.422588347999998</v>
      </c>
    </row>
    <row r="1761" spans="1:14" x14ac:dyDescent="0.25">
      <c r="A1761">
        <v>1469.112376</v>
      </c>
      <c r="B1761" s="1">
        <f>DATE(2014,5,9) + TIME(2,41,49)</f>
        <v>41768.112372685187</v>
      </c>
      <c r="C1761">
        <v>2400</v>
      </c>
      <c r="D1761">
        <v>0</v>
      </c>
      <c r="E1761">
        <v>0</v>
      </c>
      <c r="F1761">
        <v>2400</v>
      </c>
      <c r="G1761">
        <v>1385.9219971</v>
      </c>
      <c r="H1761">
        <v>1371.6307373</v>
      </c>
      <c r="I1761">
        <v>1289.0400391000001</v>
      </c>
      <c r="J1761">
        <v>1269.9710693</v>
      </c>
      <c r="K1761">
        <v>80</v>
      </c>
      <c r="L1761">
        <v>79.958244324000006</v>
      </c>
      <c r="M1761">
        <v>50</v>
      </c>
      <c r="N1761">
        <v>49.403484343999999</v>
      </c>
    </row>
    <row r="1762" spans="1:14" x14ac:dyDescent="0.25">
      <c r="A1762">
        <v>1469.4306650000001</v>
      </c>
      <c r="B1762" s="1">
        <f>DATE(2014,5,9) + TIME(10,20,9)</f>
        <v>41768.430659722224</v>
      </c>
      <c r="C1762">
        <v>2400</v>
      </c>
      <c r="D1762">
        <v>0</v>
      </c>
      <c r="E1762">
        <v>0</v>
      </c>
      <c r="F1762">
        <v>2400</v>
      </c>
      <c r="G1762">
        <v>1385.8641356999999</v>
      </c>
      <c r="H1762">
        <v>1371.5771483999999</v>
      </c>
      <c r="I1762">
        <v>1289.0345459</v>
      </c>
      <c r="J1762">
        <v>1269.9641113</v>
      </c>
      <c r="K1762">
        <v>80</v>
      </c>
      <c r="L1762">
        <v>79.958724975999999</v>
      </c>
      <c r="M1762">
        <v>50</v>
      </c>
      <c r="N1762">
        <v>49.383995056000003</v>
      </c>
    </row>
    <row r="1763" spans="1:14" x14ac:dyDescent="0.25">
      <c r="A1763">
        <v>1469.757486</v>
      </c>
      <c r="B1763" s="1">
        <f>DATE(2014,5,9) + TIME(18,10,46)</f>
        <v>41768.757476851853</v>
      </c>
      <c r="C1763">
        <v>2400</v>
      </c>
      <c r="D1763">
        <v>0</v>
      </c>
      <c r="E1763">
        <v>0</v>
      </c>
      <c r="F1763">
        <v>2400</v>
      </c>
      <c r="G1763">
        <v>1385.8066406</v>
      </c>
      <c r="H1763">
        <v>1371.5240478999999</v>
      </c>
      <c r="I1763">
        <v>1289.0289307</v>
      </c>
      <c r="J1763">
        <v>1269.9569091999999</v>
      </c>
      <c r="K1763">
        <v>80</v>
      </c>
      <c r="L1763">
        <v>79.959098815999994</v>
      </c>
      <c r="M1763">
        <v>50</v>
      </c>
      <c r="N1763">
        <v>49.364070892000001</v>
      </c>
    </row>
    <row r="1764" spans="1:14" x14ac:dyDescent="0.25">
      <c r="A1764">
        <v>1470.094081</v>
      </c>
      <c r="B1764" s="1">
        <f>DATE(2014,5,10) + TIME(2,15,28)</f>
        <v>41769.094074074077</v>
      </c>
      <c r="C1764">
        <v>2400</v>
      </c>
      <c r="D1764">
        <v>0</v>
      </c>
      <c r="E1764">
        <v>0</v>
      </c>
      <c r="F1764">
        <v>2400</v>
      </c>
      <c r="G1764">
        <v>1385.7492675999999</v>
      </c>
      <c r="H1764">
        <v>1371.4710693</v>
      </c>
      <c r="I1764">
        <v>1289.0231934000001</v>
      </c>
      <c r="J1764">
        <v>1269.9495850000001</v>
      </c>
      <c r="K1764">
        <v>80</v>
      </c>
      <c r="L1764">
        <v>79.959403992000006</v>
      </c>
      <c r="M1764">
        <v>50</v>
      </c>
      <c r="N1764">
        <v>49.343662262000002</v>
      </c>
    </row>
    <row r="1765" spans="1:14" x14ac:dyDescent="0.25">
      <c r="A1765">
        <v>1470.4418860000001</v>
      </c>
      <c r="B1765" s="1">
        <f>DATE(2014,5,10) + TIME(10,36,18)</f>
        <v>41769.441874999997</v>
      </c>
      <c r="C1765">
        <v>2400</v>
      </c>
      <c r="D1765">
        <v>0</v>
      </c>
      <c r="E1765">
        <v>0</v>
      </c>
      <c r="F1765">
        <v>2400</v>
      </c>
      <c r="G1765">
        <v>1385.6920166</v>
      </c>
      <c r="H1765">
        <v>1371.4180908000001</v>
      </c>
      <c r="I1765">
        <v>1289.0173339999999</v>
      </c>
      <c r="J1765">
        <v>1269.9418945</v>
      </c>
      <c r="K1765">
        <v>80</v>
      </c>
      <c r="L1765">
        <v>79.959648131999998</v>
      </c>
      <c r="M1765">
        <v>50</v>
      </c>
      <c r="N1765">
        <v>49.322700500000003</v>
      </c>
    </row>
    <row r="1766" spans="1:14" x14ac:dyDescent="0.25">
      <c r="A1766">
        <v>1470.8022089999999</v>
      </c>
      <c r="B1766" s="1">
        <f>DATE(2014,5,10) + TIME(19,15,10)</f>
        <v>41769.802199074074</v>
      </c>
      <c r="C1766">
        <v>2400</v>
      </c>
      <c r="D1766">
        <v>0</v>
      </c>
      <c r="E1766">
        <v>0</v>
      </c>
      <c r="F1766">
        <v>2400</v>
      </c>
      <c r="G1766">
        <v>1385.6346435999999</v>
      </c>
      <c r="H1766">
        <v>1371.3649902</v>
      </c>
      <c r="I1766">
        <v>1289.0112305</v>
      </c>
      <c r="J1766">
        <v>1269.934082</v>
      </c>
      <c r="K1766">
        <v>80</v>
      </c>
      <c r="L1766">
        <v>79.959846497000001</v>
      </c>
      <c r="M1766">
        <v>50</v>
      </c>
      <c r="N1766">
        <v>49.301120758000003</v>
      </c>
    </row>
    <row r="1767" spans="1:14" x14ac:dyDescent="0.25">
      <c r="A1767">
        <v>1471.176729</v>
      </c>
      <c r="B1767" s="1">
        <f>DATE(2014,5,11) + TIME(4,14,29)</f>
        <v>41770.176724537036</v>
      </c>
      <c r="C1767">
        <v>2400</v>
      </c>
      <c r="D1767">
        <v>0</v>
      </c>
      <c r="E1767">
        <v>0</v>
      </c>
      <c r="F1767">
        <v>2400</v>
      </c>
      <c r="G1767">
        <v>1385.5767822</v>
      </c>
      <c r="H1767">
        <v>1371.3115233999999</v>
      </c>
      <c r="I1767">
        <v>1289.0050048999999</v>
      </c>
      <c r="J1767">
        <v>1269.9259033000001</v>
      </c>
      <c r="K1767">
        <v>80</v>
      </c>
      <c r="L1767">
        <v>79.960014342999997</v>
      </c>
      <c r="M1767">
        <v>50</v>
      </c>
      <c r="N1767">
        <v>49.278842926000003</v>
      </c>
    </row>
    <row r="1768" spans="1:14" x14ac:dyDescent="0.25">
      <c r="A1768">
        <v>1471.5673730000001</v>
      </c>
      <c r="B1768" s="1">
        <f>DATE(2014,5,11) + TIME(13,37,1)</f>
        <v>41770.567372685182</v>
      </c>
      <c r="C1768">
        <v>2400</v>
      </c>
      <c r="D1768">
        <v>0</v>
      </c>
      <c r="E1768">
        <v>0</v>
      </c>
      <c r="F1768">
        <v>2400</v>
      </c>
      <c r="G1768">
        <v>1385.5185547000001</v>
      </c>
      <c r="H1768">
        <v>1371.2576904</v>
      </c>
      <c r="I1768">
        <v>1288.9984131000001</v>
      </c>
      <c r="J1768">
        <v>1269.9174805</v>
      </c>
      <c r="K1768">
        <v>80</v>
      </c>
      <c r="L1768">
        <v>79.960144043</v>
      </c>
      <c r="M1768">
        <v>50</v>
      </c>
      <c r="N1768">
        <v>49.255771637000002</v>
      </c>
    </row>
    <row r="1769" spans="1:14" x14ac:dyDescent="0.25">
      <c r="A1769">
        <v>1471.975641</v>
      </c>
      <c r="B1769" s="1">
        <f>DATE(2014,5,11) + TIME(23,24,55)</f>
        <v>41770.975636574076</v>
      </c>
      <c r="C1769">
        <v>2400</v>
      </c>
      <c r="D1769">
        <v>0</v>
      </c>
      <c r="E1769">
        <v>0</v>
      </c>
      <c r="F1769">
        <v>2400</v>
      </c>
      <c r="G1769">
        <v>1385.4594727000001</v>
      </c>
      <c r="H1769">
        <v>1371.2030029</v>
      </c>
      <c r="I1769">
        <v>1288.9916992000001</v>
      </c>
      <c r="J1769">
        <v>1269.9085693</v>
      </c>
      <c r="K1769">
        <v>80</v>
      </c>
      <c r="L1769">
        <v>79.960258483999993</v>
      </c>
      <c r="M1769">
        <v>50</v>
      </c>
      <c r="N1769">
        <v>49.231834411999998</v>
      </c>
    </row>
    <row r="1770" spans="1:14" x14ac:dyDescent="0.25">
      <c r="A1770">
        <v>1472.3904399999999</v>
      </c>
      <c r="B1770" s="1">
        <f>DATE(2014,5,12) + TIME(9,22,13)</f>
        <v>41771.390428240738</v>
      </c>
      <c r="C1770">
        <v>2400</v>
      </c>
      <c r="D1770">
        <v>0</v>
      </c>
      <c r="E1770">
        <v>0</v>
      </c>
      <c r="F1770">
        <v>2400</v>
      </c>
      <c r="G1770">
        <v>1385.3995361</v>
      </c>
      <c r="H1770">
        <v>1371.1475829999999</v>
      </c>
      <c r="I1770">
        <v>1288.9844971</v>
      </c>
      <c r="J1770">
        <v>1269.8992920000001</v>
      </c>
      <c r="K1770">
        <v>80</v>
      </c>
      <c r="L1770">
        <v>79.960350036999998</v>
      </c>
      <c r="M1770">
        <v>50</v>
      </c>
      <c r="N1770">
        <v>49.207435607999997</v>
      </c>
    </row>
    <row r="1771" spans="1:14" x14ac:dyDescent="0.25">
      <c r="A1771">
        <v>1472.8099749999999</v>
      </c>
      <c r="B1771" s="1">
        <f>DATE(2014,5,12) + TIME(19,26,21)</f>
        <v>41771.809965277775</v>
      </c>
      <c r="C1771">
        <v>2400</v>
      </c>
      <c r="D1771">
        <v>0</v>
      </c>
      <c r="E1771">
        <v>0</v>
      </c>
      <c r="F1771">
        <v>2400</v>
      </c>
      <c r="G1771">
        <v>1385.3404541</v>
      </c>
      <c r="H1771">
        <v>1371.0928954999999</v>
      </c>
      <c r="I1771">
        <v>1288.9771728999999</v>
      </c>
      <c r="J1771">
        <v>1269.8898925999999</v>
      </c>
      <c r="K1771">
        <v>80</v>
      </c>
      <c r="L1771">
        <v>79.960418700999995</v>
      </c>
      <c r="M1771">
        <v>50</v>
      </c>
      <c r="N1771">
        <v>49.182704926</v>
      </c>
    </row>
    <row r="1772" spans="1:14" x14ac:dyDescent="0.25">
      <c r="A1772">
        <v>1473.23586</v>
      </c>
      <c r="B1772" s="1">
        <f>DATE(2014,5,13) + TIME(5,39,38)</f>
        <v>41772.235856481479</v>
      </c>
      <c r="C1772">
        <v>2400</v>
      </c>
      <c r="D1772">
        <v>0</v>
      </c>
      <c r="E1772">
        <v>0</v>
      </c>
      <c r="F1772">
        <v>2400</v>
      </c>
      <c r="G1772">
        <v>1385.2823486</v>
      </c>
      <c r="H1772">
        <v>1371.0390625</v>
      </c>
      <c r="I1772">
        <v>1288.9698486</v>
      </c>
      <c r="J1772">
        <v>1269.8803711</v>
      </c>
      <c r="K1772">
        <v>80</v>
      </c>
      <c r="L1772">
        <v>79.960479735999996</v>
      </c>
      <c r="M1772">
        <v>50</v>
      </c>
      <c r="N1772">
        <v>49.157634735000002</v>
      </c>
    </row>
    <row r="1773" spans="1:14" x14ac:dyDescent="0.25">
      <c r="A1773">
        <v>1473.6697039999999</v>
      </c>
      <c r="B1773" s="1">
        <f>DATE(2014,5,13) + TIME(16,4,22)</f>
        <v>41772.669699074075</v>
      </c>
      <c r="C1773">
        <v>2400</v>
      </c>
      <c r="D1773">
        <v>0</v>
      </c>
      <c r="E1773">
        <v>0</v>
      </c>
      <c r="F1773">
        <v>2400</v>
      </c>
      <c r="G1773">
        <v>1385.2249756000001</v>
      </c>
      <c r="H1773">
        <v>1370.9859618999999</v>
      </c>
      <c r="I1773">
        <v>1288.9624022999999</v>
      </c>
      <c r="J1773">
        <v>1269.8706055</v>
      </c>
      <c r="K1773">
        <v>80</v>
      </c>
      <c r="L1773">
        <v>79.960525512999993</v>
      </c>
      <c r="M1773">
        <v>50</v>
      </c>
      <c r="N1773">
        <v>49.132179260000001</v>
      </c>
    </row>
    <row r="1774" spans="1:14" x14ac:dyDescent="0.25">
      <c r="A1774">
        <v>1474.113184</v>
      </c>
      <c r="B1774" s="1">
        <f>DATE(2014,5,14) + TIME(2,42,59)</f>
        <v>41773.113182870373</v>
      </c>
      <c r="C1774">
        <v>2400</v>
      </c>
      <c r="D1774">
        <v>0</v>
      </c>
      <c r="E1774">
        <v>0</v>
      </c>
      <c r="F1774">
        <v>2400</v>
      </c>
      <c r="G1774">
        <v>1385.1682129000001</v>
      </c>
      <c r="H1774">
        <v>1370.9333495999999</v>
      </c>
      <c r="I1774">
        <v>1288.9547118999999</v>
      </c>
      <c r="J1774">
        <v>1269.8607178</v>
      </c>
      <c r="K1774">
        <v>80</v>
      </c>
      <c r="L1774">
        <v>79.960571289000001</v>
      </c>
      <c r="M1774">
        <v>50</v>
      </c>
      <c r="N1774">
        <v>49.106285094999997</v>
      </c>
    </row>
    <row r="1775" spans="1:14" x14ac:dyDescent="0.25">
      <c r="A1775">
        <v>1474.5683320000001</v>
      </c>
      <c r="B1775" s="1">
        <f>DATE(2014,5,14) + TIME(13,38,23)</f>
        <v>41773.56832175926</v>
      </c>
      <c r="C1775">
        <v>2400</v>
      </c>
      <c r="D1775">
        <v>0</v>
      </c>
      <c r="E1775">
        <v>0</v>
      </c>
      <c r="F1775">
        <v>2400</v>
      </c>
      <c r="G1775">
        <v>1385.1115723</v>
      </c>
      <c r="H1775">
        <v>1370.8809814000001</v>
      </c>
      <c r="I1775">
        <v>1288.9470214999999</v>
      </c>
      <c r="J1775">
        <v>1269.8504639</v>
      </c>
      <c r="K1775">
        <v>80</v>
      </c>
      <c r="L1775">
        <v>79.960601807000003</v>
      </c>
      <c r="M1775">
        <v>50</v>
      </c>
      <c r="N1775">
        <v>49.079868316999999</v>
      </c>
    </row>
    <row r="1776" spans="1:14" x14ac:dyDescent="0.25">
      <c r="A1776">
        <v>1475.036942</v>
      </c>
      <c r="B1776" s="1">
        <f>DATE(2014,5,15) + TIME(0,53,11)</f>
        <v>41774.036932870367</v>
      </c>
      <c r="C1776">
        <v>2400</v>
      </c>
      <c r="D1776">
        <v>0</v>
      </c>
      <c r="E1776">
        <v>0</v>
      </c>
      <c r="F1776">
        <v>2400</v>
      </c>
      <c r="G1776">
        <v>1385.0550536999999</v>
      </c>
      <c r="H1776">
        <v>1370.8284911999999</v>
      </c>
      <c r="I1776">
        <v>1288.9390868999999</v>
      </c>
      <c r="J1776">
        <v>1269.8399658000001</v>
      </c>
      <c r="K1776">
        <v>80</v>
      </c>
      <c r="L1776">
        <v>79.960632324000002</v>
      </c>
      <c r="M1776">
        <v>50</v>
      </c>
      <c r="N1776">
        <v>49.052848816000001</v>
      </c>
    </row>
    <row r="1777" spans="1:14" x14ac:dyDescent="0.25">
      <c r="A1777">
        <v>1475.5211179999999</v>
      </c>
      <c r="B1777" s="1">
        <f>DATE(2014,5,15) + TIME(12,30,24)</f>
        <v>41774.521111111113</v>
      </c>
      <c r="C1777">
        <v>2400</v>
      </c>
      <c r="D1777">
        <v>0</v>
      </c>
      <c r="E1777">
        <v>0</v>
      </c>
      <c r="F1777">
        <v>2400</v>
      </c>
      <c r="G1777">
        <v>1384.9984131000001</v>
      </c>
      <c r="H1777">
        <v>1370.776001</v>
      </c>
      <c r="I1777">
        <v>1288.9307861</v>
      </c>
      <c r="J1777">
        <v>1269.8292236</v>
      </c>
      <c r="K1777">
        <v>80</v>
      </c>
      <c r="L1777">
        <v>79.960655212000006</v>
      </c>
      <c r="M1777">
        <v>50</v>
      </c>
      <c r="N1777">
        <v>49.025135040000002</v>
      </c>
    </row>
    <row r="1778" spans="1:14" x14ac:dyDescent="0.25">
      <c r="A1778">
        <v>1476.0174830000001</v>
      </c>
      <c r="B1778" s="1">
        <f>DATE(2014,5,16) + TIME(0,25,10)</f>
        <v>41775.017476851855</v>
      </c>
      <c r="C1778">
        <v>2400</v>
      </c>
      <c r="D1778">
        <v>0</v>
      </c>
      <c r="E1778">
        <v>0</v>
      </c>
      <c r="F1778">
        <v>2400</v>
      </c>
      <c r="G1778">
        <v>1384.9414062000001</v>
      </c>
      <c r="H1778">
        <v>1370.7230225000001</v>
      </c>
      <c r="I1778">
        <v>1288.9223632999999</v>
      </c>
      <c r="J1778">
        <v>1269.8179932</v>
      </c>
      <c r="K1778">
        <v>80</v>
      </c>
      <c r="L1778">
        <v>79.960678100999999</v>
      </c>
      <c r="M1778">
        <v>50</v>
      </c>
      <c r="N1778">
        <v>48.996810912999997</v>
      </c>
    </row>
    <row r="1779" spans="1:14" x14ac:dyDescent="0.25">
      <c r="A1779">
        <v>1476.5217560000001</v>
      </c>
      <c r="B1779" s="1">
        <f>DATE(2014,5,16) + TIME(12,31,19)</f>
        <v>41775.521747685183</v>
      </c>
      <c r="C1779">
        <v>2400</v>
      </c>
      <c r="D1779">
        <v>0</v>
      </c>
      <c r="E1779">
        <v>0</v>
      </c>
      <c r="F1779">
        <v>2400</v>
      </c>
      <c r="G1779">
        <v>1384.8843993999999</v>
      </c>
      <c r="H1779">
        <v>1370.6701660000001</v>
      </c>
      <c r="I1779">
        <v>1288.9135742000001</v>
      </c>
      <c r="J1779">
        <v>1269.8065185999999</v>
      </c>
      <c r="K1779">
        <v>80</v>
      </c>
      <c r="L1779">
        <v>79.960693359000004</v>
      </c>
      <c r="M1779">
        <v>50</v>
      </c>
      <c r="N1779">
        <v>48.96805191</v>
      </c>
    </row>
    <row r="1780" spans="1:14" x14ac:dyDescent="0.25">
      <c r="A1780">
        <v>1477.035586</v>
      </c>
      <c r="B1780" s="1">
        <f>DATE(2014,5,17) + TIME(0,51,14)</f>
        <v>41776.035578703704</v>
      </c>
      <c r="C1780">
        <v>2400</v>
      </c>
      <c r="D1780">
        <v>0</v>
      </c>
      <c r="E1780">
        <v>0</v>
      </c>
      <c r="F1780">
        <v>2400</v>
      </c>
      <c r="G1780">
        <v>1384.8280029</v>
      </c>
      <c r="H1780">
        <v>1370.6176757999999</v>
      </c>
      <c r="I1780">
        <v>1288.9046631000001</v>
      </c>
      <c r="J1780">
        <v>1269.7947998</v>
      </c>
      <c r="K1780">
        <v>80</v>
      </c>
      <c r="L1780">
        <v>79.960708617999998</v>
      </c>
      <c r="M1780">
        <v>50</v>
      </c>
      <c r="N1780">
        <v>48.938827515</v>
      </c>
    </row>
    <row r="1781" spans="1:14" x14ac:dyDescent="0.25">
      <c r="A1781">
        <v>1477.5606330000001</v>
      </c>
      <c r="B1781" s="1">
        <f>DATE(2014,5,17) + TIME(13,27,18)</f>
        <v>41776.560624999998</v>
      </c>
      <c r="C1781">
        <v>2400</v>
      </c>
      <c r="D1781">
        <v>0</v>
      </c>
      <c r="E1781">
        <v>0</v>
      </c>
      <c r="F1781">
        <v>2400</v>
      </c>
      <c r="G1781">
        <v>1384.7718506000001</v>
      </c>
      <c r="H1781">
        <v>1370.5655518000001</v>
      </c>
      <c r="I1781">
        <v>1288.8955077999999</v>
      </c>
      <c r="J1781">
        <v>1269.7827147999999</v>
      </c>
      <c r="K1781">
        <v>80</v>
      </c>
      <c r="L1781">
        <v>79.960723877000007</v>
      </c>
      <c r="M1781">
        <v>50</v>
      </c>
      <c r="N1781">
        <v>48.909103393999999</v>
      </c>
    </row>
    <row r="1782" spans="1:14" x14ac:dyDescent="0.25">
      <c r="A1782">
        <v>1478.098686</v>
      </c>
      <c r="B1782" s="1">
        <f>DATE(2014,5,18) + TIME(2,22,6)</f>
        <v>41777.098680555559</v>
      </c>
      <c r="C1782">
        <v>2400</v>
      </c>
      <c r="D1782">
        <v>0</v>
      </c>
      <c r="E1782">
        <v>0</v>
      </c>
      <c r="F1782">
        <v>2400</v>
      </c>
      <c r="G1782">
        <v>1384.7159423999999</v>
      </c>
      <c r="H1782">
        <v>1370.5136719</v>
      </c>
      <c r="I1782">
        <v>1288.8862305</v>
      </c>
      <c r="J1782">
        <v>1269.7705077999999</v>
      </c>
      <c r="K1782">
        <v>80</v>
      </c>
      <c r="L1782">
        <v>79.960731506000002</v>
      </c>
      <c r="M1782">
        <v>50</v>
      </c>
      <c r="N1782">
        <v>48.878810883</v>
      </c>
    </row>
    <row r="1783" spans="1:14" x14ac:dyDescent="0.25">
      <c r="A1783">
        <v>1478.6517739999999</v>
      </c>
      <c r="B1783" s="1">
        <f>DATE(2014,5,18) + TIME(15,38,33)</f>
        <v>41777.651770833334</v>
      </c>
      <c r="C1783">
        <v>2400</v>
      </c>
      <c r="D1783">
        <v>0</v>
      </c>
      <c r="E1783">
        <v>0</v>
      </c>
      <c r="F1783">
        <v>2400</v>
      </c>
      <c r="G1783">
        <v>1384.6600341999999</v>
      </c>
      <c r="H1783">
        <v>1370.4616699000001</v>
      </c>
      <c r="I1783">
        <v>1288.8767089999999</v>
      </c>
      <c r="J1783">
        <v>1269.7578125</v>
      </c>
      <c r="K1783">
        <v>80</v>
      </c>
      <c r="L1783">
        <v>79.960746764999996</v>
      </c>
      <c r="M1783">
        <v>50</v>
      </c>
      <c r="N1783">
        <v>48.847869873</v>
      </c>
    </row>
    <row r="1784" spans="1:14" x14ac:dyDescent="0.25">
      <c r="A1784">
        <v>1479.222311</v>
      </c>
      <c r="B1784" s="1">
        <f>DATE(2014,5,19) + TIME(5,20,7)</f>
        <v>41778.222303240742</v>
      </c>
      <c r="C1784">
        <v>2400</v>
      </c>
      <c r="D1784">
        <v>0</v>
      </c>
      <c r="E1784">
        <v>0</v>
      </c>
      <c r="F1784">
        <v>2400</v>
      </c>
      <c r="G1784">
        <v>1384.6040039</v>
      </c>
      <c r="H1784">
        <v>1370.4094238</v>
      </c>
      <c r="I1784">
        <v>1288.8669434000001</v>
      </c>
      <c r="J1784">
        <v>1269.744751</v>
      </c>
      <c r="K1784">
        <v>80</v>
      </c>
      <c r="L1784">
        <v>79.960754394999995</v>
      </c>
      <c r="M1784">
        <v>50</v>
      </c>
      <c r="N1784">
        <v>48.816173552999999</v>
      </c>
    </row>
    <row r="1785" spans="1:14" x14ac:dyDescent="0.25">
      <c r="A1785">
        <v>1479.802162</v>
      </c>
      <c r="B1785" s="1">
        <f>DATE(2014,5,19) + TIME(19,15,6)</f>
        <v>41778.802152777775</v>
      </c>
      <c r="C1785">
        <v>2400</v>
      </c>
      <c r="D1785">
        <v>0</v>
      </c>
      <c r="E1785">
        <v>0</v>
      </c>
      <c r="F1785">
        <v>2400</v>
      </c>
      <c r="G1785">
        <v>1384.5474853999999</v>
      </c>
      <c r="H1785">
        <v>1370.3568115</v>
      </c>
      <c r="I1785">
        <v>1288.8566894999999</v>
      </c>
      <c r="J1785">
        <v>1269.7312012</v>
      </c>
      <c r="K1785">
        <v>80</v>
      </c>
      <c r="L1785">
        <v>79.960762024000005</v>
      </c>
      <c r="M1785">
        <v>50</v>
      </c>
      <c r="N1785">
        <v>48.783958435000002</v>
      </c>
    </row>
    <row r="1786" spans="1:14" x14ac:dyDescent="0.25">
      <c r="A1786">
        <v>1480.3924649999999</v>
      </c>
      <c r="B1786" s="1">
        <f>DATE(2014,5,20) + TIME(9,25,8)</f>
        <v>41779.392453703702</v>
      </c>
      <c r="C1786">
        <v>2400</v>
      </c>
      <c r="D1786">
        <v>0</v>
      </c>
      <c r="E1786">
        <v>0</v>
      </c>
      <c r="F1786">
        <v>2400</v>
      </c>
      <c r="G1786">
        <v>1384.4914550999999</v>
      </c>
      <c r="H1786">
        <v>1370.3045654</v>
      </c>
      <c r="I1786">
        <v>1288.8463135</v>
      </c>
      <c r="J1786">
        <v>1269.7174072</v>
      </c>
      <c r="K1786">
        <v>80</v>
      </c>
      <c r="L1786">
        <v>79.960777282999999</v>
      </c>
      <c r="M1786">
        <v>50</v>
      </c>
      <c r="N1786">
        <v>48.751247405999997</v>
      </c>
    </row>
    <row r="1787" spans="1:14" x14ac:dyDescent="0.25">
      <c r="A1787">
        <v>1480.9959759999999</v>
      </c>
      <c r="B1787" s="1">
        <f>DATE(2014,5,20) + TIME(23,54,12)</f>
        <v>41779.995972222219</v>
      </c>
      <c r="C1787">
        <v>2400</v>
      </c>
      <c r="D1787">
        <v>0</v>
      </c>
      <c r="E1787">
        <v>0</v>
      </c>
      <c r="F1787">
        <v>2400</v>
      </c>
      <c r="G1787">
        <v>1384.4357910000001</v>
      </c>
      <c r="H1787">
        <v>1370.2526855000001</v>
      </c>
      <c r="I1787">
        <v>1288.8356934000001</v>
      </c>
      <c r="J1787">
        <v>1269.7032471</v>
      </c>
      <c r="K1787">
        <v>80</v>
      </c>
      <c r="L1787">
        <v>79.960784911999994</v>
      </c>
      <c r="M1787">
        <v>50</v>
      </c>
      <c r="N1787">
        <v>48.717967987000002</v>
      </c>
    </row>
    <row r="1788" spans="1:14" x14ac:dyDescent="0.25">
      <c r="A1788">
        <v>1481.6151</v>
      </c>
      <c r="B1788" s="1">
        <f>DATE(2014,5,21) + TIME(14,45,44)</f>
        <v>41780.61509259259</v>
      </c>
      <c r="C1788">
        <v>2400</v>
      </c>
      <c r="D1788">
        <v>0</v>
      </c>
      <c r="E1788">
        <v>0</v>
      </c>
      <c r="F1788">
        <v>2400</v>
      </c>
      <c r="G1788">
        <v>1384.3801269999999</v>
      </c>
      <c r="H1788">
        <v>1370.2006836</v>
      </c>
      <c r="I1788">
        <v>1288.8248291</v>
      </c>
      <c r="J1788">
        <v>1269.6887207</v>
      </c>
      <c r="K1788">
        <v>80</v>
      </c>
      <c r="L1788">
        <v>79.960792541999993</v>
      </c>
      <c r="M1788">
        <v>50</v>
      </c>
      <c r="N1788">
        <v>48.684036255000002</v>
      </c>
    </row>
    <row r="1789" spans="1:14" x14ac:dyDescent="0.25">
      <c r="A1789">
        <v>1482.2526330000001</v>
      </c>
      <c r="B1789" s="1">
        <f>DATE(2014,5,22) + TIME(6,3,47)</f>
        <v>41781.252627314818</v>
      </c>
      <c r="C1789">
        <v>2400</v>
      </c>
      <c r="D1789">
        <v>0</v>
      </c>
      <c r="E1789">
        <v>0</v>
      </c>
      <c r="F1789">
        <v>2400</v>
      </c>
      <c r="G1789">
        <v>1384.3243408000001</v>
      </c>
      <c r="H1789">
        <v>1370.1485596</v>
      </c>
      <c r="I1789">
        <v>1288.8135986</v>
      </c>
      <c r="J1789">
        <v>1269.6738281</v>
      </c>
      <c r="K1789">
        <v>80</v>
      </c>
      <c r="L1789">
        <v>79.960800171000002</v>
      </c>
      <c r="M1789">
        <v>50</v>
      </c>
      <c r="N1789">
        <v>48.649341583000002</v>
      </c>
    </row>
    <row r="1790" spans="1:14" x14ac:dyDescent="0.25">
      <c r="A1790">
        <v>1482.9117920000001</v>
      </c>
      <c r="B1790" s="1">
        <f>DATE(2014,5,22) + TIME(21,52,58)</f>
        <v>41781.911782407406</v>
      </c>
      <c r="C1790">
        <v>2400</v>
      </c>
      <c r="D1790">
        <v>0</v>
      </c>
      <c r="E1790">
        <v>0</v>
      </c>
      <c r="F1790">
        <v>2400</v>
      </c>
      <c r="G1790">
        <v>1384.2681885</v>
      </c>
      <c r="H1790">
        <v>1370.0961914</v>
      </c>
      <c r="I1790">
        <v>1288.8020019999999</v>
      </c>
      <c r="J1790">
        <v>1269.6583252</v>
      </c>
      <c r="K1790">
        <v>80</v>
      </c>
      <c r="L1790">
        <v>79.960815429999997</v>
      </c>
      <c r="M1790">
        <v>50</v>
      </c>
      <c r="N1790">
        <v>48.613750457999998</v>
      </c>
    </row>
    <row r="1791" spans="1:14" x14ac:dyDescent="0.25">
      <c r="A1791">
        <v>1483.596243</v>
      </c>
      <c r="B1791" s="1">
        <f>DATE(2014,5,23) + TIME(14,18,35)</f>
        <v>41782.596238425926</v>
      </c>
      <c r="C1791">
        <v>2400</v>
      </c>
      <c r="D1791">
        <v>0</v>
      </c>
      <c r="E1791">
        <v>0</v>
      </c>
      <c r="F1791">
        <v>2400</v>
      </c>
      <c r="G1791">
        <v>1384.2114257999999</v>
      </c>
      <c r="H1791">
        <v>1370.0430908000001</v>
      </c>
      <c r="I1791">
        <v>1288.7900391000001</v>
      </c>
      <c r="J1791">
        <v>1269.6422118999999</v>
      </c>
      <c r="K1791">
        <v>80</v>
      </c>
      <c r="L1791">
        <v>79.960823059000006</v>
      </c>
      <c r="M1791">
        <v>50</v>
      </c>
      <c r="N1791">
        <v>48.577095032000003</v>
      </c>
    </row>
    <row r="1792" spans="1:14" x14ac:dyDescent="0.25">
      <c r="A1792">
        <v>1484.3051419999999</v>
      </c>
      <c r="B1792" s="1">
        <f>DATE(2014,5,24) + TIME(7,19,24)</f>
        <v>41783.305138888885</v>
      </c>
      <c r="C1792">
        <v>2400</v>
      </c>
      <c r="D1792">
        <v>0</v>
      </c>
      <c r="E1792">
        <v>0</v>
      </c>
      <c r="F1792">
        <v>2400</v>
      </c>
      <c r="G1792">
        <v>1384.1539307</v>
      </c>
      <c r="H1792">
        <v>1369.9891356999999</v>
      </c>
      <c r="I1792">
        <v>1288.7774658000001</v>
      </c>
      <c r="J1792">
        <v>1269.6253661999999</v>
      </c>
      <c r="K1792">
        <v>80</v>
      </c>
      <c r="L1792">
        <v>79.960830688000001</v>
      </c>
      <c r="M1792">
        <v>50</v>
      </c>
      <c r="N1792">
        <v>48.539340973000002</v>
      </c>
    </row>
    <row r="1793" spans="1:14" x14ac:dyDescent="0.25">
      <c r="A1793">
        <v>1485.0206049999999</v>
      </c>
      <c r="B1793" s="1">
        <f>DATE(2014,5,25) + TIME(0,29,40)</f>
        <v>41784.020601851851</v>
      </c>
      <c r="C1793">
        <v>2400</v>
      </c>
      <c r="D1793">
        <v>0</v>
      </c>
      <c r="E1793">
        <v>0</v>
      </c>
      <c r="F1793">
        <v>2400</v>
      </c>
      <c r="G1793">
        <v>1384.0955810999999</v>
      </c>
      <c r="H1793">
        <v>1369.9345702999999</v>
      </c>
      <c r="I1793">
        <v>1288.7642822</v>
      </c>
      <c r="J1793">
        <v>1269.6077881000001</v>
      </c>
      <c r="K1793">
        <v>80</v>
      </c>
      <c r="L1793">
        <v>79.960845946999996</v>
      </c>
      <c r="M1793">
        <v>50</v>
      </c>
      <c r="N1793">
        <v>48.500984191999997</v>
      </c>
    </row>
    <row r="1794" spans="1:14" x14ac:dyDescent="0.25">
      <c r="A1794">
        <v>1485.7449570000001</v>
      </c>
      <c r="B1794" s="1">
        <f>DATE(2014,5,25) + TIME(17,52,44)</f>
        <v>41784.744953703703</v>
      </c>
      <c r="C1794">
        <v>2400</v>
      </c>
      <c r="D1794">
        <v>0</v>
      </c>
      <c r="E1794">
        <v>0</v>
      </c>
      <c r="F1794">
        <v>2400</v>
      </c>
      <c r="G1794">
        <v>1384.0380858999999</v>
      </c>
      <c r="H1794">
        <v>1369.8806152</v>
      </c>
      <c r="I1794">
        <v>1288.7509766000001</v>
      </c>
      <c r="J1794">
        <v>1269.5899658000001</v>
      </c>
      <c r="K1794">
        <v>80</v>
      </c>
      <c r="L1794">
        <v>79.960853576999995</v>
      </c>
      <c r="M1794">
        <v>50</v>
      </c>
      <c r="N1794">
        <v>48.462142944</v>
      </c>
    </row>
    <row r="1795" spans="1:14" x14ac:dyDescent="0.25">
      <c r="A1795">
        <v>1486.4804690000001</v>
      </c>
      <c r="B1795" s="1">
        <f>DATE(2014,5,26) + TIME(11,31,52)</f>
        <v>41785.480462962965</v>
      </c>
      <c r="C1795">
        <v>2400</v>
      </c>
      <c r="D1795">
        <v>0</v>
      </c>
      <c r="E1795">
        <v>0</v>
      </c>
      <c r="F1795">
        <v>2400</v>
      </c>
      <c r="G1795">
        <v>1383.9810791</v>
      </c>
      <c r="H1795">
        <v>1369.8272704999999</v>
      </c>
      <c r="I1795">
        <v>1288.7374268000001</v>
      </c>
      <c r="J1795">
        <v>1269.5717772999999</v>
      </c>
      <c r="K1795">
        <v>80</v>
      </c>
      <c r="L1795">
        <v>79.960868834999999</v>
      </c>
      <c r="M1795">
        <v>50</v>
      </c>
      <c r="N1795">
        <v>48.422828674000002</v>
      </c>
    </row>
    <row r="1796" spans="1:14" x14ac:dyDescent="0.25">
      <c r="A1796">
        <v>1487.2294830000001</v>
      </c>
      <c r="B1796" s="1">
        <f>DATE(2014,5,27) + TIME(5,30,27)</f>
        <v>41786.229479166665</v>
      </c>
      <c r="C1796">
        <v>2400</v>
      </c>
      <c r="D1796">
        <v>0</v>
      </c>
      <c r="E1796">
        <v>0</v>
      </c>
      <c r="F1796">
        <v>2400</v>
      </c>
      <c r="G1796">
        <v>1383.9245605000001</v>
      </c>
      <c r="H1796">
        <v>1369.7741699000001</v>
      </c>
      <c r="I1796">
        <v>1288.7235106999999</v>
      </c>
      <c r="J1796">
        <v>1269.5531006000001</v>
      </c>
      <c r="K1796">
        <v>80</v>
      </c>
      <c r="L1796">
        <v>79.960876464999998</v>
      </c>
      <c r="M1796">
        <v>50</v>
      </c>
      <c r="N1796">
        <v>48.382995604999998</v>
      </c>
    </row>
    <row r="1797" spans="1:14" x14ac:dyDescent="0.25">
      <c r="A1797">
        <v>1487.993888</v>
      </c>
      <c r="B1797" s="1">
        <f>DATE(2014,5,27) + TIME(23,51,11)</f>
        <v>41786.993877314817</v>
      </c>
      <c r="C1797">
        <v>2400</v>
      </c>
      <c r="D1797">
        <v>0</v>
      </c>
      <c r="E1797">
        <v>0</v>
      </c>
      <c r="F1797">
        <v>2400</v>
      </c>
      <c r="G1797">
        <v>1383.8681641000001</v>
      </c>
      <c r="H1797">
        <v>1369.7211914</v>
      </c>
      <c r="I1797">
        <v>1288.7093506000001</v>
      </c>
      <c r="J1797">
        <v>1269.5339355000001</v>
      </c>
      <c r="K1797">
        <v>80</v>
      </c>
      <c r="L1797">
        <v>79.960891724000007</v>
      </c>
      <c r="M1797">
        <v>50</v>
      </c>
      <c r="N1797">
        <v>48.342575072999999</v>
      </c>
    </row>
    <row r="1798" spans="1:14" x14ac:dyDescent="0.25">
      <c r="A1798">
        <v>1488.7729629999999</v>
      </c>
      <c r="B1798" s="1">
        <f>DATE(2014,5,28) + TIME(18,33,3)</f>
        <v>41787.772951388892</v>
      </c>
      <c r="C1798">
        <v>2400</v>
      </c>
      <c r="D1798">
        <v>0</v>
      </c>
      <c r="E1798">
        <v>0</v>
      </c>
      <c r="F1798">
        <v>2400</v>
      </c>
      <c r="G1798">
        <v>1383.8118896000001</v>
      </c>
      <c r="H1798">
        <v>1369.6682129000001</v>
      </c>
      <c r="I1798">
        <v>1288.6947021000001</v>
      </c>
      <c r="J1798">
        <v>1269.5142822</v>
      </c>
      <c r="K1798">
        <v>80</v>
      </c>
      <c r="L1798">
        <v>79.960906981999997</v>
      </c>
      <c r="M1798">
        <v>50</v>
      </c>
      <c r="N1798">
        <v>48.301563262999998</v>
      </c>
    </row>
    <row r="1799" spans="1:14" x14ac:dyDescent="0.25">
      <c r="A1799">
        <v>1489.5662560000001</v>
      </c>
      <c r="B1799" s="1">
        <f>DATE(2014,5,29) + TIME(13,35,24)</f>
        <v>41788.566250000003</v>
      </c>
      <c r="C1799">
        <v>2400</v>
      </c>
      <c r="D1799">
        <v>0</v>
      </c>
      <c r="E1799">
        <v>0</v>
      </c>
      <c r="F1799">
        <v>2400</v>
      </c>
      <c r="G1799">
        <v>1383.7556152</v>
      </c>
      <c r="H1799">
        <v>1369.6152344</v>
      </c>
      <c r="I1799">
        <v>1288.6796875</v>
      </c>
      <c r="J1799">
        <v>1269.4940185999999</v>
      </c>
      <c r="K1799">
        <v>80</v>
      </c>
      <c r="L1799">
        <v>79.960922241000006</v>
      </c>
      <c r="M1799">
        <v>50</v>
      </c>
      <c r="N1799">
        <v>48.259963988999999</v>
      </c>
    </row>
    <row r="1800" spans="1:14" x14ac:dyDescent="0.25">
      <c r="A1800">
        <v>1490.374912</v>
      </c>
      <c r="B1800" s="1">
        <f>DATE(2014,5,30) + TIME(8,59,52)</f>
        <v>41789.374907407408</v>
      </c>
      <c r="C1800">
        <v>2400</v>
      </c>
      <c r="D1800">
        <v>0</v>
      </c>
      <c r="E1800">
        <v>0</v>
      </c>
      <c r="F1800">
        <v>2400</v>
      </c>
      <c r="G1800">
        <v>1383.6995850000001</v>
      </c>
      <c r="H1800">
        <v>1369.5625</v>
      </c>
      <c r="I1800">
        <v>1288.6643065999999</v>
      </c>
      <c r="J1800">
        <v>1269.4731445</v>
      </c>
      <c r="K1800">
        <v>80</v>
      </c>
      <c r="L1800">
        <v>79.9609375</v>
      </c>
      <c r="M1800">
        <v>50</v>
      </c>
      <c r="N1800">
        <v>48.217746734999999</v>
      </c>
    </row>
    <row r="1801" spans="1:14" x14ac:dyDescent="0.25">
      <c r="A1801">
        <v>1491.20245</v>
      </c>
      <c r="B1801" s="1">
        <f>DATE(2014,5,31) + TIME(4,51,31)</f>
        <v>41790.20244212963</v>
      </c>
      <c r="C1801">
        <v>2400</v>
      </c>
      <c r="D1801">
        <v>0</v>
      </c>
      <c r="E1801">
        <v>0</v>
      </c>
      <c r="F1801">
        <v>2400</v>
      </c>
      <c r="G1801">
        <v>1383.6436768000001</v>
      </c>
      <c r="H1801">
        <v>1369.5096435999999</v>
      </c>
      <c r="I1801">
        <v>1288.6484375</v>
      </c>
      <c r="J1801">
        <v>1269.4517822</v>
      </c>
      <c r="K1801">
        <v>80</v>
      </c>
      <c r="L1801">
        <v>79.960952758999994</v>
      </c>
      <c r="M1801">
        <v>50</v>
      </c>
      <c r="N1801">
        <v>48.174812316999997</v>
      </c>
    </row>
    <row r="1802" spans="1:14" x14ac:dyDescent="0.25">
      <c r="A1802">
        <v>1492</v>
      </c>
      <c r="B1802" s="1">
        <f>DATE(2014,6,1) + TIME(0,0,0)</f>
        <v>41791</v>
      </c>
      <c r="C1802">
        <v>2400</v>
      </c>
      <c r="D1802">
        <v>0</v>
      </c>
      <c r="E1802">
        <v>0</v>
      </c>
      <c r="F1802">
        <v>2400</v>
      </c>
      <c r="G1802">
        <v>1383.5875243999999</v>
      </c>
      <c r="H1802">
        <v>1369.4566649999999</v>
      </c>
      <c r="I1802">
        <v>1288.6319579999999</v>
      </c>
      <c r="J1802">
        <v>1269.4296875</v>
      </c>
      <c r="K1802">
        <v>80</v>
      </c>
      <c r="L1802">
        <v>79.960960388000004</v>
      </c>
      <c r="M1802">
        <v>50</v>
      </c>
      <c r="N1802">
        <v>48.132419585999997</v>
      </c>
    </row>
    <row r="1803" spans="1:14" x14ac:dyDescent="0.25">
      <c r="A1803">
        <v>1492.850207</v>
      </c>
      <c r="B1803" s="1">
        <f>DATE(2014,6,1) + TIME(20,24,17)</f>
        <v>41791.85019675926</v>
      </c>
      <c r="C1803">
        <v>2400</v>
      </c>
      <c r="D1803">
        <v>0</v>
      </c>
      <c r="E1803">
        <v>0</v>
      </c>
      <c r="F1803">
        <v>2400</v>
      </c>
      <c r="G1803">
        <v>1383.5344238</v>
      </c>
      <c r="H1803">
        <v>1369.4066161999999</v>
      </c>
      <c r="I1803">
        <v>1288.6162108999999</v>
      </c>
      <c r="J1803">
        <v>1269.4079589999999</v>
      </c>
      <c r="K1803">
        <v>80</v>
      </c>
      <c r="L1803">
        <v>79.960975646999998</v>
      </c>
      <c r="M1803">
        <v>50</v>
      </c>
      <c r="N1803">
        <v>48.088935851999999</v>
      </c>
    </row>
    <row r="1804" spans="1:14" x14ac:dyDescent="0.25">
      <c r="A1804">
        <v>1493.7555400000001</v>
      </c>
      <c r="B1804" s="1">
        <f>DATE(2014,6,2) + TIME(18,7,58)</f>
        <v>41792.755532407406</v>
      </c>
      <c r="C1804">
        <v>2400</v>
      </c>
      <c r="D1804">
        <v>0</v>
      </c>
      <c r="E1804">
        <v>0</v>
      </c>
      <c r="F1804">
        <v>2400</v>
      </c>
      <c r="G1804">
        <v>1383.4790039</v>
      </c>
      <c r="H1804">
        <v>1369.3542480000001</v>
      </c>
      <c r="I1804">
        <v>1288.5992432</v>
      </c>
      <c r="J1804">
        <v>1269.3845214999999</v>
      </c>
      <c r="K1804">
        <v>80</v>
      </c>
      <c r="L1804">
        <v>79.960998535000002</v>
      </c>
      <c r="M1804">
        <v>50</v>
      </c>
      <c r="N1804">
        <v>48.043628693000002</v>
      </c>
    </row>
    <row r="1805" spans="1:14" x14ac:dyDescent="0.25">
      <c r="A1805">
        <v>1494.6870349999999</v>
      </c>
      <c r="B1805" s="1">
        <f>DATE(2014,6,3) + TIME(16,29,19)</f>
        <v>41793.687025462961</v>
      </c>
      <c r="C1805">
        <v>2400</v>
      </c>
      <c r="D1805">
        <v>0</v>
      </c>
      <c r="E1805">
        <v>0</v>
      </c>
      <c r="F1805">
        <v>2400</v>
      </c>
      <c r="G1805">
        <v>1383.4211425999999</v>
      </c>
      <c r="H1805">
        <v>1369.2994385</v>
      </c>
      <c r="I1805">
        <v>1288.5808105000001</v>
      </c>
      <c r="J1805">
        <v>1269.3596190999999</v>
      </c>
      <c r="K1805">
        <v>80</v>
      </c>
      <c r="L1805">
        <v>79.961013793999996</v>
      </c>
      <c r="M1805">
        <v>50</v>
      </c>
      <c r="N1805">
        <v>47.996784210000001</v>
      </c>
    </row>
    <row r="1806" spans="1:14" x14ac:dyDescent="0.25">
      <c r="A1806">
        <v>1495.6210369999999</v>
      </c>
      <c r="B1806" s="1">
        <f>DATE(2014,6,4) + TIME(14,54,17)</f>
        <v>41794.621030092596</v>
      </c>
      <c r="C1806">
        <v>2400</v>
      </c>
      <c r="D1806">
        <v>0</v>
      </c>
      <c r="E1806">
        <v>0</v>
      </c>
      <c r="F1806">
        <v>2400</v>
      </c>
      <c r="G1806">
        <v>1383.362793</v>
      </c>
      <c r="H1806">
        <v>1369.2441406</v>
      </c>
      <c r="I1806">
        <v>1288.5616454999999</v>
      </c>
      <c r="J1806">
        <v>1269.3334961</v>
      </c>
      <c r="K1806">
        <v>80</v>
      </c>
      <c r="L1806">
        <v>79.961036682</v>
      </c>
      <c r="M1806">
        <v>50</v>
      </c>
      <c r="N1806">
        <v>47.949157714999998</v>
      </c>
    </row>
    <row r="1807" spans="1:14" x14ac:dyDescent="0.25">
      <c r="A1807">
        <v>1496.561162</v>
      </c>
      <c r="B1807" s="1">
        <f>DATE(2014,6,5) + TIME(13,28,4)</f>
        <v>41795.561157407406</v>
      </c>
      <c r="C1807">
        <v>2400</v>
      </c>
      <c r="D1807">
        <v>0</v>
      </c>
      <c r="E1807">
        <v>0</v>
      </c>
      <c r="F1807">
        <v>2400</v>
      </c>
      <c r="G1807">
        <v>1383.3052978999999</v>
      </c>
      <c r="H1807">
        <v>1369.1898193</v>
      </c>
      <c r="I1807">
        <v>1288.5421143000001</v>
      </c>
      <c r="J1807">
        <v>1269.3070068</v>
      </c>
      <c r="K1807">
        <v>80</v>
      </c>
      <c r="L1807">
        <v>79.961051940999994</v>
      </c>
      <c r="M1807">
        <v>50</v>
      </c>
      <c r="N1807">
        <v>47.901084900000001</v>
      </c>
    </row>
    <row r="1808" spans="1:14" x14ac:dyDescent="0.25">
      <c r="A1808">
        <v>1497.5110769999999</v>
      </c>
      <c r="B1808" s="1">
        <f>DATE(2014,6,6) + TIME(12,15,57)</f>
        <v>41796.511076388888</v>
      </c>
      <c r="C1808">
        <v>2400</v>
      </c>
      <c r="D1808">
        <v>0</v>
      </c>
      <c r="E1808">
        <v>0</v>
      </c>
      <c r="F1808">
        <v>2400</v>
      </c>
      <c r="G1808">
        <v>1383.2486572</v>
      </c>
      <c r="H1808">
        <v>1369.1359863</v>
      </c>
      <c r="I1808">
        <v>1288.5223389</v>
      </c>
      <c r="J1808">
        <v>1269.2799072</v>
      </c>
      <c r="K1808">
        <v>80</v>
      </c>
      <c r="L1808">
        <v>79.961067200000002</v>
      </c>
      <c r="M1808">
        <v>50</v>
      </c>
      <c r="N1808">
        <v>47.852622986</v>
      </c>
    </row>
    <row r="1809" spans="1:14" x14ac:dyDescent="0.25">
      <c r="A1809">
        <v>1498.4744800000001</v>
      </c>
      <c r="B1809" s="1">
        <f>DATE(2014,6,7) + TIME(11,23,15)</f>
        <v>41797.474479166667</v>
      </c>
      <c r="C1809">
        <v>2400</v>
      </c>
      <c r="D1809">
        <v>0</v>
      </c>
      <c r="E1809">
        <v>0</v>
      </c>
      <c r="F1809">
        <v>2400</v>
      </c>
      <c r="G1809">
        <v>1383.1925048999999</v>
      </c>
      <c r="H1809">
        <v>1369.0826416</v>
      </c>
      <c r="I1809">
        <v>1288.5020752</v>
      </c>
      <c r="J1809">
        <v>1269.2520752</v>
      </c>
      <c r="K1809">
        <v>80</v>
      </c>
      <c r="L1809">
        <v>79.961090088000006</v>
      </c>
      <c r="M1809">
        <v>50</v>
      </c>
      <c r="N1809">
        <v>47.803710938000002</v>
      </c>
    </row>
    <row r="1810" spans="1:14" x14ac:dyDescent="0.25">
      <c r="A1810">
        <v>1499.4552000000001</v>
      </c>
      <c r="B1810" s="1">
        <f>DATE(2014,6,8) + TIME(10,55,29)</f>
        <v>41798.455196759256</v>
      </c>
      <c r="C1810">
        <v>2400</v>
      </c>
      <c r="D1810">
        <v>0</v>
      </c>
      <c r="E1810">
        <v>0</v>
      </c>
      <c r="F1810">
        <v>2400</v>
      </c>
      <c r="G1810">
        <v>1383.1367187999999</v>
      </c>
      <c r="H1810">
        <v>1369.0295410000001</v>
      </c>
      <c r="I1810">
        <v>1288.4813231999999</v>
      </c>
      <c r="J1810">
        <v>1269.2235106999999</v>
      </c>
      <c r="K1810">
        <v>80</v>
      </c>
      <c r="L1810">
        <v>79.961112975999995</v>
      </c>
      <c r="M1810">
        <v>50</v>
      </c>
      <c r="N1810">
        <v>47.754203795999999</v>
      </c>
    </row>
    <row r="1811" spans="1:14" x14ac:dyDescent="0.25">
      <c r="A1811">
        <v>1500.4576280000001</v>
      </c>
      <c r="B1811" s="1">
        <f>DATE(2014,6,9) + TIME(10,58,59)</f>
        <v>41799.457627314812</v>
      </c>
      <c r="C1811">
        <v>2400</v>
      </c>
      <c r="D1811">
        <v>0</v>
      </c>
      <c r="E1811">
        <v>0</v>
      </c>
      <c r="F1811">
        <v>2400</v>
      </c>
      <c r="G1811">
        <v>1383.0808105000001</v>
      </c>
      <c r="H1811">
        <v>1368.9764404</v>
      </c>
      <c r="I1811">
        <v>1288.4598389</v>
      </c>
      <c r="J1811">
        <v>1269.1939697</v>
      </c>
      <c r="K1811">
        <v>80</v>
      </c>
      <c r="L1811">
        <v>79.961128235000004</v>
      </c>
      <c r="M1811">
        <v>50</v>
      </c>
      <c r="N1811">
        <v>47.703922272</v>
      </c>
    </row>
    <row r="1812" spans="1:14" x14ac:dyDescent="0.25">
      <c r="A1812">
        <v>1501.4863319999999</v>
      </c>
      <c r="B1812" s="1">
        <f>DATE(2014,6,10) + TIME(11,40,19)</f>
        <v>41800.486331018517</v>
      </c>
      <c r="C1812">
        <v>2400</v>
      </c>
      <c r="D1812">
        <v>0</v>
      </c>
      <c r="E1812">
        <v>0</v>
      </c>
      <c r="F1812">
        <v>2400</v>
      </c>
      <c r="G1812">
        <v>1383.0247803</v>
      </c>
      <c r="H1812">
        <v>1368.9230957</v>
      </c>
      <c r="I1812">
        <v>1288.4376221</v>
      </c>
      <c r="J1812">
        <v>1269.1633300999999</v>
      </c>
      <c r="K1812">
        <v>80</v>
      </c>
      <c r="L1812">
        <v>79.961151122999993</v>
      </c>
      <c r="M1812">
        <v>50</v>
      </c>
      <c r="N1812">
        <v>47.652664184999999</v>
      </c>
    </row>
    <row r="1813" spans="1:14" x14ac:dyDescent="0.25">
      <c r="A1813">
        <v>1502.5459410000001</v>
      </c>
      <c r="B1813" s="1">
        <f>DATE(2014,6,11) + TIME(13,6,9)</f>
        <v>41801.545937499999</v>
      </c>
      <c r="C1813">
        <v>2400</v>
      </c>
      <c r="D1813">
        <v>0</v>
      </c>
      <c r="E1813">
        <v>0</v>
      </c>
      <c r="F1813">
        <v>2400</v>
      </c>
      <c r="G1813">
        <v>1382.9683838000001</v>
      </c>
      <c r="H1813">
        <v>1368.8692627</v>
      </c>
      <c r="I1813">
        <v>1288.4145507999999</v>
      </c>
      <c r="J1813">
        <v>1269.1313477000001</v>
      </c>
      <c r="K1813">
        <v>80</v>
      </c>
      <c r="L1813">
        <v>79.961174010999997</v>
      </c>
      <c r="M1813">
        <v>50</v>
      </c>
      <c r="N1813">
        <v>47.600200653000002</v>
      </c>
    </row>
    <row r="1814" spans="1:14" x14ac:dyDescent="0.25">
      <c r="A1814">
        <v>1503.6420439999999</v>
      </c>
      <c r="B1814" s="1">
        <f>DATE(2014,6,12) + TIME(15,24,32)</f>
        <v>41802.64203703704</v>
      </c>
      <c r="C1814">
        <v>2400</v>
      </c>
      <c r="D1814">
        <v>0</v>
      </c>
      <c r="E1814">
        <v>0</v>
      </c>
      <c r="F1814">
        <v>2400</v>
      </c>
      <c r="G1814">
        <v>1382.9112548999999</v>
      </c>
      <c r="H1814">
        <v>1368.8148193</v>
      </c>
      <c r="I1814">
        <v>1288.3905029</v>
      </c>
      <c r="J1814">
        <v>1269.0979004000001</v>
      </c>
      <c r="K1814">
        <v>80</v>
      </c>
      <c r="L1814">
        <v>79.961196899000001</v>
      </c>
      <c r="M1814">
        <v>50</v>
      </c>
      <c r="N1814">
        <v>47.546291351000001</v>
      </c>
    </row>
    <row r="1815" spans="1:14" x14ac:dyDescent="0.25">
      <c r="A1815">
        <v>1504.771947</v>
      </c>
      <c r="B1815" s="1">
        <f>DATE(2014,6,13) + TIME(18,31,36)</f>
        <v>41803.771944444445</v>
      </c>
      <c r="C1815">
        <v>2400</v>
      </c>
      <c r="D1815">
        <v>0</v>
      </c>
      <c r="E1815">
        <v>0</v>
      </c>
      <c r="F1815">
        <v>2400</v>
      </c>
      <c r="G1815">
        <v>1382.8532714999999</v>
      </c>
      <c r="H1815">
        <v>1368.7593993999999</v>
      </c>
      <c r="I1815">
        <v>1288.3651123</v>
      </c>
      <c r="J1815">
        <v>1269.0627440999999</v>
      </c>
      <c r="K1815">
        <v>80</v>
      </c>
      <c r="L1815">
        <v>79.961227417000003</v>
      </c>
      <c r="M1815">
        <v>50</v>
      </c>
      <c r="N1815">
        <v>47.490837096999996</v>
      </c>
    </row>
    <row r="1816" spans="1:14" x14ac:dyDescent="0.25">
      <c r="A1816">
        <v>1505.9051830000001</v>
      </c>
      <c r="B1816" s="1">
        <f>DATE(2014,6,14) + TIME(21,43,27)</f>
        <v>41804.905173611114</v>
      </c>
      <c r="C1816">
        <v>2400</v>
      </c>
      <c r="D1816">
        <v>0</v>
      </c>
      <c r="E1816">
        <v>0</v>
      </c>
      <c r="F1816">
        <v>2400</v>
      </c>
      <c r="G1816">
        <v>1382.7945557</v>
      </c>
      <c r="H1816">
        <v>1368.7032471</v>
      </c>
      <c r="I1816">
        <v>1288.3386230000001</v>
      </c>
      <c r="J1816">
        <v>1269.026001</v>
      </c>
      <c r="K1816">
        <v>80</v>
      </c>
      <c r="L1816">
        <v>79.961250304999993</v>
      </c>
      <c r="M1816">
        <v>50</v>
      </c>
      <c r="N1816">
        <v>47.434463501000003</v>
      </c>
    </row>
    <row r="1817" spans="1:14" x14ac:dyDescent="0.25">
      <c r="A1817">
        <v>1507.046253</v>
      </c>
      <c r="B1817" s="1">
        <f>DATE(2014,6,16) + TIME(1,6,36)</f>
        <v>41806.046249999999</v>
      </c>
      <c r="C1817">
        <v>2400</v>
      </c>
      <c r="D1817">
        <v>0</v>
      </c>
      <c r="E1817">
        <v>0</v>
      </c>
      <c r="F1817">
        <v>2400</v>
      </c>
      <c r="G1817">
        <v>1382.7366943</v>
      </c>
      <c r="H1817">
        <v>1368.6478271000001</v>
      </c>
      <c r="I1817">
        <v>1288.3115233999999</v>
      </c>
      <c r="J1817">
        <v>1268.9882812000001</v>
      </c>
      <c r="K1817">
        <v>80</v>
      </c>
      <c r="L1817">
        <v>79.961273192999997</v>
      </c>
      <c r="M1817">
        <v>50</v>
      </c>
      <c r="N1817">
        <v>47.377548218000001</v>
      </c>
    </row>
    <row r="1818" spans="1:14" x14ac:dyDescent="0.25">
      <c r="A1818">
        <v>1508.1997610000001</v>
      </c>
      <c r="B1818" s="1">
        <f>DATE(2014,6,17) + TIME(4,47,39)</f>
        <v>41807.199756944443</v>
      </c>
      <c r="C1818">
        <v>2400</v>
      </c>
      <c r="D1818">
        <v>0</v>
      </c>
      <c r="E1818">
        <v>0</v>
      </c>
      <c r="F1818">
        <v>2400</v>
      </c>
      <c r="G1818">
        <v>1382.6794434000001</v>
      </c>
      <c r="H1818">
        <v>1368.5930175999999</v>
      </c>
      <c r="I1818">
        <v>1288.2838135</v>
      </c>
      <c r="J1818">
        <v>1268.9495850000001</v>
      </c>
      <c r="K1818">
        <v>80</v>
      </c>
      <c r="L1818">
        <v>79.961296082000004</v>
      </c>
      <c r="M1818">
        <v>50</v>
      </c>
      <c r="N1818">
        <v>47.320117949999997</v>
      </c>
    </row>
    <row r="1819" spans="1:14" x14ac:dyDescent="0.25">
      <c r="A1819">
        <v>1509.3704090000001</v>
      </c>
      <c r="B1819" s="1">
        <f>DATE(2014,6,18) + TIME(8,53,23)</f>
        <v>41808.370405092595</v>
      </c>
      <c r="C1819">
        <v>2400</v>
      </c>
      <c r="D1819">
        <v>0</v>
      </c>
      <c r="E1819">
        <v>0</v>
      </c>
      <c r="F1819">
        <v>2400</v>
      </c>
      <c r="G1819">
        <v>1382.6226807</v>
      </c>
      <c r="H1819">
        <v>1368.5385742000001</v>
      </c>
      <c r="I1819">
        <v>1288.2553711</v>
      </c>
      <c r="J1819">
        <v>1268.9097899999999</v>
      </c>
      <c r="K1819">
        <v>80</v>
      </c>
      <c r="L1819">
        <v>79.961326599000003</v>
      </c>
      <c r="M1819">
        <v>50</v>
      </c>
      <c r="N1819">
        <v>47.262042999000002</v>
      </c>
    </row>
    <row r="1820" spans="1:14" x14ac:dyDescent="0.25">
      <c r="A1820">
        <v>1510.56312</v>
      </c>
      <c r="B1820" s="1">
        <f>DATE(2014,6,19) + TIME(13,30,53)</f>
        <v>41809.563113425924</v>
      </c>
      <c r="C1820">
        <v>2400</v>
      </c>
      <c r="D1820">
        <v>0</v>
      </c>
      <c r="E1820">
        <v>0</v>
      </c>
      <c r="F1820">
        <v>2400</v>
      </c>
      <c r="G1820">
        <v>1382.565918</v>
      </c>
      <c r="H1820">
        <v>1368.4841309000001</v>
      </c>
      <c r="I1820">
        <v>1288.2260742000001</v>
      </c>
      <c r="J1820">
        <v>1268.8685303</v>
      </c>
      <c r="K1820">
        <v>80</v>
      </c>
      <c r="L1820">
        <v>79.961349487000007</v>
      </c>
      <c r="M1820">
        <v>50</v>
      </c>
      <c r="N1820">
        <v>47.203128814999999</v>
      </c>
    </row>
    <row r="1821" spans="1:14" x14ac:dyDescent="0.25">
      <c r="A1821">
        <v>1511.783842</v>
      </c>
      <c r="B1821" s="1">
        <f>DATE(2014,6,20) + TIME(18,48,43)</f>
        <v>41810.783831018518</v>
      </c>
      <c r="C1821">
        <v>2400</v>
      </c>
      <c r="D1821">
        <v>0</v>
      </c>
      <c r="E1821">
        <v>0</v>
      </c>
      <c r="F1821">
        <v>2400</v>
      </c>
      <c r="G1821">
        <v>1382.5091553</v>
      </c>
      <c r="H1821">
        <v>1368.4295654</v>
      </c>
      <c r="I1821">
        <v>1288.1958007999999</v>
      </c>
      <c r="J1821">
        <v>1268.8258057</v>
      </c>
      <c r="K1821">
        <v>80</v>
      </c>
      <c r="L1821">
        <v>79.961380004999995</v>
      </c>
      <c r="M1821">
        <v>50</v>
      </c>
      <c r="N1821">
        <v>47.143115997000002</v>
      </c>
    </row>
    <row r="1822" spans="1:14" x14ac:dyDescent="0.25">
      <c r="A1822">
        <v>1513.0379829999999</v>
      </c>
      <c r="B1822" s="1">
        <f>DATE(2014,6,22) + TIME(0,54,41)</f>
        <v>41812.037974537037</v>
      </c>
      <c r="C1822">
        <v>2400</v>
      </c>
      <c r="D1822">
        <v>0</v>
      </c>
      <c r="E1822">
        <v>0</v>
      </c>
      <c r="F1822">
        <v>2400</v>
      </c>
      <c r="G1822">
        <v>1382.4520264</v>
      </c>
      <c r="H1822">
        <v>1368.3746338000001</v>
      </c>
      <c r="I1822">
        <v>1288.1641846</v>
      </c>
      <c r="J1822">
        <v>1268.7811279</v>
      </c>
      <c r="K1822">
        <v>80</v>
      </c>
      <c r="L1822">
        <v>79.961410521999994</v>
      </c>
      <c r="M1822">
        <v>50</v>
      </c>
      <c r="N1822">
        <v>47.081737517999997</v>
      </c>
    </row>
    <row r="1823" spans="1:14" x14ac:dyDescent="0.25">
      <c r="A1823">
        <v>1514.319123</v>
      </c>
      <c r="B1823" s="1">
        <f>DATE(2014,6,23) + TIME(7,39,32)</f>
        <v>41813.319120370368</v>
      </c>
      <c r="C1823">
        <v>2400</v>
      </c>
      <c r="D1823">
        <v>0</v>
      </c>
      <c r="E1823">
        <v>0</v>
      </c>
      <c r="F1823">
        <v>2400</v>
      </c>
      <c r="G1823">
        <v>1382.3942870999999</v>
      </c>
      <c r="H1823">
        <v>1368.3189697</v>
      </c>
      <c r="I1823">
        <v>1288.1311035000001</v>
      </c>
      <c r="J1823">
        <v>1268.734375</v>
      </c>
      <c r="K1823">
        <v>80</v>
      </c>
      <c r="L1823">
        <v>79.961441039999997</v>
      </c>
      <c r="M1823">
        <v>50</v>
      </c>
      <c r="N1823">
        <v>47.018936156999999</v>
      </c>
    </row>
    <row r="1824" spans="1:14" x14ac:dyDescent="0.25">
      <c r="A1824">
        <v>1515.631046</v>
      </c>
      <c r="B1824" s="1">
        <f>DATE(2014,6,24) + TIME(15,8,42)</f>
        <v>41814.631041666667</v>
      </c>
      <c r="C1824">
        <v>2400</v>
      </c>
      <c r="D1824">
        <v>0</v>
      </c>
      <c r="E1824">
        <v>0</v>
      </c>
      <c r="F1824">
        <v>2400</v>
      </c>
      <c r="G1824">
        <v>1382.3363036999999</v>
      </c>
      <c r="H1824">
        <v>1368.2630615</v>
      </c>
      <c r="I1824">
        <v>1288.0968018000001</v>
      </c>
      <c r="J1824">
        <v>1268.6856689000001</v>
      </c>
      <c r="K1824">
        <v>80</v>
      </c>
      <c r="L1824">
        <v>79.961463928000001</v>
      </c>
      <c r="M1824">
        <v>50</v>
      </c>
      <c r="N1824">
        <v>46.954673767000003</v>
      </c>
    </row>
    <row r="1825" spans="1:14" x14ac:dyDescent="0.25">
      <c r="A1825">
        <v>1516.968202</v>
      </c>
      <c r="B1825" s="1">
        <f>DATE(2014,6,25) + TIME(23,14,12)</f>
        <v>41815.968194444446</v>
      </c>
      <c r="C1825">
        <v>2400</v>
      </c>
      <c r="D1825">
        <v>0</v>
      </c>
      <c r="E1825">
        <v>0</v>
      </c>
      <c r="F1825">
        <v>2400</v>
      </c>
      <c r="G1825">
        <v>1382.277832</v>
      </c>
      <c r="H1825">
        <v>1368.2066649999999</v>
      </c>
      <c r="I1825">
        <v>1288.0610352000001</v>
      </c>
      <c r="J1825">
        <v>1268.6347656</v>
      </c>
      <c r="K1825">
        <v>80</v>
      </c>
      <c r="L1825">
        <v>79.961502074999999</v>
      </c>
      <c r="M1825">
        <v>50</v>
      </c>
      <c r="N1825">
        <v>46.888980865000001</v>
      </c>
    </row>
    <row r="1826" spans="1:14" x14ac:dyDescent="0.25">
      <c r="A1826">
        <v>1518.3053580000001</v>
      </c>
      <c r="B1826" s="1">
        <f>DATE(2014,6,27) + TIME(7,19,42)</f>
        <v>41817.305347222224</v>
      </c>
      <c r="C1826">
        <v>2400</v>
      </c>
      <c r="D1826">
        <v>0</v>
      </c>
      <c r="E1826">
        <v>0</v>
      </c>
      <c r="F1826">
        <v>2400</v>
      </c>
      <c r="G1826">
        <v>1382.2193603999999</v>
      </c>
      <c r="H1826">
        <v>1368.1501464999999</v>
      </c>
      <c r="I1826">
        <v>1288.0238036999999</v>
      </c>
      <c r="J1826">
        <v>1268.5819091999999</v>
      </c>
      <c r="K1826">
        <v>80</v>
      </c>
      <c r="L1826">
        <v>79.961532593000001</v>
      </c>
      <c r="M1826">
        <v>50</v>
      </c>
      <c r="N1826">
        <v>46.822414397999999</v>
      </c>
    </row>
    <row r="1827" spans="1:14" x14ac:dyDescent="0.25">
      <c r="A1827">
        <v>1519.6425139999999</v>
      </c>
      <c r="B1827" s="1">
        <f>DATE(2014,6,28) + TIME(15,25,13)</f>
        <v>41818.642511574071</v>
      </c>
      <c r="C1827">
        <v>2400</v>
      </c>
      <c r="D1827">
        <v>0</v>
      </c>
      <c r="E1827">
        <v>0</v>
      </c>
      <c r="F1827">
        <v>2400</v>
      </c>
      <c r="G1827">
        <v>1382.1617432</v>
      </c>
      <c r="H1827">
        <v>1368.0943603999999</v>
      </c>
      <c r="I1827">
        <v>1287.9859618999999</v>
      </c>
      <c r="J1827">
        <v>1268.527832</v>
      </c>
      <c r="K1827">
        <v>80</v>
      </c>
      <c r="L1827">
        <v>79.96156311</v>
      </c>
      <c r="M1827">
        <v>50</v>
      </c>
      <c r="N1827">
        <v>46.755447388</v>
      </c>
    </row>
    <row r="1828" spans="1:14" x14ac:dyDescent="0.25">
      <c r="A1828">
        <v>1521.0377140000001</v>
      </c>
      <c r="B1828" s="1">
        <f>DATE(2014,6,30) + TIME(0,54,18)</f>
        <v>41820.037708333337</v>
      </c>
      <c r="C1828">
        <v>2400</v>
      </c>
      <c r="D1828">
        <v>0</v>
      </c>
      <c r="E1828">
        <v>0</v>
      </c>
      <c r="F1828">
        <v>2400</v>
      </c>
      <c r="G1828">
        <v>1382.1049805</v>
      </c>
      <c r="H1828">
        <v>1368.0394286999999</v>
      </c>
      <c r="I1828">
        <v>1287.9475098</v>
      </c>
      <c r="J1828">
        <v>1268.4722899999999</v>
      </c>
      <c r="K1828">
        <v>80</v>
      </c>
      <c r="L1828">
        <v>79.961593628000003</v>
      </c>
      <c r="M1828">
        <v>50</v>
      </c>
      <c r="N1828">
        <v>46.687141418000003</v>
      </c>
    </row>
    <row r="1829" spans="1:14" x14ac:dyDescent="0.25">
      <c r="A1829">
        <v>1522</v>
      </c>
      <c r="B1829" s="1">
        <f>DATE(2014,7,1) + TIME(0,0,0)</f>
        <v>41821</v>
      </c>
      <c r="C1829">
        <v>2400</v>
      </c>
      <c r="D1829">
        <v>0</v>
      </c>
      <c r="E1829">
        <v>0</v>
      </c>
      <c r="F1829">
        <v>2400</v>
      </c>
      <c r="G1829">
        <v>1382.0467529</v>
      </c>
      <c r="H1829">
        <v>1367.9830322</v>
      </c>
      <c r="I1829">
        <v>1287.9060059000001</v>
      </c>
      <c r="J1829">
        <v>1268.4158935999999</v>
      </c>
      <c r="K1829">
        <v>80</v>
      </c>
      <c r="L1829">
        <v>79.961616516000007</v>
      </c>
      <c r="M1829">
        <v>50</v>
      </c>
      <c r="N1829">
        <v>46.627845764</v>
      </c>
    </row>
    <row r="1830" spans="1:14" x14ac:dyDescent="0.25">
      <c r="A1830">
        <v>1523.3951999999999</v>
      </c>
      <c r="B1830" s="1">
        <f>DATE(2014,7,2) + TIME(9,29,5)</f>
        <v>41822.395196759258</v>
      </c>
      <c r="C1830">
        <v>2400</v>
      </c>
      <c r="D1830">
        <v>0</v>
      </c>
      <c r="E1830">
        <v>0</v>
      </c>
      <c r="F1830">
        <v>2400</v>
      </c>
      <c r="G1830">
        <v>1382.0070800999999</v>
      </c>
      <c r="H1830">
        <v>1367.9444579999999</v>
      </c>
      <c r="I1830">
        <v>1287.8775635</v>
      </c>
      <c r="J1830">
        <v>1268.3706055</v>
      </c>
      <c r="K1830">
        <v>80</v>
      </c>
      <c r="L1830">
        <v>79.961647033999995</v>
      </c>
      <c r="M1830">
        <v>50</v>
      </c>
      <c r="N1830">
        <v>46.564796448000003</v>
      </c>
    </row>
    <row r="1831" spans="1:14" x14ac:dyDescent="0.25">
      <c r="A1831">
        <v>1524.848933</v>
      </c>
      <c r="B1831" s="1">
        <f>DATE(2014,7,3) + TIME(20,22,27)</f>
        <v>41823.848923611113</v>
      </c>
      <c r="C1831">
        <v>2400</v>
      </c>
      <c r="D1831">
        <v>0</v>
      </c>
      <c r="E1831">
        <v>0</v>
      </c>
      <c r="F1831">
        <v>2400</v>
      </c>
      <c r="G1831">
        <v>1381.9504394999999</v>
      </c>
      <c r="H1831">
        <v>1367.8894043</v>
      </c>
      <c r="I1831">
        <v>1287.8355713000001</v>
      </c>
      <c r="J1831">
        <v>1268.3104248</v>
      </c>
      <c r="K1831">
        <v>80</v>
      </c>
      <c r="L1831">
        <v>79.961685181000007</v>
      </c>
      <c r="M1831">
        <v>50</v>
      </c>
      <c r="N1831">
        <v>46.496013640999998</v>
      </c>
    </row>
    <row r="1832" spans="1:14" x14ac:dyDescent="0.25">
      <c r="A1832">
        <v>1526.3311140000001</v>
      </c>
      <c r="B1832" s="1">
        <f>DATE(2014,7,5) + TIME(7,56,48)</f>
        <v>41825.331111111111</v>
      </c>
      <c r="C1832">
        <v>2400</v>
      </c>
      <c r="D1832">
        <v>0</v>
      </c>
      <c r="E1832">
        <v>0</v>
      </c>
      <c r="F1832">
        <v>2400</v>
      </c>
      <c r="G1832">
        <v>1381.8922118999999</v>
      </c>
      <c r="H1832">
        <v>1367.8328856999999</v>
      </c>
      <c r="I1832">
        <v>1287.7910156</v>
      </c>
      <c r="J1832">
        <v>1268.2460937999999</v>
      </c>
      <c r="K1832">
        <v>80</v>
      </c>
      <c r="L1832">
        <v>79.961715698000006</v>
      </c>
      <c r="M1832">
        <v>50</v>
      </c>
      <c r="N1832">
        <v>46.423599242999998</v>
      </c>
    </row>
    <row r="1833" spans="1:14" x14ac:dyDescent="0.25">
      <c r="A1833">
        <v>1527.842433</v>
      </c>
      <c r="B1833" s="1">
        <f>DATE(2014,7,6) + TIME(20,13,6)</f>
        <v>41826.842430555553</v>
      </c>
      <c r="C1833">
        <v>2400</v>
      </c>
      <c r="D1833">
        <v>0</v>
      </c>
      <c r="E1833">
        <v>0</v>
      </c>
      <c r="F1833">
        <v>2400</v>
      </c>
      <c r="G1833">
        <v>1381.8338623</v>
      </c>
      <c r="H1833">
        <v>1367.776001</v>
      </c>
      <c r="I1833">
        <v>1287.7446289</v>
      </c>
      <c r="J1833">
        <v>1268.1789550999999</v>
      </c>
      <c r="K1833">
        <v>80</v>
      </c>
      <c r="L1833">
        <v>79.961753845000004</v>
      </c>
      <c r="M1833">
        <v>50</v>
      </c>
      <c r="N1833">
        <v>46.348770141999999</v>
      </c>
    </row>
    <row r="1834" spans="1:14" x14ac:dyDescent="0.25">
      <c r="A1834">
        <v>1529.3811499999999</v>
      </c>
      <c r="B1834" s="1">
        <f>DATE(2014,7,8) + TIME(9,8,51)</f>
        <v>41828.381145833337</v>
      </c>
      <c r="C1834">
        <v>2400</v>
      </c>
      <c r="D1834">
        <v>0</v>
      </c>
      <c r="E1834">
        <v>0</v>
      </c>
      <c r="F1834">
        <v>2400</v>
      </c>
      <c r="G1834">
        <v>1381.7751464999999</v>
      </c>
      <c r="H1834">
        <v>1367.71875</v>
      </c>
      <c r="I1834">
        <v>1287.6965332</v>
      </c>
      <c r="J1834">
        <v>1268.1087646000001</v>
      </c>
      <c r="K1834">
        <v>80</v>
      </c>
      <c r="L1834">
        <v>79.961791992000002</v>
      </c>
      <c r="M1834">
        <v>50</v>
      </c>
      <c r="N1834">
        <v>46.271999358999999</v>
      </c>
    </row>
    <row r="1835" spans="1:14" x14ac:dyDescent="0.25">
      <c r="A1835">
        <v>1530.945837</v>
      </c>
      <c r="B1835" s="1">
        <f>DATE(2014,7,9) + TIME(22,42,0)</f>
        <v>41829.945833333331</v>
      </c>
      <c r="C1835">
        <v>2400</v>
      </c>
      <c r="D1835">
        <v>0</v>
      </c>
      <c r="E1835">
        <v>0</v>
      </c>
      <c r="F1835">
        <v>2400</v>
      </c>
      <c r="G1835">
        <v>1381.7163086</v>
      </c>
      <c r="H1835">
        <v>1367.6612548999999</v>
      </c>
      <c r="I1835">
        <v>1287.6466064000001</v>
      </c>
      <c r="J1835">
        <v>1268.0358887</v>
      </c>
      <c r="K1835">
        <v>80</v>
      </c>
      <c r="L1835">
        <v>79.961830139</v>
      </c>
      <c r="M1835">
        <v>50</v>
      </c>
      <c r="N1835">
        <v>46.193492888999998</v>
      </c>
    </row>
    <row r="1836" spans="1:14" x14ac:dyDescent="0.25">
      <c r="A1836">
        <v>1532.5441470000001</v>
      </c>
      <c r="B1836" s="1">
        <f>DATE(2014,7,11) + TIME(13,3,34)</f>
        <v>41831.54414351852</v>
      </c>
      <c r="C1836">
        <v>2400</v>
      </c>
      <c r="D1836">
        <v>0</v>
      </c>
      <c r="E1836">
        <v>0</v>
      </c>
      <c r="F1836">
        <v>2400</v>
      </c>
      <c r="G1836">
        <v>1381.6573486</v>
      </c>
      <c r="H1836">
        <v>1367.6037598</v>
      </c>
      <c r="I1836">
        <v>1287.5950928</v>
      </c>
      <c r="J1836">
        <v>1267.9602050999999</v>
      </c>
      <c r="K1836">
        <v>80</v>
      </c>
      <c r="L1836">
        <v>79.961868285999998</v>
      </c>
      <c r="M1836">
        <v>50</v>
      </c>
      <c r="N1836">
        <v>46.113197327000002</v>
      </c>
    </row>
    <row r="1837" spans="1:14" x14ac:dyDescent="0.25">
      <c r="A1837">
        <v>1534.1655310000001</v>
      </c>
      <c r="B1837" s="1">
        <f>DATE(2014,7,13) + TIME(3,58,21)</f>
        <v>41833.165520833332</v>
      </c>
      <c r="C1837">
        <v>2400</v>
      </c>
      <c r="D1837">
        <v>0</v>
      </c>
      <c r="E1837">
        <v>0</v>
      </c>
      <c r="F1837">
        <v>2400</v>
      </c>
      <c r="G1837">
        <v>1381.5980225000001</v>
      </c>
      <c r="H1837">
        <v>1367.5456543</v>
      </c>
      <c r="I1837">
        <v>1287.5415039</v>
      </c>
      <c r="J1837">
        <v>1267.8814697</v>
      </c>
      <c r="K1837">
        <v>80</v>
      </c>
      <c r="L1837">
        <v>79.961906432999996</v>
      </c>
      <c r="M1837">
        <v>50</v>
      </c>
      <c r="N1837">
        <v>46.031154633</v>
      </c>
    </row>
    <row r="1838" spans="1:14" x14ac:dyDescent="0.25">
      <c r="A1838">
        <v>1535.801332</v>
      </c>
      <c r="B1838" s="1">
        <f>DATE(2014,7,14) + TIME(19,13,55)</f>
        <v>41834.80133101852</v>
      </c>
      <c r="C1838">
        <v>2400</v>
      </c>
      <c r="D1838">
        <v>0</v>
      </c>
      <c r="E1838">
        <v>0</v>
      </c>
      <c r="F1838">
        <v>2400</v>
      </c>
      <c r="G1838">
        <v>1381.5386963000001</v>
      </c>
      <c r="H1838">
        <v>1367.4875488</v>
      </c>
      <c r="I1838">
        <v>1287.4862060999999</v>
      </c>
      <c r="J1838">
        <v>1267.7999268000001</v>
      </c>
      <c r="K1838">
        <v>80</v>
      </c>
      <c r="L1838">
        <v>79.961944579999994</v>
      </c>
      <c r="M1838">
        <v>50</v>
      </c>
      <c r="N1838">
        <v>45.947677612</v>
      </c>
    </row>
    <row r="1839" spans="1:14" x14ac:dyDescent="0.25">
      <c r="A1839">
        <v>1537.4589040000001</v>
      </c>
      <c r="B1839" s="1">
        <f>DATE(2014,7,16) + TIME(11,0,49)</f>
        <v>41836.45890046296</v>
      </c>
      <c r="C1839">
        <v>2400</v>
      </c>
      <c r="D1839">
        <v>0</v>
      </c>
      <c r="E1839">
        <v>0</v>
      </c>
      <c r="F1839">
        <v>2400</v>
      </c>
      <c r="G1839">
        <v>1381.4797363</v>
      </c>
      <c r="H1839">
        <v>1367.4296875</v>
      </c>
      <c r="I1839">
        <v>1287.4294434000001</v>
      </c>
      <c r="J1839">
        <v>1267.7158202999999</v>
      </c>
      <c r="K1839">
        <v>80</v>
      </c>
      <c r="L1839">
        <v>79.961982727000006</v>
      </c>
      <c r="M1839">
        <v>50</v>
      </c>
      <c r="N1839">
        <v>45.862869263</v>
      </c>
    </row>
    <row r="1840" spans="1:14" x14ac:dyDescent="0.25">
      <c r="A1840">
        <v>1539.116475</v>
      </c>
      <c r="B1840" s="1">
        <f>DATE(2014,7,18) + TIME(2,47,43)</f>
        <v>41838.116469907407</v>
      </c>
      <c r="C1840">
        <v>2400</v>
      </c>
      <c r="D1840">
        <v>0</v>
      </c>
      <c r="E1840">
        <v>0</v>
      </c>
      <c r="F1840">
        <v>2400</v>
      </c>
      <c r="G1840">
        <v>1381.4208983999999</v>
      </c>
      <c r="H1840">
        <v>1367.3719481999999</v>
      </c>
      <c r="I1840">
        <v>1287.3710937999999</v>
      </c>
      <c r="J1840">
        <v>1267.6292725000001</v>
      </c>
      <c r="K1840">
        <v>80</v>
      </c>
      <c r="L1840">
        <v>79.962020874000004</v>
      </c>
      <c r="M1840">
        <v>50</v>
      </c>
      <c r="N1840">
        <v>45.777038574000002</v>
      </c>
    </row>
    <row r="1841" spans="1:14" x14ac:dyDescent="0.25">
      <c r="A1841">
        <v>1540.8084510000001</v>
      </c>
      <c r="B1841" s="1">
        <f>DATE(2014,7,19) + TIME(19,24,10)</f>
        <v>41839.808449074073</v>
      </c>
      <c r="C1841">
        <v>2400</v>
      </c>
      <c r="D1841">
        <v>0</v>
      </c>
      <c r="E1841">
        <v>0</v>
      </c>
      <c r="F1841">
        <v>2400</v>
      </c>
      <c r="G1841">
        <v>1381.362793</v>
      </c>
      <c r="H1841">
        <v>1367.3148193</v>
      </c>
      <c r="I1841">
        <v>1287.3117675999999</v>
      </c>
      <c r="J1841">
        <v>1267.5407714999999</v>
      </c>
      <c r="K1841">
        <v>80</v>
      </c>
      <c r="L1841">
        <v>79.962066649999997</v>
      </c>
      <c r="M1841">
        <v>50</v>
      </c>
      <c r="N1841">
        <v>45.690021514999998</v>
      </c>
    </row>
    <row r="1842" spans="1:14" x14ac:dyDescent="0.25">
      <c r="A1842">
        <v>1542.529268</v>
      </c>
      <c r="B1842" s="1">
        <f>DATE(2014,7,21) + TIME(12,42,8)</f>
        <v>41841.52925925926</v>
      </c>
      <c r="C1842">
        <v>2400</v>
      </c>
      <c r="D1842">
        <v>0</v>
      </c>
      <c r="E1842">
        <v>0</v>
      </c>
      <c r="F1842">
        <v>2400</v>
      </c>
      <c r="G1842">
        <v>1381.3043213000001</v>
      </c>
      <c r="H1842">
        <v>1367.2572021000001</v>
      </c>
      <c r="I1842">
        <v>1287.2503661999999</v>
      </c>
      <c r="J1842">
        <v>1267.4489745999999</v>
      </c>
      <c r="K1842">
        <v>80</v>
      </c>
      <c r="L1842">
        <v>79.962104796999995</v>
      </c>
      <c r="M1842">
        <v>50</v>
      </c>
      <c r="N1842">
        <v>45.601303100999999</v>
      </c>
    </row>
    <row r="1843" spans="1:14" x14ac:dyDescent="0.25">
      <c r="A1843">
        <v>1544.250086</v>
      </c>
      <c r="B1843" s="1">
        <f>DATE(2014,7,23) + TIME(6,0,7)</f>
        <v>41843.250081018516</v>
      </c>
      <c r="C1843">
        <v>2400</v>
      </c>
      <c r="D1843">
        <v>0</v>
      </c>
      <c r="E1843">
        <v>0</v>
      </c>
      <c r="F1843">
        <v>2400</v>
      </c>
      <c r="G1843">
        <v>1381.2457274999999</v>
      </c>
      <c r="H1843">
        <v>1367.1994629000001</v>
      </c>
      <c r="I1843">
        <v>1287.1870117000001</v>
      </c>
      <c r="J1843">
        <v>1267.3542480000001</v>
      </c>
      <c r="K1843">
        <v>80</v>
      </c>
      <c r="L1843">
        <v>79.962150574000006</v>
      </c>
      <c r="M1843">
        <v>50</v>
      </c>
      <c r="N1843">
        <v>45.511291503999999</v>
      </c>
    </row>
    <row r="1844" spans="1:14" x14ac:dyDescent="0.25">
      <c r="A1844">
        <v>1545.970904</v>
      </c>
      <c r="B1844" s="1">
        <f>DATE(2014,7,24) + TIME(23,18,6)</f>
        <v>41844.970902777779</v>
      </c>
      <c r="C1844">
        <v>2400</v>
      </c>
      <c r="D1844">
        <v>0</v>
      </c>
      <c r="E1844">
        <v>0</v>
      </c>
      <c r="F1844">
        <v>2400</v>
      </c>
      <c r="G1844">
        <v>1381.1878661999999</v>
      </c>
      <c r="H1844">
        <v>1367.1423339999999</v>
      </c>
      <c r="I1844">
        <v>1287.1226807</v>
      </c>
      <c r="J1844">
        <v>1267.2576904</v>
      </c>
      <c r="K1844">
        <v>80</v>
      </c>
      <c r="L1844">
        <v>79.962188721000004</v>
      </c>
      <c r="M1844">
        <v>50</v>
      </c>
      <c r="N1844">
        <v>45.420631409000002</v>
      </c>
    </row>
    <row r="1845" spans="1:14" x14ac:dyDescent="0.25">
      <c r="A1845">
        <v>1547.6917209999999</v>
      </c>
      <c r="B1845" s="1">
        <f>DATE(2014,7,26) + TIME(16,36,4)</f>
        <v>41846.691712962966</v>
      </c>
      <c r="C1845">
        <v>2400</v>
      </c>
      <c r="D1845">
        <v>0</v>
      </c>
      <c r="E1845">
        <v>0</v>
      </c>
      <c r="F1845">
        <v>2400</v>
      </c>
      <c r="G1845">
        <v>1381.1307373</v>
      </c>
      <c r="H1845">
        <v>1367.0859375</v>
      </c>
      <c r="I1845">
        <v>1287.0576172000001</v>
      </c>
      <c r="J1845">
        <v>1267.1594238</v>
      </c>
      <c r="K1845">
        <v>80</v>
      </c>
      <c r="L1845">
        <v>79.962226868000002</v>
      </c>
      <c r="M1845">
        <v>50</v>
      </c>
      <c r="N1845">
        <v>45.329547882</v>
      </c>
    </row>
    <row r="1846" spans="1:14" x14ac:dyDescent="0.25">
      <c r="A1846">
        <v>1549.5228420000001</v>
      </c>
      <c r="B1846" s="1">
        <f>DATE(2014,7,28) + TIME(12,32,53)</f>
        <v>41848.522835648146</v>
      </c>
      <c r="C1846">
        <v>2400</v>
      </c>
      <c r="D1846">
        <v>0</v>
      </c>
      <c r="E1846">
        <v>0</v>
      </c>
      <c r="F1846">
        <v>2400</v>
      </c>
      <c r="G1846">
        <v>1381.0744629000001</v>
      </c>
      <c r="H1846">
        <v>1367.0301514</v>
      </c>
      <c r="I1846">
        <v>1286.9916992000001</v>
      </c>
      <c r="J1846">
        <v>1267.0592041</v>
      </c>
      <c r="K1846">
        <v>80</v>
      </c>
      <c r="L1846">
        <v>79.962272643999995</v>
      </c>
      <c r="M1846">
        <v>50</v>
      </c>
      <c r="N1846">
        <v>45.236236572000003</v>
      </c>
    </row>
    <row r="1847" spans="1:14" x14ac:dyDescent="0.25">
      <c r="A1847">
        <v>1551.3663859999999</v>
      </c>
      <c r="B1847" s="1">
        <f>DATE(2014,7,30) + TIME(8,47,35)</f>
        <v>41850.366377314815</v>
      </c>
      <c r="C1847">
        <v>2400</v>
      </c>
      <c r="D1847">
        <v>0</v>
      </c>
      <c r="E1847">
        <v>0</v>
      </c>
      <c r="F1847">
        <v>2400</v>
      </c>
      <c r="G1847">
        <v>1381.0152588000001</v>
      </c>
      <c r="H1847">
        <v>1366.9715576000001</v>
      </c>
      <c r="I1847">
        <v>1286.9210204999999</v>
      </c>
      <c r="J1847">
        <v>1266.9522704999999</v>
      </c>
      <c r="K1847">
        <v>80</v>
      </c>
      <c r="L1847">
        <v>79.962318420000003</v>
      </c>
      <c r="M1847">
        <v>50</v>
      </c>
      <c r="N1847">
        <v>45.139751433999997</v>
      </c>
    </row>
    <row r="1848" spans="1:14" x14ac:dyDescent="0.25">
      <c r="A1848">
        <v>1553</v>
      </c>
      <c r="B1848" s="1">
        <f>DATE(2014,8,1) + TIME(0,0,0)</f>
        <v>41852</v>
      </c>
      <c r="C1848">
        <v>2400</v>
      </c>
      <c r="D1848">
        <v>0</v>
      </c>
      <c r="E1848">
        <v>0</v>
      </c>
      <c r="F1848">
        <v>2400</v>
      </c>
      <c r="G1848">
        <v>1380.9564209</v>
      </c>
      <c r="H1848">
        <v>1366.9130858999999</v>
      </c>
      <c r="I1848">
        <v>1286.8488769999999</v>
      </c>
      <c r="J1848">
        <v>1266.8441161999999</v>
      </c>
      <c r="K1848">
        <v>80</v>
      </c>
      <c r="L1848">
        <v>79.962356567</v>
      </c>
      <c r="M1848">
        <v>50</v>
      </c>
      <c r="N1848">
        <v>45.045734406000001</v>
      </c>
    </row>
    <row r="1849" spans="1:14" x14ac:dyDescent="0.25">
      <c r="A1849">
        <v>1554.8435440000001</v>
      </c>
      <c r="B1849" s="1">
        <f>DATE(2014,8,2) + TIME(20,14,42)</f>
        <v>41853.843541666669</v>
      </c>
      <c r="C1849">
        <v>2400</v>
      </c>
      <c r="D1849">
        <v>0</v>
      </c>
      <c r="E1849">
        <v>0</v>
      </c>
      <c r="F1849">
        <v>2400</v>
      </c>
      <c r="G1849">
        <v>1380.9049072</v>
      </c>
      <c r="H1849">
        <v>1366.8619385</v>
      </c>
      <c r="I1849">
        <v>1286.7836914</v>
      </c>
      <c r="J1849">
        <v>1266.7426757999999</v>
      </c>
      <c r="K1849">
        <v>80</v>
      </c>
      <c r="L1849">
        <v>79.962402343999997</v>
      </c>
      <c r="M1849">
        <v>50</v>
      </c>
      <c r="N1849">
        <v>44.952171325999998</v>
      </c>
    </row>
    <row r="1850" spans="1:14" x14ac:dyDescent="0.25">
      <c r="A1850">
        <v>1556.687089</v>
      </c>
      <c r="B1850" s="1">
        <f>DATE(2014,8,4) + TIME(16,29,24)</f>
        <v>41855.687083333331</v>
      </c>
      <c r="C1850">
        <v>2400</v>
      </c>
      <c r="D1850">
        <v>0</v>
      </c>
      <c r="E1850">
        <v>0</v>
      </c>
      <c r="F1850">
        <v>2400</v>
      </c>
      <c r="G1850">
        <v>1380.8474120999999</v>
      </c>
      <c r="H1850">
        <v>1366.8049315999999</v>
      </c>
      <c r="I1850">
        <v>1286.7105713000001</v>
      </c>
      <c r="J1850">
        <v>1266.6312256000001</v>
      </c>
      <c r="K1850">
        <v>80</v>
      </c>
      <c r="L1850">
        <v>79.962448120000005</v>
      </c>
      <c r="M1850">
        <v>50</v>
      </c>
      <c r="N1850">
        <v>44.854957581000001</v>
      </c>
    </row>
    <row r="1851" spans="1:14" x14ac:dyDescent="0.25">
      <c r="A1851">
        <v>1558.6633919999999</v>
      </c>
      <c r="B1851" s="1">
        <f>DATE(2014,8,6) + TIME(15,55,17)</f>
        <v>41857.663391203707</v>
      </c>
      <c r="C1851">
        <v>2400</v>
      </c>
      <c r="D1851">
        <v>0</v>
      </c>
      <c r="E1851">
        <v>0</v>
      </c>
      <c r="F1851">
        <v>2400</v>
      </c>
      <c r="G1851">
        <v>1380.7907714999999</v>
      </c>
      <c r="H1851">
        <v>1366.7484131000001</v>
      </c>
      <c r="I1851">
        <v>1286.6364745999999</v>
      </c>
      <c r="J1851">
        <v>1266.5169678</v>
      </c>
      <c r="K1851">
        <v>80</v>
      </c>
      <c r="L1851">
        <v>79.962493895999998</v>
      </c>
      <c r="M1851">
        <v>50</v>
      </c>
      <c r="N1851">
        <v>44.754318237</v>
      </c>
    </row>
    <row r="1852" spans="1:14" x14ac:dyDescent="0.25">
      <c r="A1852">
        <v>1560.6396950000001</v>
      </c>
      <c r="B1852" s="1">
        <f>DATE(2014,8,8) + TIME(15,21,9)</f>
        <v>41859.639687499999</v>
      </c>
      <c r="C1852">
        <v>2400</v>
      </c>
      <c r="D1852">
        <v>0</v>
      </c>
      <c r="E1852">
        <v>0</v>
      </c>
      <c r="F1852">
        <v>2400</v>
      </c>
      <c r="G1852">
        <v>1380.7305908000001</v>
      </c>
      <c r="H1852">
        <v>1366.6884766000001</v>
      </c>
      <c r="I1852">
        <v>1286.5567627</v>
      </c>
      <c r="J1852">
        <v>1266.3948975000001</v>
      </c>
      <c r="K1852">
        <v>80</v>
      </c>
      <c r="L1852">
        <v>79.962539672999995</v>
      </c>
      <c r="M1852">
        <v>50</v>
      </c>
      <c r="N1852">
        <v>44.649829865000001</v>
      </c>
    </row>
    <row r="1853" spans="1:14" x14ac:dyDescent="0.25">
      <c r="A1853">
        <v>1562.6612339999999</v>
      </c>
      <c r="B1853" s="1">
        <f>DATE(2014,8,10) + TIME(15,52,10)</f>
        <v>41861.661226851851</v>
      </c>
      <c r="C1853">
        <v>2400</v>
      </c>
      <c r="D1853">
        <v>0</v>
      </c>
      <c r="E1853">
        <v>0</v>
      </c>
      <c r="F1853">
        <v>2400</v>
      </c>
      <c r="G1853">
        <v>1380.6712646000001</v>
      </c>
      <c r="H1853">
        <v>1366.6292725000001</v>
      </c>
      <c r="I1853">
        <v>1286.4761963000001</v>
      </c>
      <c r="J1853">
        <v>1266.2705077999999</v>
      </c>
      <c r="K1853">
        <v>80</v>
      </c>
      <c r="L1853">
        <v>79.962593079000001</v>
      </c>
      <c r="M1853">
        <v>50</v>
      </c>
      <c r="N1853">
        <v>44.543441772000001</v>
      </c>
    </row>
    <row r="1854" spans="1:14" x14ac:dyDescent="0.25">
      <c r="A1854">
        <v>1564.6960469999999</v>
      </c>
      <c r="B1854" s="1">
        <f>DATE(2014,8,12) + TIME(16,42,18)</f>
        <v>41863.69604166667</v>
      </c>
      <c r="C1854">
        <v>2400</v>
      </c>
      <c r="D1854">
        <v>0</v>
      </c>
      <c r="E1854">
        <v>0</v>
      </c>
      <c r="F1854">
        <v>2400</v>
      </c>
      <c r="G1854">
        <v>1380.6113281</v>
      </c>
      <c r="H1854">
        <v>1366.5693358999999</v>
      </c>
      <c r="I1854">
        <v>1286.3933105000001</v>
      </c>
      <c r="J1854">
        <v>1266.1423339999999</v>
      </c>
      <c r="K1854">
        <v>80</v>
      </c>
      <c r="L1854">
        <v>79.962638854999994</v>
      </c>
      <c r="M1854">
        <v>50</v>
      </c>
      <c r="N1854">
        <v>44.435390472000002</v>
      </c>
    </row>
    <row r="1855" spans="1:14" x14ac:dyDescent="0.25">
      <c r="A1855">
        <v>1566.7526969999999</v>
      </c>
      <c r="B1855" s="1">
        <f>DATE(2014,8,14) + TIME(18,3,53)</f>
        <v>41865.752696759257</v>
      </c>
      <c r="C1855">
        <v>2400</v>
      </c>
      <c r="D1855">
        <v>0</v>
      </c>
      <c r="E1855">
        <v>0</v>
      </c>
      <c r="F1855">
        <v>2400</v>
      </c>
      <c r="G1855">
        <v>1380.5516356999999</v>
      </c>
      <c r="H1855">
        <v>1366.5096435999999</v>
      </c>
      <c r="I1855">
        <v>1286.3094481999999</v>
      </c>
      <c r="J1855">
        <v>1266.012207</v>
      </c>
      <c r="K1855">
        <v>80</v>
      </c>
      <c r="L1855">
        <v>79.962684631000002</v>
      </c>
      <c r="M1855">
        <v>50</v>
      </c>
      <c r="N1855">
        <v>44.326354979999998</v>
      </c>
    </row>
    <row r="1856" spans="1:14" x14ac:dyDescent="0.25">
      <c r="A1856">
        <v>1568.8093469999999</v>
      </c>
      <c r="B1856" s="1">
        <f>DATE(2014,8,16) + TIME(19,25,27)</f>
        <v>41867.809340277781</v>
      </c>
      <c r="C1856">
        <v>2400</v>
      </c>
      <c r="D1856">
        <v>0</v>
      </c>
      <c r="E1856">
        <v>0</v>
      </c>
      <c r="F1856">
        <v>2400</v>
      </c>
      <c r="G1856">
        <v>1380.4920654</v>
      </c>
      <c r="H1856">
        <v>1366.4499512</v>
      </c>
      <c r="I1856">
        <v>1286.2244873</v>
      </c>
      <c r="J1856">
        <v>1265.8798827999999</v>
      </c>
      <c r="K1856">
        <v>80</v>
      </c>
      <c r="L1856">
        <v>79.962738036999994</v>
      </c>
      <c r="M1856">
        <v>50</v>
      </c>
      <c r="N1856">
        <v>44.216796875</v>
      </c>
    </row>
    <row r="1857" spans="1:14" x14ac:dyDescent="0.25">
      <c r="A1857">
        <v>1570.8659970000001</v>
      </c>
      <c r="B1857" s="1">
        <f>DATE(2014,8,18) + TIME(20,47,2)</f>
        <v>41869.865995370368</v>
      </c>
      <c r="C1857">
        <v>2400</v>
      </c>
      <c r="D1857">
        <v>0</v>
      </c>
      <c r="E1857">
        <v>0</v>
      </c>
      <c r="F1857">
        <v>2400</v>
      </c>
      <c r="G1857">
        <v>1380.4332274999999</v>
      </c>
      <c r="H1857">
        <v>1366.3909911999999</v>
      </c>
      <c r="I1857">
        <v>1286.1391602000001</v>
      </c>
      <c r="J1857">
        <v>1265.7467041</v>
      </c>
      <c r="K1857">
        <v>80</v>
      </c>
      <c r="L1857">
        <v>79.962783813000001</v>
      </c>
      <c r="M1857">
        <v>50</v>
      </c>
      <c r="N1857">
        <v>44.107406615999999</v>
      </c>
    </row>
    <row r="1858" spans="1:14" x14ac:dyDescent="0.25">
      <c r="A1858">
        <v>1572.922646</v>
      </c>
      <c r="B1858" s="1">
        <f>DATE(2014,8,20) + TIME(22,8,36)</f>
        <v>41871.922638888886</v>
      </c>
      <c r="C1858">
        <v>2400</v>
      </c>
      <c r="D1858">
        <v>0</v>
      </c>
      <c r="E1858">
        <v>0</v>
      </c>
      <c r="F1858">
        <v>2400</v>
      </c>
      <c r="G1858">
        <v>1380.3748779</v>
      </c>
      <c r="H1858">
        <v>1366.3325195</v>
      </c>
      <c r="I1858">
        <v>1286.0538329999999</v>
      </c>
      <c r="J1858">
        <v>1265.6129149999999</v>
      </c>
      <c r="K1858">
        <v>80</v>
      </c>
      <c r="L1858">
        <v>79.962837218999994</v>
      </c>
      <c r="M1858">
        <v>50</v>
      </c>
      <c r="N1858">
        <v>43.998489380000002</v>
      </c>
    </row>
    <row r="1859" spans="1:14" x14ac:dyDescent="0.25">
      <c r="A1859">
        <v>1574.979296</v>
      </c>
      <c r="B1859" s="1">
        <f>DATE(2014,8,22) + TIME(23,30,11)</f>
        <v>41873.97929398148</v>
      </c>
      <c r="C1859">
        <v>2400</v>
      </c>
      <c r="D1859">
        <v>0</v>
      </c>
      <c r="E1859">
        <v>0</v>
      </c>
      <c r="F1859">
        <v>2400</v>
      </c>
      <c r="G1859">
        <v>1380.3173827999999</v>
      </c>
      <c r="H1859">
        <v>1366.2745361</v>
      </c>
      <c r="I1859">
        <v>1285.9683838000001</v>
      </c>
      <c r="J1859">
        <v>1265.4788818</v>
      </c>
      <c r="K1859">
        <v>80</v>
      </c>
      <c r="L1859">
        <v>79.962882996000005</v>
      </c>
      <c r="M1859">
        <v>50</v>
      </c>
      <c r="N1859">
        <v>43.890232085999997</v>
      </c>
    </row>
    <row r="1860" spans="1:14" x14ac:dyDescent="0.25">
      <c r="A1860">
        <v>1577.2092640000001</v>
      </c>
      <c r="B1860" s="1">
        <f>DATE(2014,8,25) + TIME(5,1,20)</f>
        <v>41876.20925925926</v>
      </c>
      <c r="C1860">
        <v>2400</v>
      </c>
      <c r="D1860">
        <v>0</v>
      </c>
      <c r="E1860">
        <v>0</v>
      </c>
      <c r="F1860">
        <v>2400</v>
      </c>
      <c r="G1860">
        <v>1380.260376</v>
      </c>
      <c r="H1860">
        <v>1366.2172852000001</v>
      </c>
      <c r="I1860">
        <v>1285.8830565999999</v>
      </c>
      <c r="J1860">
        <v>1265.3435059000001</v>
      </c>
      <c r="K1860">
        <v>80</v>
      </c>
      <c r="L1860">
        <v>79.962936400999993</v>
      </c>
      <c r="M1860">
        <v>50</v>
      </c>
      <c r="N1860">
        <v>43.780242919999999</v>
      </c>
    </row>
    <row r="1861" spans="1:14" x14ac:dyDescent="0.25">
      <c r="A1861">
        <v>1579.4392330000001</v>
      </c>
      <c r="B1861" s="1">
        <f>DATE(2014,8,27) + TIME(10,32,29)</f>
        <v>41878.43922453704</v>
      </c>
      <c r="C1861">
        <v>2400</v>
      </c>
      <c r="D1861">
        <v>0</v>
      </c>
      <c r="E1861">
        <v>0</v>
      </c>
      <c r="F1861">
        <v>2400</v>
      </c>
      <c r="G1861">
        <v>1380.1992187999999</v>
      </c>
      <c r="H1861">
        <v>1366.1557617000001</v>
      </c>
      <c r="I1861">
        <v>1285.791626</v>
      </c>
      <c r="J1861">
        <v>1265.1995850000001</v>
      </c>
      <c r="K1861">
        <v>80</v>
      </c>
      <c r="L1861">
        <v>79.962989807</v>
      </c>
      <c r="M1861">
        <v>50</v>
      </c>
      <c r="N1861">
        <v>43.666706085000001</v>
      </c>
    </row>
    <row r="1862" spans="1:14" x14ac:dyDescent="0.25">
      <c r="A1862">
        <v>1581.6692009999999</v>
      </c>
      <c r="B1862" s="1">
        <f>DATE(2014,8,29) + TIME(16,3,38)</f>
        <v>41880.669189814813</v>
      </c>
      <c r="C1862">
        <v>2400</v>
      </c>
      <c r="D1862">
        <v>0</v>
      </c>
      <c r="E1862">
        <v>0</v>
      </c>
      <c r="F1862">
        <v>2400</v>
      </c>
      <c r="G1862">
        <v>1380.1387939000001</v>
      </c>
      <c r="H1862">
        <v>1366.0947266000001</v>
      </c>
      <c r="I1862">
        <v>1285.7000731999999</v>
      </c>
      <c r="J1862">
        <v>1265.0548096</v>
      </c>
      <c r="K1862">
        <v>80</v>
      </c>
      <c r="L1862">
        <v>79.963043213000006</v>
      </c>
      <c r="M1862">
        <v>50</v>
      </c>
      <c r="N1862">
        <v>43.553218842</v>
      </c>
    </row>
    <row r="1863" spans="1:14" x14ac:dyDescent="0.25">
      <c r="A1863">
        <v>1584</v>
      </c>
      <c r="B1863" s="1">
        <f>DATE(2014,9,1) + TIME(0,0,0)</f>
        <v>41883</v>
      </c>
      <c r="C1863">
        <v>2400</v>
      </c>
      <c r="D1863">
        <v>0</v>
      </c>
      <c r="E1863">
        <v>0</v>
      </c>
      <c r="F1863">
        <v>2400</v>
      </c>
      <c r="G1863">
        <v>1380.0789795000001</v>
      </c>
      <c r="H1863">
        <v>1366.0344238</v>
      </c>
      <c r="I1863">
        <v>1285.6091309000001</v>
      </c>
      <c r="J1863">
        <v>1264.9097899999999</v>
      </c>
      <c r="K1863">
        <v>80</v>
      </c>
      <c r="L1863">
        <v>79.963096618999998</v>
      </c>
      <c r="M1863">
        <v>50</v>
      </c>
      <c r="N1863">
        <v>43.439556121999999</v>
      </c>
    </row>
    <row r="1864" spans="1:14" x14ac:dyDescent="0.25">
      <c r="A1864">
        <v>1586.2299680000001</v>
      </c>
      <c r="B1864" s="1">
        <f>DATE(2014,9,3) + TIME(5,31,9)</f>
        <v>41885.22996527778</v>
      </c>
      <c r="C1864">
        <v>2400</v>
      </c>
      <c r="D1864">
        <v>0</v>
      </c>
      <c r="E1864">
        <v>0</v>
      </c>
      <c r="F1864">
        <v>2400</v>
      </c>
      <c r="G1864">
        <v>1380.0170897999999</v>
      </c>
      <c r="H1864">
        <v>1365.9719238</v>
      </c>
      <c r="I1864">
        <v>1285.5152588000001</v>
      </c>
      <c r="J1864">
        <v>1264.7611084</v>
      </c>
      <c r="K1864">
        <v>80</v>
      </c>
      <c r="L1864">
        <v>79.963150024000001</v>
      </c>
      <c r="M1864">
        <v>50</v>
      </c>
      <c r="N1864">
        <v>43.326438904</v>
      </c>
    </row>
    <row r="1865" spans="1:14" x14ac:dyDescent="0.25">
      <c r="A1865">
        <v>1588.459936</v>
      </c>
      <c r="B1865" s="1">
        <f>DATE(2014,9,5) + TIME(11,2,18)</f>
        <v>41887.459930555553</v>
      </c>
      <c r="C1865">
        <v>2400</v>
      </c>
      <c r="D1865">
        <v>0</v>
      </c>
      <c r="E1865">
        <v>0</v>
      </c>
      <c r="F1865">
        <v>2400</v>
      </c>
      <c r="G1865">
        <v>1379.9584961</v>
      </c>
      <c r="H1865">
        <v>1365.9125977000001</v>
      </c>
      <c r="I1865">
        <v>1285.4256591999999</v>
      </c>
      <c r="J1865">
        <v>1264.6179199000001</v>
      </c>
      <c r="K1865">
        <v>80</v>
      </c>
      <c r="L1865">
        <v>79.963203429999993</v>
      </c>
      <c r="M1865">
        <v>50</v>
      </c>
      <c r="N1865">
        <v>43.217266082999998</v>
      </c>
    </row>
    <row r="1866" spans="1:14" x14ac:dyDescent="0.25">
      <c r="A1866">
        <v>1590.861541</v>
      </c>
      <c r="B1866" s="1">
        <f>DATE(2014,9,7) + TIME(20,40,37)</f>
        <v>41889.861539351848</v>
      </c>
      <c r="C1866">
        <v>2400</v>
      </c>
      <c r="D1866">
        <v>0</v>
      </c>
      <c r="E1866">
        <v>0</v>
      </c>
      <c r="F1866">
        <v>2400</v>
      </c>
      <c r="G1866">
        <v>1379.9006348</v>
      </c>
      <c r="H1866">
        <v>1365.8538818</v>
      </c>
      <c r="I1866">
        <v>1285.3372803</v>
      </c>
      <c r="J1866">
        <v>1264.4755858999999</v>
      </c>
      <c r="K1866">
        <v>80</v>
      </c>
      <c r="L1866">
        <v>79.963256835999999</v>
      </c>
      <c r="M1866">
        <v>50</v>
      </c>
      <c r="N1866">
        <v>43.108779906999999</v>
      </c>
    </row>
    <row r="1867" spans="1:14" x14ac:dyDescent="0.25">
      <c r="A1867">
        <v>1593.263146</v>
      </c>
      <c r="B1867" s="1">
        <f>DATE(2014,9,10) + TIME(6,18,55)</f>
        <v>41892.263136574074</v>
      </c>
      <c r="C1867">
        <v>2400</v>
      </c>
      <c r="D1867">
        <v>0</v>
      </c>
      <c r="E1867">
        <v>0</v>
      </c>
      <c r="F1867">
        <v>2400</v>
      </c>
      <c r="G1867">
        <v>1379.8387451000001</v>
      </c>
      <c r="H1867">
        <v>1365.7912598</v>
      </c>
      <c r="I1867">
        <v>1285.2443848</v>
      </c>
      <c r="J1867">
        <v>1264.3267822</v>
      </c>
      <c r="K1867">
        <v>80</v>
      </c>
      <c r="L1867">
        <v>79.963310242000006</v>
      </c>
      <c r="M1867">
        <v>50</v>
      </c>
      <c r="N1867">
        <v>42.998977660999998</v>
      </c>
    </row>
    <row r="1868" spans="1:14" x14ac:dyDescent="0.25">
      <c r="A1868">
        <v>1595.664751</v>
      </c>
      <c r="B1868" s="1">
        <f>DATE(2014,9,12) + TIME(15,57,14)</f>
        <v>41894.66474537037</v>
      </c>
      <c r="C1868">
        <v>2400</v>
      </c>
      <c r="D1868">
        <v>0</v>
      </c>
      <c r="E1868">
        <v>0</v>
      </c>
      <c r="F1868">
        <v>2400</v>
      </c>
      <c r="G1868">
        <v>1379.7775879000001</v>
      </c>
      <c r="H1868">
        <v>1365.729126</v>
      </c>
      <c r="I1868">
        <v>1285.1525879000001</v>
      </c>
      <c r="J1868">
        <v>1264.1794434000001</v>
      </c>
      <c r="K1868">
        <v>80</v>
      </c>
      <c r="L1868">
        <v>79.963371276999993</v>
      </c>
      <c r="M1868">
        <v>50</v>
      </c>
      <c r="N1868">
        <v>42.891414642000001</v>
      </c>
    </row>
    <row r="1869" spans="1:14" x14ac:dyDescent="0.25">
      <c r="A1869">
        <v>1598.066356</v>
      </c>
      <c r="B1869" s="1">
        <f>DATE(2014,9,15) + TIME(1,35,33)</f>
        <v>41897.066354166665</v>
      </c>
      <c r="C1869">
        <v>2400</v>
      </c>
      <c r="D1869">
        <v>0</v>
      </c>
      <c r="E1869">
        <v>0</v>
      </c>
      <c r="F1869">
        <v>2400</v>
      </c>
      <c r="G1869">
        <v>1379.7169189000001</v>
      </c>
      <c r="H1869">
        <v>1365.6676024999999</v>
      </c>
      <c r="I1869">
        <v>1285.0626221</v>
      </c>
      <c r="J1869">
        <v>1264.0344238</v>
      </c>
      <c r="K1869">
        <v>80</v>
      </c>
      <c r="L1869">
        <v>79.963424683</v>
      </c>
      <c r="M1869">
        <v>50</v>
      </c>
      <c r="N1869">
        <v>42.787330627000003</v>
      </c>
    </row>
    <row r="1870" spans="1:14" x14ac:dyDescent="0.25">
      <c r="A1870">
        <v>1600.4679610000001</v>
      </c>
      <c r="B1870" s="1">
        <f>DATE(2014,9,17) + TIME(11,13,51)</f>
        <v>41899.467951388891</v>
      </c>
      <c r="C1870">
        <v>2400</v>
      </c>
      <c r="D1870">
        <v>0</v>
      </c>
      <c r="E1870">
        <v>0</v>
      </c>
      <c r="F1870">
        <v>2400</v>
      </c>
      <c r="G1870">
        <v>1379.6568603999999</v>
      </c>
      <c r="H1870">
        <v>1365.6065673999999</v>
      </c>
      <c r="I1870">
        <v>1284.9746094</v>
      </c>
      <c r="J1870">
        <v>1263.8923339999999</v>
      </c>
      <c r="K1870">
        <v>80</v>
      </c>
      <c r="L1870">
        <v>79.963478088000002</v>
      </c>
      <c r="M1870">
        <v>50</v>
      </c>
      <c r="N1870">
        <v>42.687385558999999</v>
      </c>
    </row>
    <row r="1871" spans="1:14" x14ac:dyDescent="0.25">
      <c r="A1871">
        <v>1602.869565</v>
      </c>
      <c r="B1871" s="1">
        <f>DATE(2014,9,19) + TIME(20,52,10)</f>
        <v>41901.869560185187</v>
      </c>
      <c r="C1871">
        <v>2400</v>
      </c>
      <c r="D1871">
        <v>0</v>
      </c>
      <c r="E1871">
        <v>0</v>
      </c>
      <c r="F1871">
        <v>2400</v>
      </c>
      <c r="G1871">
        <v>1379.5974120999999</v>
      </c>
      <c r="H1871">
        <v>1365.5461425999999</v>
      </c>
      <c r="I1871">
        <v>1284.8890381000001</v>
      </c>
      <c r="J1871">
        <v>1263.7539062000001</v>
      </c>
      <c r="K1871">
        <v>80</v>
      </c>
      <c r="L1871">
        <v>79.963531493999994</v>
      </c>
      <c r="M1871">
        <v>50</v>
      </c>
      <c r="N1871">
        <v>42.592067718999999</v>
      </c>
    </row>
    <row r="1872" spans="1:14" x14ac:dyDescent="0.25">
      <c r="A1872">
        <v>1605.27117</v>
      </c>
      <c r="B1872" s="1">
        <f>DATE(2014,9,22) + TIME(6,30,29)</f>
        <v>41904.271168981482</v>
      </c>
      <c r="C1872">
        <v>2400</v>
      </c>
      <c r="D1872">
        <v>0</v>
      </c>
      <c r="E1872">
        <v>0</v>
      </c>
      <c r="F1872">
        <v>2400</v>
      </c>
      <c r="G1872">
        <v>1379.5384521000001</v>
      </c>
      <c r="H1872">
        <v>1365.4860839999999</v>
      </c>
      <c r="I1872">
        <v>1284.8057861</v>
      </c>
      <c r="J1872">
        <v>1263.6192627</v>
      </c>
      <c r="K1872">
        <v>80</v>
      </c>
      <c r="L1872">
        <v>79.963584900000001</v>
      </c>
      <c r="M1872">
        <v>50</v>
      </c>
      <c r="N1872">
        <v>42.501846313000001</v>
      </c>
    </row>
    <row r="1873" spans="1:14" x14ac:dyDescent="0.25">
      <c r="A1873">
        <v>1607.672775</v>
      </c>
      <c r="B1873" s="1">
        <f>DATE(2014,9,24) + TIME(16,8,47)</f>
        <v>41906.672766203701</v>
      </c>
      <c r="C1873">
        <v>2400</v>
      </c>
      <c r="D1873">
        <v>0</v>
      </c>
      <c r="E1873">
        <v>0</v>
      </c>
      <c r="F1873">
        <v>2400</v>
      </c>
      <c r="G1873">
        <v>1379.4799805</v>
      </c>
      <c r="H1873">
        <v>1365.4266356999999</v>
      </c>
      <c r="I1873">
        <v>1284.7253418</v>
      </c>
      <c r="J1873">
        <v>1263.4887695</v>
      </c>
      <c r="K1873">
        <v>80</v>
      </c>
      <c r="L1873">
        <v>79.963638306000007</v>
      </c>
      <c r="M1873">
        <v>50</v>
      </c>
      <c r="N1873">
        <v>42.417182922000002</v>
      </c>
    </row>
    <row r="1874" spans="1:14" x14ac:dyDescent="0.25">
      <c r="A1874">
        <v>1610.369058</v>
      </c>
      <c r="B1874" s="1">
        <f>DATE(2014,9,27) + TIME(8,51,26)</f>
        <v>41909.369050925925</v>
      </c>
      <c r="C1874">
        <v>2400</v>
      </c>
      <c r="D1874">
        <v>0</v>
      </c>
      <c r="E1874">
        <v>0</v>
      </c>
      <c r="F1874">
        <v>2400</v>
      </c>
      <c r="G1874">
        <v>1379.4221190999999</v>
      </c>
      <c r="H1874">
        <v>1365.3676757999999</v>
      </c>
      <c r="I1874">
        <v>1284.6473389</v>
      </c>
      <c r="J1874">
        <v>1263.3616943</v>
      </c>
      <c r="K1874">
        <v>80</v>
      </c>
      <c r="L1874">
        <v>79.963699340999995</v>
      </c>
      <c r="M1874">
        <v>50</v>
      </c>
      <c r="N1874">
        <v>42.336223601999997</v>
      </c>
    </row>
    <row r="1875" spans="1:14" x14ac:dyDescent="0.25">
      <c r="A1875">
        <v>1613.065341</v>
      </c>
      <c r="B1875" s="1">
        <f>DATE(2014,9,30) + TIME(1,34,5)</f>
        <v>41912.065335648149</v>
      </c>
      <c r="C1875">
        <v>2400</v>
      </c>
      <c r="D1875">
        <v>0</v>
      </c>
      <c r="E1875">
        <v>0</v>
      </c>
      <c r="F1875">
        <v>2400</v>
      </c>
      <c r="G1875">
        <v>1379.3577881000001</v>
      </c>
      <c r="H1875">
        <v>1365.3020019999999</v>
      </c>
      <c r="I1875">
        <v>1284.5645752</v>
      </c>
      <c r="J1875">
        <v>1263.2282714999999</v>
      </c>
      <c r="K1875">
        <v>80</v>
      </c>
      <c r="L1875">
        <v>79.963760375999996</v>
      </c>
      <c r="M1875">
        <v>50</v>
      </c>
      <c r="N1875">
        <v>42.257389068999998</v>
      </c>
    </row>
    <row r="1876" spans="1:14" x14ac:dyDescent="0.25">
      <c r="A1876">
        <v>1614</v>
      </c>
      <c r="B1876" s="1">
        <f>DATE(2014,10,1) + TIME(0,0,0)</f>
        <v>41913</v>
      </c>
      <c r="C1876">
        <v>2400</v>
      </c>
      <c r="D1876">
        <v>0</v>
      </c>
      <c r="E1876">
        <v>0</v>
      </c>
      <c r="F1876">
        <v>2400</v>
      </c>
      <c r="G1876">
        <v>1379.2940673999999</v>
      </c>
      <c r="H1876">
        <v>1365.2374268000001</v>
      </c>
      <c r="I1876">
        <v>1284.4899902</v>
      </c>
      <c r="J1876">
        <v>1263.1158447</v>
      </c>
      <c r="K1876">
        <v>80</v>
      </c>
      <c r="L1876">
        <v>79.963783264</v>
      </c>
      <c r="M1876">
        <v>50</v>
      </c>
      <c r="N1876">
        <v>42.208396911999998</v>
      </c>
    </row>
    <row r="1877" spans="1:14" x14ac:dyDescent="0.25">
      <c r="A1877">
        <v>1616.696283</v>
      </c>
      <c r="B1877" s="1">
        <f>DATE(2014,10,3) + TIME(16,42,38)</f>
        <v>41915.696273148147</v>
      </c>
      <c r="C1877">
        <v>2400</v>
      </c>
      <c r="D1877">
        <v>0</v>
      </c>
      <c r="E1877">
        <v>0</v>
      </c>
      <c r="F1877">
        <v>2400</v>
      </c>
      <c r="G1877">
        <v>1379.2717285000001</v>
      </c>
      <c r="H1877">
        <v>1365.2141113</v>
      </c>
      <c r="I1877">
        <v>1284.4552002</v>
      </c>
      <c r="J1877">
        <v>1263.0505370999999</v>
      </c>
      <c r="K1877">
        <v>80</v>
      </c>
      <c r="L1877">
        <v>79.963844299000002</v>
      </c>
      <c r="M1877">
        <v>50</v>
      </c>
      <c r="N1877">
        <v>42.158355712999999</v>
      </c>
    </row>
    <row r="1878" spans="1:14" x14ac:dyDescent="0.25">
      <c r="A1878">
        <v>1619.392566</v>
      </c>
      <c r="B1878" s="1">
        <f>DATE(2014,10,6) + TIME(9,25,17)</f>
        <v>41918.392557870371</v>
      </c>
      <c r="C1878">
        <v>2400</v>
      </c>
      <c r="D1878">
        <v>0</v>
      </c>
      <c r="E1878">
        <v>0</v>
      </c>
      <c r="F1878">
        <v>2400</v>
      </c>
      <c r="G1878">
        <v>1379.2089844</v>
      </c>
      <c r="H1878">
        <v>1365.1502685999999</v>
      </c>
      <c r="I1878">
        <v>1284.3842772999999</v>
      </c>
      <c r="J1878">
        <v>1262.9377440999999</v>
      </c>
      <c r="K1878">
        <v>80</v>
      </c>
      <c r="L1878">
        <v>79.963905334000003</v>
      </c>
      <c r="M1878">
        <v>50</v>
      </c>
      <c r="N1878">
        <v>42.103927612</v>
      </c>
    </row>
    <row r="1879" spans="1:14" x14ac:dyDescent="0.25">
      <c r="A1879">
        <v>1622.088849</v>
      </c>
      <c r="B1879" s="1">
        <f>DATE(2014,10,9) + TIME(2,7,56)</f>
        <v>41921.088842592595</v>
      </c>
      <c r="C1879">
        <v>2400</v>
      </c>
      <c r="D1879">
        <v>0</v>
      </c>
      <c r="E1879">
        <v>0</v>
      </c>
      <c r="F1879">
        <v>2400</v>
      </c>
      <c r="G1879">
        <v>1379.1466064000001</v>
      </c>
      <c r="H1879">
        <v>1365.0865478999999</v>
      </c>
      <c r="I1879">
        <v>1284.3156738</v>
      </c>
      <c r="J1879">
        <v>1262.8284911999999</v>
      </c>
      <c r="K1879">
        <v>80</v>
      </c>
      <c r="L1879">
        <v>79.963958739999995</v>
      </c>
      <c r="M1879">
        <v>50</v>
      </c>
      <c r="N1879">
        <v>42.056495667</v>
      </c>
    </row>
    <row r="1880" spans="1:14" x14ac:dyDescent="0.25">
      <c r="A1880">
        <v>1624.785132</v>
      </c>
      <c r="B1880" s="1">
        <f>DATE(2014,10,11) + TIME(18,50,35)</f>
        <v>41923.785127314812</v>
      </c>
      <c r="C1880">
        <v>2400</v>
      </c>
      <c r="D1880">
        <v>0</v>
      </c>
      <c r="E1880">
        <v>0</v>
      </c>
      <c r="F1880">
        <v>2400</v>
      </c>
      <c r="G1880">
        <v>1379.0847168</v>
      </c>
      <c r="H1880">
        <v>1365.0234375</v>
      </c>
      <c r="I1880">
        <v>1284.2512207</v>
      </c>
      <c r="J1880">
        <v>1262.7266846</v>
      </c>
      <c r="K1880">
        <v>80</v>
      </c>
      <c r="L1880">
        <v>79.964019774999997</v>
      </c>
      <c r="M1880">
        <v>50</v>
      </c>
      <c r="N1880">
        <v>42.019207000999998</v>
      </c>
    </row>
    <row r="1881" spans="1:14" x14ac:dyDescent="0.25">
      <c r="A1881">
        <v>1627.481415</v>
      </c>
      <c r="B1881" s="1">
        <f>DATE(2014,10,14) + TIME(11,33,14)</f>
        <v>41926.481412037036</v>
      </c>
      <c r="C1881">
        <v>2400</v>
      </c>
      <c r="D1881">
        <v>0</v>
      </c>
      <c r="E1881">
        <v>0</v>
      </c>
      <c r="F1881">
        <v>2400</v>
      </c>
      <c r="G1881">
        <v>1379.0234375</v>
      </c>
      <c r="H1881">
        <v>1364.9609375</v>
      </c>
      <c r="I1881">
        <v>1284.1915283000001</v>
      </c>
      <c r="J1881">
        <v>1262.6334228999999</v>
      </c>
      <c r="K1881">
        <v>80</v>
      </c>
      <c r="L1881">
        <v>79.964080811000002</v>
      </c>
      <c r="M1881">
        <v>50</v>
      </c>
      <c r="N1881">
        <v>41.993267058999997</v>
      </c>
    </row>
    <row r="1882" spans="1:14" x14ac:dyDescent="0.25">
      <c r="A1882">
        <v>1630.177698</v>
      </c>
      <c r="B1882" s="1">
        <f>DATE(2014,10,17) + TIME(4,15,53)</f>
        <v>41929.17769675926</v>
      </c>
      <c r="C1882">
        <v>2400</v>
      </c>
      <c r="D1882">
        <v>0</v>
      </c>
      <c r="E1882">
        <v>0</v>
      </c>
      <c r="F1882">
        <v>2400</v>
      </c>
      <c r="G1882">
        <v>1378.9627685999999</v>
      </c>
      <c r="H1882">
        <v>1364.8989257999999</v>
      </c>
      <c r="I1882">
        <v>1284.1368408000001</v>
      </c>
      <c r="J1882">
        <v>1262.5491943</v>
      </c>
      <c r="K1882">
        <v>80</v>
      </c>
      <c r="L1882">
        <v>79.964134216000005</v>
      </c>
      <c r="M1882">
        <v>50</v>
      </c>
      <c r="N1882">
        <v>41.979274750000002</v>
      </c>
    </row>
    <row r="1883" spans="1:14" x14ac:dyDescent="0.25">
      <c r="A1883">
        <v>1633.1914280000001</v>
      </c>
      <c r="B1883" s="1">
        <f>DATE(2014,10,20) + TIME(4,35,39)</f>
        <v>41932.191423611112</v>
      </c>
      <c r="C1883">
        <v>2400</v>
      </c>
      <c r="D1883">
        <v>0</v>
      </c>
      <c r="E1883">
        <v>0</v>
      </c>
      <c r="F1883">
        <v>2400</v>
      </c>
      <c r="G1883">
        <v>1378.9027100000001</v>
      </c>
      <c r="H1883">
        <v>1364.8376464999999</v>
      </c>
      <c r="I1883">
        <v>1284.0866699000001</v>
      </c>
      <c r="J1883">
        <v>1262.4735106999999</v>
      </c>
      <c r="K1883">
        <v>80</v>
      </c>
      <c r="L1883">
        <v>79.964202881000006</v>
      </c>
      <c r="M1883">
        <v>50</v>
      </c>
      <c r="N1883">
        <v>41.977573395</v>
      </c>
    </row>
    <row r="1884" spans="1:14" x14ac:dyDescent="0.25">
      <c r="A1884">
        <v>1636.2051590000001</v>
      </c>
      <c r="B1884" s="1">
        <f>DATE(2014,10,23) + TIME(4,55,25)</f>
        <v>41935.205150462964</v>
      </c>
      <c r="C1884">
        <v>2400</v>
      </c>
      <c r="D1884">
        <v>0</v>
      </c>
      <c r="E1884">
        <v>0</v>
      </c>
      <c r="F1884">
        <v>2400</v>
      </c>
      <c r="G1884">
        <v>1378.8363036999999</v>
      </c>
      <c r="H1884">
        <v>1364.7698975000001</v>
      </c>
      <c r="I1884">
        <v>1284.0373535000001</v>
      </c>
      <c r="J1884">
        <v>1262.4016113</v>
      </c>
      <c r="K1884">
        <v>80</v>
      </c>
      <c r="L1884">
        <v>79.964263915999993</v>
      </c>
      <c r="M1884">
        <v>50</v>
      </c>
      <c r="N1884">
        <v>41.990283966</v>
      </c>
    </row>
    <row r="1885" spans="1:14" x14ac:dyDescent="0.25">
      <c r="A1885">
        <v>1639.218889</v>
      </c>
      <c r="B1885" s="1">
        <f>DATE(2014,10,26) + TIME(5,15,12)</f>
        <v>41938.218888888892</v>
      </c>
      <c r="C1885">
        <v>2400</v>
      </c>
      <c r="D1885">
        <v>0</v>
      </c>
      <c r="E1885">
        <v>0</v>
      </c>
      <c r="F1885">
        <v>2400</v>
      </c>
      <c r="G1885">
        <v>1378.7706298999999</v>
      </c>
      <c r="H1885">
        <v>1364.7028809000001</v>
      </c>
      <c r="I1885">
        <v>1283.9938964999999</v>
      </c>
      <c r="J1885">
        <v>1262.3408202999999</v>
      </c>
      <c r="K1885">
        <v>80</v>
      </c>
      <c r="L1885">
        <v>79.964324950999995</v>
      </c>
      <c r="M1885">
        <v>50</v>
      </c>
      <c r="N1885">
        <v>42.018722533999998</v>
      </c>
    </row>
    <row r="1886" spans="1:14" x14ac:dyDescent="0.25">
      <c r="A1886">
        <v>1642.2326190000001</v>
      </c>
      <c r="B1886" s="1">
        <f>DATE(2014,10,29) + TIME(5,34,58)</f>
        <v>41941.232615740744</v>
      </c>
      <c r="C1886">
        <v>2400</v>
      </c>
      <c r="D1886">
        <v>0</v>
      </c>
      <c r="E1886">
        <v>0</v>
      </c>
      <c r="F1886">
        <v>2400</v>
      </c>
      <c r="G1886">
        <v>1378.7056885</v>
      </c>
      <c r="H1886">
        <v>1364.6367187999999</v>
      </c>
      <c r="I1886">
        <v>1283.9564209</v>
      </c>
      <c r="J1886">
        <v>1262.2917480000001</v>
      </c>
      <c r="K1886">
        <v>80</v>
      </c>
      <c r="L1886">
        <v>79.964385985999996</v>
      </c>
      <c r="M1886">
        <v>50</v>
      </c>
      <c r="N1886">
        <v>42.063049315999997</v>
      </c>
    </row>
    <row r="1887" spans="1:14" x14ac:dyDescent="0.25">
      <c r="A1887">
        <v>1645</v>
      </c>
      <c r="B1887" s="1">
        <f>DATE(2014,11,1) + TIME(0,0,0)</f>
        <v>41944</v>
      </c>
      <c r="C1887">
        <v>2400</v>
      </c>
      <c r="D1887">
        <v>0</v>
      </c>
      <c r="E1887">
        <v>0</v>
      </c>
      <c r="F1887">
        <v>2400</v>
      </c>
      <c r="G1887">
        <v>1378.6414795000001</v>
      </c>
      <c r="H1887">
        <v>1364.5714111</v>
      </c>
      <c r="I1887">
        <v>1283.9254149999999</v>
      </c>
      <c r="J1887">
        <v>1262.2547606999999</v>
      </c>
      <c r="K1887">
        <v>80</v>
      </c>
      <c r="L1887">
        <v>79.964447020999998</v>
      </c>
      <c r="M1887">
        <v>50</v>
      </c>
      <c r="N1887">
        <v>42.121921538999999</v>
      </c>
    </row>
    <row r="1888" spans="1:14" x14ac:dyDescent="0.25">
      <c r="A1888">
        <v>1645.0000010000001</v>
      </c>
      <c r="B1888" s="1">
        <f>DATE(2014,11,1) + TIME(0,0,0)</f>
        <v>41944</v>
      </c>
      <c r="C1888">
        <v>0</v>
      </c>
      <c r="D1888">
        <v>2400</v>
      </c>
      <c r="E1888">
        <v>2400</v>
      </c>
      <c r="F1888">
        <v>0</v>
      </c>
      <c r="G1888">
        <v>1363.6994629000001</v>
      </c>
      <c r="H1888">
        <v>1352.4561768000001</v>
      </c>
      <c r="I1888">
        <v>1306.7376709</v>
      </c>
      <c r="J1888">
        <v>1284.7973632999999</v>
      </c>
      <c r="K1888">
        <v>80</v>
      </c>
      <c r="L1888">
        <v>79.964324950999995</v>
      </c>
      <c r="M1888">
        <v>50</v>
      </c>
      <c r="N1888">
        <v>42.12203598</v>
      </c>
    </row>
    <row r="1889" spans="1:14" x14ac:dyDescent="0.25">
      <c r="A1889">
        <v>1645.000004</v>
      </c>
      <c r="B1889" s="1">
        <f>DATE(2014,11,1) + TIME(0,0,0)</f>
        <v>41944</v>
      </c>
      <c r="C1889">
        <v>0</v>
      </c>
      <c r="D1889">
        <v>2400</v>
      </c>
      <c r="E1889">
        <v>2400</v>
      </c>
      <c r="F1889">
        <v>0</v>
      </c>
      <c r="G1889">
        <v>1361.4968262</v>
      </c>
      <c r="H1889">
        <v>1350.2530518000001</v>
      </c>
      <c r="I1889">
        <v>1309.1137695</v>
      </c>
      <c r="J1889">
        <v>1287.1594238</v>
      </c>
      <c r="K1889">
        <v>80</v>
      </c>
      <c r="L1889">
        <v>79.964012146000002</v>
      </c>
      <c r="M1889">
        <v>50</v>
      </c>
      <c r="N1889">
        <v>42.122352599999999</v>
      </c>
    </row>
    <row r="1890" spans="1:14" x14ac:dyDescent="0.25">
      <c r="A1890">
        <v>1645.0000130000001</v>
      </c>
      <c r="B1890" s="1">
        <f>DATE(2014,11,1) + TIME(0,0,1)</f>
        <v>41944.000011574077</v>
      </c>
      <c r="C1890">
        <v>0</v>
      </c>
      <c r="D1890">
        <v>2400</v>
      </c>
      <c r="E1890">
        <v>2400</v>
      </c>
      <c r="F1890">
        <v>0</v>
      </c>
      <c r="G1890">
        <v>1357.0505370999999</v>
      </c>
      <c r="H1890">
        <v>1345.8063964999999</v>
      </c>
      <c r="I1890">
        <v>1314.6019286999999</v>
      </c>
      <c r="J1890">
        <v>1292.6320800999999</v>
      </c>
      <c r="K1890">
        <v>80</v>
      </c>
      <c r="L1890">
        <v>79.963378906000003</v>
      </c>
      <c r="M1890">
        <v>50</v>
      </c>
      <c r="N1890">
        <v>42.123100280999999</v>
      </c>
    </row>
    <row r="1891" spans="1:14" x14ac:dyDescent="0.25">
      <c r="A1891">
        <v>1645.0000399999999</v>
      </c>
      <c r="B1891" s="1">
        <f>DATE(2014,11,1) + TIME(0,0,3)</f>
        <v>41944.000034722223</v>
      </c>
      <c r="C1891">
        <v>0</v>
      </c>
      <c r="D1891">
        <v>2400</v>
      </c>
      <c r="E1891">
        <v>2400</v>
      </c>
      <c r="F1891">
        <v>0</v>
      </c>
      <c r="G1891">
        <v>1350.5556641000001</v>
      </c>
      <c r="H1891">
        <v>1339.3128661999999</v>
      </c>
      <c r="I1891">
        <v>1324.1445312000001</v>
      </c>
      <c r="J1891">
        <v>1302.1760254000001</v>
      </c>
      <c r="K1891">
        <v>80</v>
      </c>
      <c r="L1891">
        <v>79.962448120000005</v>
      </c>
      <c r="M1891">
        <v>50</v>
      </c>
      <c r="N1891">
        <v>42.124511718999997</v>
      </c>
    </row>
    <row r="1892" spans="1:14" x14ac:dyDescent="0.25">
      <c r="A1892">
        <v>1645.000121</v>
      </c>
      <c r="B1892" s="1">
        <f>DATE(2014,11,1) + TIME(0,0,10)</f>
        <v>41944.000115740739</v>
      </c>
      <c r="C1892">
        <v>0</v>
      </c>
      <c r="D1892">
        <v>2400</v>
      </c>
      <c r="E1892">
        <v>2400</v>
      </c>
      <c r="F1892">
        <v>0</v>
      </c>
      <c r="G1892">
        <v>1343.3287353999999</v>
      </c>
      <c r="H1892">
        <v>1332.0898437999999</v>
      </c>
      <c r="I1892">
        <v>1336.2116699000001</v>
      </c>
      <c r="J1892">
        <v>1314.2670897999999</v>
      </c>
      <c r="K1892">
        <v>80</v>
      </c>
      <c r="L1892">
        <v>79.961410521999994</v>
      </c>
      <c r="M1892">
        <v>50</v>
      </c>
      <c r="N1892">
        <v>42.126731872999997</v>
      </c>
    </row>
    <row r="1893" spans="1:14" x14ac:dyDescent="0.25">
      <c r="A1893">
        <v>1645.000364</v>
      </c>
      <c r="B1893" s="1">
        <f>DATE(2014,11,1) + TIME(0,0,31)</f>
        <v>41944.000358796293</v>
      </c>
      <c r="C1893">
        <v>0</v>
      </c>
      <c r="D1893">
        <v>2400</v>
      </c>
      <c r="E1893">
        <v>2400</v>
      </c>
      <c r="F1893">
        <v>0</v>
      </c>
      <c r="G1893">
        <v>1336.0648193</v>
      </c>
      <c r="H1893">
        <v>1324.8314209</v>
      </c>
      <c r="I1893">
        <v>1348.8823242000001</v>
      </c>
      <c r="J1893">
        <v>1326.9671631000001</v>
      </c>
      <c r="K1893">
        <v>80</v>
      </c>
      <c r="L1893">
        <v>79.960342406999999</v>
      </c>
      <c r="M1893">
        <v>50</v>
      </c>
      <c r="N1893">
        <v>42.130535125999998</v>
      </c>
    </row>
    <row r="1894" spans="1:14" x14ac:dyDescent="0.25">
      <c r="A1894">
        <v>1645.0010930000001</v>
      </c>
      <c r="B1894" s="1">
        <f>DATE(2014,11,1) + TIME(0,1,34)</f>
        <v>41944.001087962963</v>
      </c>
      <c r="C1894">
        <v>0</v>
      </c>
      <c r="D1894">
        <v>2400</v>
      </c>
      <c r="E1894">
        <v>2400</v>
      </c>
      <c r="F1894">
        <v>0</v>
      </c>
      <c r="G1894">
        <v>1328.7641602000001</v>
      </c>
      <c r="H1894">
        <v>1317.5197754000001</v>
      </c>
      <c r="I1894">
        <v>1361.7482910000001</v>
      </c>
      <c r="J1894">
        <v>1339.8529053</v>
      </c>
      <c r="K1894">
        <v>80</v>
      </c>
      <c r="L1894">
        <v>79.959190368999998</v>
      </c>
      <c r="M1894">
        <v>50</v>
      </c>
      <c r="N1894">
        <v>42.138877868999998</v>
      </c>
    </row>
    <row r="1895" spans="1:14" x14ac:dyDescent="0.25">
      <c r="A1895">
        <v>1645.0032799999999</v>
      </c>
      <c r="B1895" s="1">
        <f>DATE(2014,11,1) + TIME(0,4,43)</f>
        <v>41944.003275462965</v>
      </c>
      <c r="C1895">
        <v>0</v>
      </c>
      <c r="D1895">
        <v>2400</v>
      </c>
      <c r="E1895">
        <v>2400</v>
      </c>
      <c r="F1895">
        <v>0</v>
      </c>
      <c r="G1895">
        <v>1321.2321777</v>
      </c>
      <c r="H1895">
        <v>1309.8977050999999</v>
      </c>
      <c r="I1895">
        <v>1374.8020019999999</v>
      </c>
      <c r="J1895">
        <v>1352.9007568</v>
      </c>
      <c r="K1895">
        <v>80</v>
      </c>
      <c r="L1895">
        <v>79.957763671999999</v>
      </c>
      <c r="M1895">
        <v>50</v>
      </c>
      <c r="N1895">
        <v>42.160747528000002</v>
      </c>
    </row>
    <row r="1896" spans="1:14" x14ac:dyDescent="0.25">
      <c r="A1896">
        <v>1645.0098410000001</v>
      </c>
      <c r="B1896" s="1">
        <f>DATE(2014,11,1) + TIME(0,14,10)</f>
        <v>41944.009837962964</v>
      </c>
      <c r="C1896">
        <v>0</v>
      </c>
      <c r="D1896">
        <v>2400</v>
      </c>
      <c r="E1896">
        <v>2400</v>
      </c>
      <c r="F1896">
        <v>0</v>
      </c>
      <c r="G1896">
        <v>1313.6982422000001</v>
      </c>
      <c r="H1896">
        <v>1302.1759033000001</v>
      </c>
      <c r="I1896">
        <v>1386.9680175999999</v>
      </c>
      <c r="J1896">
        <v>1365.0548096</v>
      </c>
      <c r="K1896">
        <v>80</v>
      </c>
      <c r="L1896">
        <v>79.955627441000004</v>
      </c>
      <c r="M1896">
        <v>50</v>
      </c>
      <c r="N1896">
        <v>42.222698211999997</v>
      </c>
    </row>
    <row r="1897" spans="1:14" x14ac:dyDescent="0.25">
      <c r="A1897">
        <v>1645.029524</v>
      </c>
      <c r="B1897" s="1">
        <f>DATE(2014,11,1) + TIME(0,42,30)</f>
        <v>41944.029513888891</v>
      </c>
      <c r="C1897">
        <v>0</v>
      </c>
      <c r="D1897">
        <v>2400</v>
      </c>
      <c r="E1897">
        <v>2400</v>
      </c>
      <c r="F1897">
        <v>0</v>
      </c>
      <c r="G1897">
        <v>1307.5429687999999</v>
      </c>
      <c r="H1897">
        <v>1295.8383789</v>
      </c>
      <c r="I1897">
        <v>1395.6740723</v>
      </c>
      <c r="J1897">
        <v>1373.8039550999999</v>
      </c>
      <c r="K1897">
        <v>80</v>
      </c>
      <c r="L1897">
        <v>79.951560974000003</v>
      </c>
      <c r="M1897">
        <v>50</v>
      </c>
      <c r="N1897">
        <v>42.401237488</v>
      </c>
    </row>
    <row r="1898" spans="1:14" x14ac:dyDescent="0.25">
      <c r="A1898">
        <v>1645.088573</v>
      </c>
      <c r="B1898" s="1">
        <f>DATE(2014,11,1) + TIME(2,7,32)</f>
        <v>41944.088564814818</v>
      </c>
      <c r="C1898">
        <v>0</v>
      </c>
      <c r="D1898">
        <v>2400</v>
      </c>
      <c r="E1898">
        <v>2400</v>
      </c>
      <c r="F1898">
        <v>0</v>
      </c>
      <c r="G1898">
        <v>1304.3691406</v>
      </c>
      <c r="H1898">
        <v>1292.5650635</v>
      </c>
      <c r="I1898">
        <v>1399.1293945</v>
      </c>
      <c r="J1898">
        <v>1377.4240723</v>
      </c>
      <c r="K1898">
        <v>80</v>
      </c>
      <c r="L1898">
        <v>79.941932678000001</v>
      </c>
      <c r="M1898">
        <v>50</v>
      </c>
      <c r="N1898">
        <v>42.899803161999998</v>
      </c>
    </row>
    <row r="1899" spans="1:14" x14ac:dyDescent="0.25">
      <c r="A1899">
        <v>1645.1583419999999</v>
      </c>
      <c r="B1899" s="1">
        <f>DATE(2014,11,1) + TIME(3,48,0)</f>
        <v>41944.158333333333</v>
      </c>
      <c r="C1899">
        <v>0</v>
      </c>
      <c r="D1899">
        <v>2400</v>
      </c>
      <c r="E1899">
        <v>2400</v>
      </c>
      <c r="F1899">
        <v>0</v>
      </c>
      <c r="G1899">
        <v>1303.6668701000001</v>
      </c>
      <c r="H1899">
        <v>1291.8392334</v>
      </c>
      <c r="I1899">
        <v>1399.4561768000001</v>
      </c>
      <c r="J1899">
        <v>1377.9221190999999</v>
      </c>
      <c r="K1899">
        <v>80</v>
      </c>
      <c r="L1899">
        <v>79.931251525999997</v>
      </c>
      <c r="M1899">
        <v>50</v>
      </c>
      <c r="N1899">
        <v>43.444286345999998</v>
      </c>
    </row>
    <row r="1900" spans="1:14" x14ac:dyDescent="0.25">
      <c r="A1900">
        <v>1645.232696</v>
      </c>
      <c r="B1900" s="1">
        <f>DATE(2014,11,1) + TIME(5,35,4)</f>
        <v>41944.232685185183</v>
      </c>
      <c r="C1900">
        <v>0</v>
      </c>
      <c r="D1900">
        <v>2400</v>
      </c>
      <c r="E1900">
        <v>2400</v>
      </c>
      <c r="F1900">
        <v>0</v>
      </c>
      <c r="G1900">
        <v>1303.5096435999999</v>
      </c>
      <c r="H1900">
        <v>1291.6767577999999</v>
      </c>
      <c r="I1900">
        <v>1399.2703856999999</v>
      </c>
      <c r="J1900">
        <v>1377.8994141000001</v>
      </c>
      <c r="K1900">
        <v>80</v>
      </c>
      <c r="L1900">
        <v>79.920196532999995</v>
      </c>
      <c r="M1900">
        <v>50</v>
      </c>
      <c r="N1900">
        <v>43.978225707999997</v>
      </c>
    </row>
    <row r="1901" spans="1:14" x14ac:dyDescent="0.25">
      <c r="A1901">
        <v>1645.312324</v>
      </c>
      <c r="B1901" s="1">
        <f>DATE(2014,11,1) + TIME(7,29,44)</f>
        <v>41944.312314814815</v>
      </c>
      <c r="C1901">
        <v>0</v>
      </c>
      <c r="D1901">
        <v>2400</v>
      </c>
      <c r="E1901">
        <v>2400</v>
      </c>
      <c r="F1901">
        <v>0</v>
      </c>
      <c r="G1901">
        <v>1303.4689940999999</v>
      </c>
      <c r="H1901">
        <v>1291.6350098</v>
      </c>
      <c r="I1901">
        <v>1399.0255127</v>
      </c>
      <c r="J1901">
        <v>1377.8110352000001</v>
      </c>
      <c r="K1901">
        <v>80</v>
      </c>
      <c r="L1901">
        <v>79.908653259000005</v>
      </c>
      <c r="M1901">
        <v>50</v>
      </c>
      <c r="N1901">
        <v>44.501289368000002</v>
      </c>
    </row>
    <row r="1902" spans="1:14" x14ac:dyDescent="0.25">
      <c r="A1902">
        <v>1645.3980839999999</v>
      </c>
      <c r="B1902" s="1">
        <f>DATE(2014,11,1) + TIME(9,33,14)</f>
        <v>41944.398078703707</v>
      </c>
      <c r="C1902">
        <v>0</v>
      </c>
      <c r="D1902">
        <v>2400</v>
      </c>
      <c r="E1902">
        <v>2400</v>
      </c>
      <c r="F1902">
        <v>0</v>
      </c>
      <c r="G1902">
        <v>1303.4555664</v>
      </c>
      <c r="H1902">
        <v>1291.6214600000001</v>
      </c>
      <c r="I1902">
        <v>1398.7843018000001</v>
      </c>
      <c r="J1902">
        <v>1377.7204589999999</v>
      </c>
      <c r="K1902">
        <v>80</v>
      </c>
      <c r="L1902">
        <v>79.896522521999998</v>
      </c>
      <c r="M1902">
        <v>50</v>
      </c>
      <c r="N1902">
        <v>45.013046265</v>
      </c>
    </row>
    <row r="1903" spans="1:14" x14ac:dyDescent="0.25">
      <c r="A1903">
        <v>1645.4910520000001</v>
      </c>
      <c r="B1903" s="1">
        <f>DATE(2014,11,1) + TIME(11,47,6)</f>
        <v>41944.491041666668</v>
      </c>
      <c r="C1903">
        <v>0</v>
      </c>
      <c r="D1903">
        <v>2400</v>
      </c>
      <c r="E1903">
        <v>2400</v>
      </c>
      <c r="F1903">
        <v>0</v>
      </c>
      <c r="G1903">
        <v>1303.4490966999999</v>
      </c>
      <c r="H1903">
        <v>1291.6149902</v>
      </c>
      <c r="I1903">
        <v>1398.552124</v>
      </c>
      <c r="J1903">
        <v>1377.6330565999999</v>
      </c>
      <c r="K1903">
        <v>80</v>
      </c>
      <c r="L1903">
        <v>79.883705139</v>
      </c>
      <c r="M1903">
        <v>50</v>
      </c>
      <c r="N1903">
        <v>45.512928008999999</v>
      </c>
    </row>
    <row r="1904" spans="1:14" x14ac:dyDescent="0.25">
      <c r="A1904">
        <v>1645.5925769999999</v>
      </c>
      <c r="B1904" s="1">
        <f>DATE(2014,11,1) + TIME(14,13,18)</f>
        <v>41944.592569444445</v>
      </c>
      <c r="C1904">
        <v>0</v>
      </c>
      <c r="D1904">
        <v>2400</v>
      </c>
      <c r="E1904">
        <v>2400</v>
      </c>
      <c r="F1904">
        <v>0</v>
      </c>
      <c r="G1904">
        <v>1303.4443358999999</v>
      </c>
      <c r="H1904">
        <v>1291.6101074000001</v>
      </c>
      <c r="I1904">
        <v>1398.3275146000001</v>
      </c>
      <c r="J1904">
        <v>1377.5476074000001</v>
      </c>
      <c r="K1904">
        <v>80</v>
      </c>
      <c r="L1904">
        <v>79.870063782000003</v>
      </c>
      <c r="M1904">
        <v>50</v>
      </c>
      <c r="N1904">
        <v>46.000144958</v>
      </c>
    </row>
    <row r="1905" spans="1:14" x14ac:dyDescent="0.25">
      <c r="A1905">
        <v>1645.7044370000001</v>
      </c>
      <c r="B1905" s="1">
        <f>DATE(2014,11,1) + TIME(16,54,23)</f>
        <v>41944.704432870371</v>
      </c>
      <c r="C1905">
        <v>0</v>
      </c>
      <c r="D1905">
        <v>2400</v>
      </c>
      <c r="E1905">
        <v>2400</v>
      </c>
      <c r="F1905">
        <v>0</v>
      </c>
      <c r="G1905">
        <v>1303.4396973</v>
      </c>
      <c r="H1905">
        <v>1291.6053466999999</v>
      </c>
      <c r="I1905">
        <v>1398.1094971</v>
      </c>
      <c r="J1905">
        <v>1377.4628906</v>
      </c>
      <c r="K1905">
        <v>80</v>
      </c>
      <c r="L1905">
        <v>79.855445861999996</v>
      </c>
      <c r="M1905">
        <v>50</v>
      </c>
      <c r="N1905">
        <v>46.473834990999997</v>
      </c>
    </row>
    <row r="1906" spans="1:14" x14ac:dyDescent="0.25">
      <c r="A1906">
        <v>1645.828998</v>
      </c>
      <c r="B1906" s="1">
        <f>DATE(2014,11,1) + TIME(19,53,45)</f>
        <v>41944.828993055555</v>
      </c>
      <c r="C1906">
        <v>0</v>
      </c>
      <c r="D1906">
        <v>2400</v>
      </c>
      <c r="E1906">
        <v>2400</v>
      </c>
      <c r="F1906">
        <v>0</v>
      </c>
      <c r="G1906">
        <v>1303.4348144999999</v>
      </c>
      <c r="H1906">
        <v>1291.6003418</v>
      </c>
      <c r="I1906">
        <v>1397.8975829999999</v>
      </c>
      <c r="J1906">
        <v>1377.3782959</v>
      </c>
      <c r="K1906">
        <v>80</v>
      </c>
      <c r="L1906">
        <v>79.839622497999997</v>
      </c>
      <c r="M1906">
        <v>50</v>
      </c>
      <c r="N1906">
        <v>46.93289566</v>
      </c>
    </row>
    <row r="1907" spans="1:14" x14ac:dyDescent="0.25">
      <c r="A1907">
        <v>1645.9694790000001</v>
      </c>
      <c r="B1907" s="1">
        <f>DATE(2014,11,1) + TIME(23,16,3)</f>
        <v>41944.96947916667</v>
      </c>
      <c r="C1907">
        <v>0</v>
      </c>
      <c r="D1907">
        <v>2400</v>
      </c>
      <c r="E1907">
        <v>2400</v>
      </c>
      <c r="F1907">
        <v>0</v>
      </c>
      <c r="G1907">
        <v>1303.4294434000001</v>
      </c>
      <c r="H1907">
        <v>1291.5948486</v>
      </c>
      <c r="I1907">
        <v>1397.6911620999999</v>
      </c>
      <c r="J1907">
        <v>1377.2932129000001</v>
      </c>
      <c r="K1907">
        <v>80</v>
      </c>
      <c r="L1907">
        <v>79.822319031000006</v>
      </c>
      <c r="M1907">
        <v>50</v>
      </c>
      <c r="N1907">
        <v>47.375888824</v>
      </c>
    </row>
    <row r="1908" spans="1:14" x14ac:dyDescent="0.25">
      <c r="A1908">
        <v>1646.1304279999999</v>
      </c>
      <c r="B1908" s="1">
        <f>DATE(2014,11,2) + TIME(3,7,48)</f>
        <v>41945.130416666667</v>
      </c>
      <c r="C1908">
        <v>0</v>
      </c>
      <c r="D1908">
        <v>2400</v>
      </c>
      <c r="E1908">
        <v>2400</v>
      </c>
      <c r="F1908">
        <v>0</v>
      </c>
      <c r="G1908">
        <v>1303.4235839999999</v>
      </c>
      <c r="H1908">
        <v>1291.588501</v>
      </c>
      <c r="I1908">
        <v>1397.4899902</v>
      </c>
      <c r="J1908">
        <v>1377.2070312000001</v>
      </c>
      <c r="K1908">
        <v>80</v>
      </c>
      <c r="L1908">
        <v>79.803146362000007</v>
      </c>
      <c r="M1908">
        <v>50</v>
      </c>
      <c r="N1908">
        <v>47.800945282000001</v>
      </c>
    </row>
    <row r="1909" spans="1:14" x14ac:dyDescent="0.25">
      <c r="A1909">
        <v>1646.3185169999999</v>
      </c>
      <c r="B1909" s="1">
        <f>DATE(2014,11,2) + TIME(7,38,39)</f>
        <v>41945.318506944444</v>
      </c>
      <c r="C1909">
        <v>0</v>
      </c>
      <c r="D1909">
        <v>2400</v>
      </c>
      <c r="E1909">
        <v>2400</v>
      </c>
      <c r="F1909">
        <v>0</v>
      </c>
      <c r="G1909">
        <v>1303.4169922000001</v>
      </c>
      <c r="H1909">
        <v>1291.5814209</v>
      </c>
      <c r="I1909">
        <v>1397.2938231999999</v>
      </c>
      <c r="J1909">
        <v>1377.1190185999999</v>
      </c>
      <c r="K1909">
        <v>80</v>
      </c>
      <c r="L1909">
        <v>79.781539917000003</v>
      </c>
      <c r="M1909">
        <v>50</v>
      </c>
      <c r="N1909">
        <v>48.205604553000001</v>
      </c>
    </row>
    <row r="1910" spans="1:14" x14ac:dyDescent="0.25">
      <c r="A1910">
        <v>1646.5440349999999</v>
      </c>
      <c r="B1910" s="1">
        <f>DATE(2014,11,2) + TIME(13,3,24)</f>
        <v>41945.544027777774</v>
      </c>
      <c r="C1910">
        <v>0</v>
      </c>
      <c r="D1910">
        <v>2400</v>
      </c>
      <c r="E1910">
        <v>2400</v>
      </c>
      <c r="F1910">
        <v>0</v>
      </c>
      <c r="G1910">
        <v>1303.4093018000001</v>
      </c>
      <c r="H1910">
        <v>1291.5731201000001</v>
      </c>
      <c r="I1910">
        <v>1397.1024170000001</v>
      </c>
      <c r="J1910">
        <v>1377.0281981999999</v>
      </c>
      <c r="K1910">
        <v>80</v>
      </c>
      <c r="L1910">
        <v>79.756683350000003</v>
      </c>
      <c r="M1910">
        <v>50</v>
      </c>
      <c r="N1910">
        <v>48.586544037000003</v>
      </c>
    </row>
    <row r="1911" spans="1:14" x14ac:dyDescent="0.25">
      <c r="A1911">
        <v>1646.802117</v>
      </c>
      <c r="B1911" s="1">
        <f>DATE(2014,11,2) + TIME(19,15,2)</f>
        <v>41945.802106481482</v>
      </c>
      <c r="C1911">
        <v>0</v>
      </c>
      <c r="D1911">
        <v>2400</v>
      </c>
      <c r="E1911">
        <v>2400</v>
      </c>
      <c r="F1911">
        <v>0</v>
      </c>
      <c r="G1911">
        <v>1303.4002685999999</v>
      </c>
      <c r="H1911">
        <v>1291.5633545000001</v>
      </c>
      <c r="I1911">
        <v>1396.925293</v>
      </c>
      <c r="J1911">
        <v>1376.9372559000001</v>
      </c>
      <c r="K1911">
        <v>80</v>
      </c>
      <c r="L1911">
        <v>79.729087829999997</v>
      </c>
      <c r="M1911">
        <v>50</v>
      </c>
      <c r="N1911">
        <v>48.918331146</v>
      </c>
    </row>
    <row r="1912" spans="1:14" x14ac:dyDescent="0.25">
      <c r="A1912">
        <v>1647.063058</v>
      </c>
      <c r="B1912" s="1">
        <f>DATE(2014,11,3) + TIME(1,30,48)</f>
        <v>41946.063055555554</v>
      </c>
      <c r="C1912">
        <v>0</v>
      </c>
      <c r="D1912">
        <v>2400</v>
      </c>
      <c r="E1912">
        <v>2400</v>
      </c>
      <c r="F1912">
        <v>0</v>
      </c>
      <c r="G1912">
        <v>1303.3901367000001</v>
      </c>
      <c r="H1912">
        <v>1291.5522461</v>
      </c>
      <c r="I1912">
        <v>1396.7756348</v>
      </c>
      <c r="J1912">
        <v>1376.8520507999999</v>
      </c>
      <c r="K1912">
        <v>80</v>
      </c>
      <c r="L1912">
        <v>79.701133728000002</v>
      </c>
      <c r="M1912">
        <v>50</v>
      </c>
      <c r="N1912">
        <v>49.172855376999998</v>
      </c>
    </row>
    <row r="1913" spans="1:14" x14ac:dyDescent="0.25">
      <c r="A1913">
        <v>1647.334719</v>
      </c>
      <c r="B1913" s="1">
        <f>DATE(2014,11,3) + TIME(8,1,59)</f>
        <v>41946.334710648145</v>
      </c>
      <c r="C1913">
        <v>0</v>
      </c>
      <c r="D1913">
        <v>2400</v>
      </c>
      <c r="E1913">
        <v>2400</v>
      </c>
      <c r="F1913">
        <v>0</v>
      </c>
      <c r="G1913">
        <v>1303.3798827999999</v>
      </c>
      <c r="H1913">
        <v>1291.5410156</v>
      </c>
      <c r="I1913">
        <v>1396.6472168</v>
      </c>
      <c r="J1913">
        <v>1376.7738036999999</v>
      </c>
      <c r="K1913">
        <v>80</v>
      </c>
      <c r="L1913">
        <v>79.672241210999999</v>
      </c>
      <c r="M1913">
        <v>50</v>
      </c>
      <c r="N1913">
        <v>49.371871947999999</v>
      </c>
    </row>
    <row r="1914" spans="1:14" x14ac:dyDescent="0.25">
      <c r="A1914">
        <v>1647.620956</v>
      </c>
      <c r="B1914" s="1">
        <f>DATE(2014,11,3) + TIME(14,54,10)</f>
        <v>41946.620949074073</v>
      </c>
      <c r="C1914">
        <v>0</v>
      </c>
      <c r="D1914">
        <v>2400</v>
      </c>
      <c r="E1914">
        <v>2400</v>
      </c>
      <c r="F1914">
        <v>0</v>
      </c>
      <c r="G1914">
        <v>1303.3693848</v>
      </c>
      <c r="H1914">
        <v>1291.5292969</v>
      </c>
      <c r="I1914">
        <v>1396.534668</v>
      </c>
      <c r="J1914">
        <v>1376.7004394999999</v>
      </c>
      <c r="K1914">
        <v>80</v>
      </c>
      <c r="L1914">
        <v>79.642112732000001</v>
      </c>
      <c r="M1914">
        <v>50</v>
      </c>
      <c r="N1914">
        <v>49.527259827000002</v>
      </c>
    </row>
    <row r="1915" spans="1:14" x14ac:dyDescent="0.25">
      <c r="A1915">
        <v>1647.924467</v>
      </c>
      <c r="B1915" s="1">
        <f>DATE(2014,11,3) + TIME(22,11,13)</f>
        <v>41946.924456018518</v>
      </c>
      <c r="C1915">
        <v>0</v>
      </c>
      <c r="D1915">
        <v>2400</v>
      </c>
      <c r="E1915">
        <v>2400</v>
      </c>
      <c r="F1915">
        <v>0</v>
      </c>
      <c r="G1915">
        <v>1303.3583983999999</v>
      </c>
      <c r="H1915">
        <v>1291.5170897999999</v>
      </c>
      <c r="I1915">
        <v>1396.4345702999999</v>
      </c>
      <c r="J1915">
        <v>1376.6306152</v>
      </c>
      <c r="K1915">
        <v>80</v>
      </c>
      <c r="L1915">
        <v>79.610549926999994</v>
      </c>
      <c r="M1915">
        <v>50</v>
      </c>
      <c r="N1915">
        <v>49.647483825999998</v>
      </c>
    </row>
    <row r="1916" spans="1:14" x14ac:dyDescent="0.25">
      <c r="A1916">
        <v>1648.2468060000001</v>
      </c>
      <c r="B1916" s="1">
        <f>DATE(2014,11,4) + TIME(5,55,24)</f>
        <v>41947.246805555558</v>
      </c>
      <c r="C1916">
        <v>0</v>
      </c>
      <c r="D1916">
        <v>2400</v>
      </c>
      <c r="E1916">
        <v>2400</v>
      </c>
      <c r="F1916">
        <v>0</v>
      </c>
      <c r="G1916">
        <v>1303.3469238</v>
      </c>
      <c r="H1916">
        <v>1291.5042725000001</v>
      </c>
      <c r="I1916">
        <v>1396.3446045000001</v>
      </c>
      <c r="J1916">
        <v>1376.5635986</v>
      </c>
      <c r="K1916">
        <v>80</v>
      </c>
      <c r="L1916">
        <v>79.577407836999996</v>
      </c>
      <c r="M1916">
        <v>50</v>
      </c>
      <c r="N1916">
        <v>49.739139557000001</v>
      </c>
    </row>
    <row r="1917" spans="1:14" x14ac:dyDescent="0.25">
      <c r="A1917">
        <v>1648.592967</v>
      </c>
      <c r="B1917" s="1">
        <f>DATE(2014,11,4) + TIME(14,13,52)</f>
        <v>41947.592962962961</v>
      </c>
      <c r="C1917">
        <v>0</v>
      </c>
      <c r="D1917">
        <v>2400</v>
      </c>
      <c r="E1917">
        <v>2400</v>
      </c>
      <c r="F1917">
        <v>0</v>
      </c>
      <c r="G1917">
        <v>1303.3348389</v>
      </c>
      <c r="H1917">
        <v>1291.4906006000001</v>
      </c>
      <c r="I1917">
        <v>1396.2624512</v>
      </c>
      <c r="J1917">
        <v>1376.4987793</v>
      </c>
      <c r="K1917">
        <v>80</v>
      </c>
      <c r="L1917">
        <v>79.542327881000006</v>
      </c>
      <c r="M1917">
        <v>50</v>
      </c>
      <c r="N1917">
        <v>49.808387756000002</v>
      </c>
    </row>
    <row r="1918" spans="1:14" x14ac:dyDescent="0.25">
      <c r="A1918">
        <v>1648.968932</v>
      </c>
      <c r="B1918" s="1">
        <f>DATE(2014,11,4) + TIME(23,15,15)</f>
        <v>41947.968923611108</v>
      </c>
      <c r="C1918">
        <v>0</v>
      </c>
      <c r="D1918">
        <v>2400</v>
      </c>
      <c r="E1918">
        <v>2400</v>
      </c>
      <c r="F1918">
        <v>0</v>
      </c>
      <c r="G1918">
        <v>1303.3218993999999</v>
      </c>
      <c r="H1918">
        <v>1291.4759521000001</v>
      </c>
      <c r="I1918">
        <v>1396.1859131000001</v>
      </c>
      <c r="J1918">
        <v>1376.4354248</v>
      </c>
      <c r="K1918">
        <v>80</v>
      </c>
      <c r="L1918">
        <v>79.504844665999997</v>
      </c>
      <c r="M1918">
        <v>50</v>
      </c>
      <c r="N1918">
        <v>49.860031128000003</v>
      </c>
    </row>
    <row r="1919" spans="1:14" x14ac:dyDescent="0.25">
      <c r="A1919">
        <v>1649.3823440000001</v>
      </c>
      <c r="B1919" s="1">
        <f>DATE(2014,11,5) + TIME(9,10,34)</f>
        <v>41948.382337962961</v>
      </c>
      <c r="C1919">
        <v>0</v>
      </c>
      <c r="D1919">
        <v>2400</v>
      </c>
      <c r="E1919">
        <v>2400</v>
      </c>
      <c r="F1919">
        <v>0</v>
      </c>
      <c r="G1919">
        <v>1303.3081055</v>
      </c>
      <c r="H1919">
        <v>1291.4602050999999</v>
      </c>
      <c r="I1919">
        <v>1396.1134033000001</v>
      </c>
      <c r="J1919">
        <v>1376.3725586</v>
      </c>
      <c r="K1919">
        <v>80</v>
      </c>
      <c r="L1919">
        <v>79.464393615999995</v>
      </c>
      <c r="M1919">
        <v>50</v>
      </c>
      <c r="N1919">
        <v>49.897895812999998</v>
      </c>
    </row>
    <row r="1920" spans="1:14" x14ac:dyDescent="0.25">
      <c r="A1920">
        <v>1649.8434130000001</v>
      </c>
      <c r="B1920" s="1">
        <f>DATE(2014,11,5) + TIME(20,14,30)</f>
        <v>41948.843402777777</v>
      </c>
      <c r="C1920">
        <v>0</v>
      </c>
      <c r="D1920">
        <v>2400</v>
      </c>
      <c r="E1920">
        <v>2400</v>
      </c>
      <c r="F1920">
        <v>0</v>
      </c>
      <c r="G1920">
        <v>1303.2929687999999</v>
      </c>
      <c r="H1920">
        <v>1291.4428711</v>
      </c>
      <c r="I1920">
        <v>1396.0430908000001</v>
      </c>
      <c r="J1920">
        <v>1376.3093262</v>
      </c>
      <c r="K1920">
        <v>80</v>
      </c>
      <c r="L1920">
        <v>79.420227050999998</v>
      </c>
      <c r="M1920">
        <v>50</v>
      </c>
      <c r="N1920">
        <v>49.925075530999997</v>
      </c>
    </row>
    <row r="1921" spans="1:14" x14ac:dyDescent="0.25">
      <c r="A1921">
        <v>1650.366323</v>
      </c>
      <c r="B1921" s="1">
        <f>DATE(2014,11,6) + TIME(8,47,30)</f>
        <v>41949.366319444445</v>
      </c>
      <c r="C1921">
        <v>0</v>
      </c>
      <c r="D1921">
        <v>2400</v>
      </c>
      <c r="E1921">
        <v>2400</v>
      </c>
      <c r="F1921">
        <v>0</v>
      </c>
      <c r="G1921">
        <v>1303.2762451000001</v>
      </c>
      <c r="H1921">
        <v>1291.4237060999999</v>
      </c>
      <c r="I1921">
        <v>1395.9733887</v>
      </c>
      <c r="J1921">
        <v>1376.2448730000001</v>
      </c>
      <c r="K1921">
        <v>80</v>
      </c>
      <c r="L1921">
        <v>79.371345520000006</v>
      </c>
      <c r="M1921">
        <v>50</v>
      </c>
      <c r="N1921">
        <v>49.944076537999997</v>
      </c>
    </row>
    <row r="1922" spans="1:14" x14ac:dyDescent="0.25">
      <c r="A1922">
        <v>1650.903499</v>
      </c>
      <c r="B1922" s="1">
        <f>DATE(2014,11,6) + TIME(21,41,2)</f>
        <v>41949.903495370374</v>
      </c>
      <c r="C1922">
        <v>0</v>
      </c>
      <c r="D1922">
        <v>2400</v>
      </c>
      <c r="E1922">
        <v>2400</v>
      </c>
      <c r="F1922">
        <v>0</v>
      </c>
      <c r="G1922">
        <v>1303.2572021000001</v>
      </c>
      <c r="H1922">
        <v>1291.4022216999999</v>
      </c>
      <c r="I1922">
        <v>1395.9033202999999</v>
      </c>
      <c r="J1922">
        <v>1376.1784668</v>
      </c>
      <c r="K1922">
        <v>80</v>
      </c>
      <c r="L1922">
        <v>79.320190429999997</v>
      </c>
      <c r="M1922">
        <v>50</v>
      </c>
      <c r="N1922">
        <v>49.956039429</v>
      </c>
    </row>
    <row r="1923" spans="1:14" x14ac:dyDescent="0.25">
      <c r="A1923">
        <v>1651.450047</v>
      </c>
      <c r="B1923" s="1">
        <f>DATE(2014,11,7) + TIME(10,48,4)</f>
        <v>41950.450046296297</v>
      </c>
      <c r="C1923">
        <v>0</v>
      </c>
      <c r="D1923">
        <v>2400</v>
      </c>
      <c r="E1923">
        <v>2400</v>
      </c>
      <c r="F1923">
        <v>0</v>
      </c>
      <c r="G1923">
        <v>1303.237793</v>
      </c>
      <c r="H1923">
        <v>1291.3800048999999</v>
      </c>
      <c r="I1923">
        <v>1395.8383789</v>
      </c>
      <c r="J1923">
        <v>1376.1162108999999</v>
      </c>
      <c r="K1923">
        <v>80</v>
      </c>
      <c r="L1923">
        <v>79.267532349000007</v>
      </c>
      <c r="M1923">
        <v>50</v>
      </c>
      <c r="N1923">
        <v>49.963489531999997</v>
      </c>
    </row>
    <row r="1924" spans="1:14" x14ac:dyDescent="0.25">
      <c r="A1924">
        <v>1652.0148859999999</v>
      </c>
      <c r="B1924" s="1">
        <f>DATE(2014,11,8) + TIME(0,21,26)</f>
        <v>41951.014884259261</v>
      </c>
      <c r="C1924">
        <v>0</v>
      </c>
      <c r="D1924">
        <v>2400</v>
      </c>
      <c r="E1924">
        <v>2400</v>
      </c>
      <c r="F1924">
        <v>0</v>
      </c>
      <c r="G1924">
        <v>1303.2181396000001</v>
      </c>
      <c r="H1924">
        <v>1291.3575439000001</v>
      </c>
      <c r="I1924">
        <v>1395.7779541</v>
      </c>
      <c r="J1924">
        <v>1376.0579834</v>
      </c>
      <c r="K1924">
        <v>80</v>
      </c>
      <c r="L1924">
        <v>79.213249207000004</v>
      </c>
      <c r="M1924">
        <v>50</v>
      </c>
      <c r="N1924">
        <v>49.968177795000003</v>
      </c>
    </row>
    <row r="1925" spans="1:14" x14ac:dyDescent="0.25">
      <c r="A1925">
        <v>1652.6065129999999</v>
      </c>
      <c r="B1925" s="1">
        <f>DATE(2014,11,8) + TIME(14,33,22)</f>
        <v>41951.606504629628</v>
      </c>
      <c r="C1925">
        <v>0</v>
      </c>
      <c r="D1925">
        <v>2400</v>
      </c>
      <c r="E1925">
        <v>2400</v>
      </c>
      <c r="F1925">
        <v>0</v>
      </c>
      <c r="G1925">
        <v>1303.1979980000001</v>
      </c>
      <c r="H1925">
        <v>1291.3342285000001</v>
      </c>
      <c r="I1925">
        <v>1395.7207031</v>
      </c>
      <c r="J1925">
        <v>1376.0025635</v>
      </c>
      <c r="K1925">
        <v>80</v>
      </c>
      <c r="L1925">
        <v>79.156959533999995</v>
      </c>
      <c r="M1925">
        <v>50</v>
      </c>
      <c r="N1925">
        <v>49.971145630000002</v>
      </c>
    </row>
    <row r="1926" spans="1:14" x14ac:dyDescent="0.25">
      <c r="A1926">
        <v>1653.234162</v>
      </c>
      <c r="B1926" s="1">
        <f>DATE(2014,11,9) + TIME(5,37,11)</f>
        <v>41952.234155092592</v>
      </c>
      <c r="C1926">
        <v>0</v>
      </c>
      <c r="D1926">
        <v>2400</v>
      </c>
      <c r="E1926">
        <v>2400</v>
      </c>
      <c r="F1926">
        <v>0</v>
      </c>
      <c r="G1926">
        <v>1303.1770019999999</v>
      </c>
      <c r="H1926">
        <v>1291.3099365</v>
      </c>
      <c r="I1926">
        <v>1395.6654053</v>
      </c>
      <c r="J1926">
        <v>1375.9489745999999</v>
      </c>
      <c r="K1926">
        <v>80</v>
      </c>
      <c r="L1926">
        <v>79.098136901999993</v>
      </c>
      <c r="M1926">
        <v>50</v>
      </c>
      <c r="N1926">
        <v>49.973033905000001</v>
      </c>
    </row>
    <row r="1927" spans="1:14" x14ac:dyDescent="0.25">
      <c r="A1927">
        <v>1653.9088919999999</v>
      </c>
      <c r="B1927" s="1">
        <f>DATE(2014,11,9) + TIME(21,48,48)</f>
        <v>41952.908888888887</v>
      </c>
      <c r="C1927">
        <v>0</v>
      </c>
      <c r="D1927">
        <v>2400</v>
      </c>
      <c r="E1927">
        <v>2400</v>
      </c>
      <c r="F1927">
        <v>0</v>
      </c>
      <c r="G1927">
        <v>1303.1547852000001</v>
      </c>
      <c r="H1927">
        <v>1291.2841797000001</v>
      </c>
      <c r="I1927">
        <v>1395.6109618999999</v>
      </c>
      <c r="J1927">
        <v>1375.8961182</v>
      </c>
      <c r="K1927">
        <v>80</v>
      </c>
      <c r="L1927">
        <v>79.036048889</v>
      </c>
      <c r="M1927">
        <v>50</v>
      </c>
      <c r="N1927">
        <v>49.974235534999998</v>
      </c>
    </row>
    <row r="1928" spans="1:14" x14ac:dyDescent="0.25">
      <c r="A1928">
        <v>1654.6442890000001</v>
      </c>
      <c r="B1928" s="1">
        <f>DATE(2014,11,10) + TIME(15,27,46)</f>
        <v>41953.644282407404</v>
      </c>
      <c r="C1928">
        <v>0</v>
      </c>
      <c r="D1928">
        <v>2400</v>
      </c>
      <c r="E1928">
        <v>2400</v>
      </c>
      <c r="F1928">
        <v>0</v>
      </c>
      <c r="G1928">
        <v>1303.1309814000001</v>
      </c>
      <c r="H1928">
        <v>1291.2565918</v>
      </c>
      <c r="I1928">
        <v>1395.5566406</v>
      </c>
      <c r="J1928">
        <v>1375.8436279</v>
      </c>
      <c r="K1928">
        <v>80</v>
      </c>
      <c r="L1928">
        <v>78.969779967999997</v>
      </c>
      <c r="M1928">
        <v>50</v>
      </c>
      <c r="N1928">
        <v>49.975002289000003</v>
      </c>
    </row>
    <row r="1929" spans="1:14" x14ac:dyDescent="0.25">
      <c r="A1929">
        <v>1655.4379260000001</v>
      </c>
      <c r="B1929" s="1">
        <f>DATE(2014,11,11) + TIME(10,30,36)</f>
        <v>41954.437916666669</v>
      </c>
      <c r="C1929">
        <v>0</v>
      </c>
      <c r="D1929">
        <v>2400</v>
      </c>
      <c r="E1929">
        <v>2400</v>
      </c>
      <c r="F1929">
        <v>0</v>
      </c>
      <c r="G1929">
        <v>1303.1052245999999</v>
      </c>
      <c r="H1929">
        <v>1291.2264404</v>
      </c>
      <c r="I1929">
        <v>1395.5015868999999</v>
      </c>
      <c r="J1929">
        <v>1375.7904053</v>
      </c>
      <c r="K1929">
        <v>80</v>
      </c>
      <c r="L1929">
        <v>78.89906311</v>
      </c>
      <c r="M1929">
        <v>50</v>
      </c>
      <c r="N1929">
        <v>49.975490569999998</v>
      </c>
    </row>
    <row r="1930" spans="1:14" x14ac:dyDescent="0.25">
      <c r="A1930">
        <v>1656.304474</v>
      </c>
      <c r="B1930" s="1">
        <f>DATE(2014,11,12) + TIME(7,18,26)</f>
        <v>41955.304467592592</v>
      </c>
      <c r="C1930">
        <v>0</v>
      </c>
      <c r="D1930">
        <v>2400</v>
      </c>
      <c r="E1930">
        <v>2400</v>
      </c>
      <c r="F1930">
        <v>0</v>
      </c>
      <c r="G1930">
        <v>1303.0772704999999</v>
      </c>
      <c r="H1930">
        <v>1291.1939697</v>
      </c>
      <c r="I1930">
        <v>1395.4464111</v>
      </c>
      <c r="J1930">
        <v>1375.7371826000001</v>
      </c>
      <c r="K1930">
        <v>80</v>
      </c>
      <c r="L1930">
        <v>78.823112488000007</v>
      </c>
      <c r="M1930">
        <v>50</v>
      </c>
      <c r="N1930">
        <v>49.975803374999998</v>
      </c>
    </row>
    <row r="1931" spans="1:14" x14ac:dyDescent="0.25">
      <c r="A1931">
        <v>1657.1738700000001</v>
      </c>
      <c r="B1931" s="1">
        <f>DATE(2014,11,13) + TIME(4,10,22)</f>
        <v>41956.17386574074</v>
      </c>
      <c r="C1931">
        <v>0</v>
      </c>
      <c r="D1931">
        <v>2400</v>
      </c>
      <c r="E1931">
        <v>2400</v>
      </c>
      <c r="F1931">
        <v>0</v>
      </c>
      <c r="G1931">
        <v>1303.0467529</v>
      </c>
      <c r="H1931">
        <v>1291.1586914</v>
      </c>
      <c r="I1931">
        <v>1395.3905029</v>
      </c>
      <c r="J1931">
        <v>1375.6833495999999</v>
      </c>
      <c r="K1931">
        <v>80</v>
      </c>
      <c r="L1931">
        <v>78.744621276999993</v>
      </c>
      <c r="M1931">
        <v>50</v>
      </c>
      <c r="N1931">
        <v>49.975994110000002</v>
      </c>
    </row>
    <row r="1932" spans="1:14" x14ac:dyDescent="0.25">
      <c r="A1932">
        <v>1658.059393</v>
      </c>
      <c r="B1932" s="1">
        <f>DATE(2014,11,14) + TIME(1,25,31)</f>
        <v>41957.059386574074</v>
      </c>
      <c r="C1932">
        <v>0</v>
      </c>
      <c r="D1932">
        <v>2400</v>
      </c>
      <c r="E1932">
        <v>2400</v>
      </c>
      <c r="F1932">
        <v>0</v>
      </c>
      <c r="G1932">
        <v>1303.0161132999999</v>
      </c>
      <c r="H1932">
        <v>1291.1229248</v>
      </c>
      <c r="I1932">
        <v>1395.3383789</v>
      </c>
      <c r="J1932">
        <v>1375.6331786999999</v>
      </c>
      <c r="K1932">
        <v>80</v>
      </c>
      <c r="L1932">
        <v>78.664489746000001</v>
      </c>
      <c r="M1932">
        <v>50</v>
      </c>
      <c r="N1932">
        <v>49.976116179999998</v>
      </c>
    </row>
    <row r="1933" spans="1:14" x14ac:dyDescent="0.25">
      <c r="A1933">
        <v>1658.9743639999999</v>
      </c>
      <c r="B1933" s="1">
        <f>DATE(2014,11,14) + TIME(23,23,5)</f>
        <v>41957.974363425928</v>
      </c>
      <c r="C1933">
        <v>0</v>
      </c>
      <c r="D1933">
        <v>2400</v>
      </c>
      <c r="E1933">
        <v>2400</v>
      </c>
      <c r="F1933">
        <v>0</v>
      </c>
      <c r="G1933">
        <v>1302.9848632999999</v>
      </c>
      <c r="H1933">
        <v>1291.0864257999999</v>
      </c>
      <c r="I1933">
        <v>1395.2886963000001</v>
      </c>
      <c r="J1933">
        <v>1375.5856934000001</v>
      </c>
      <c r="K1933">
        <v>80</v>
      </c>
      <c r="L1933">
        <v>78.582572936999995</v>
      </c>
      <c r="M1933">
        <v>50</v>
      </c>
      <c r="N1933">
        <v>49.976200104</v>
      </c>
    </row>
    <row r="1934" spans="1:14" x14ac:dyDescent="0.25">
      <c r="A1934">
        <v>1659.932198</v>
      </c>
      <c r="B1934" s="1">
        <f>DATE(2014,11,15) + TIME(22,22,21)</f>
        <v>41958.932187500002</v>
      </c>
      <c r="C1934">
        <v>0</v>
      </c>
      <c r="D1934">
        <v>2400</v>
      </c>
      <c r="E1934">
        <v>2400</v>
      </c>
      <c r="F1934">
        <v>0</v>
      </c>
      <c r="G1934">
        <v>1302.9526367000001</v>
      </c>
      <c r="H1934">
        <v>1291.0485839999999</v>
      </c>
      <c r="I1934">
        <v>1395.2406006000001</v>
      </c>
      <c r="J1934">
        <v>1375.5396728999999</v>
      </c>
      <c r="K1934">
        <v>80</v>
      </c>
      <c r="L1934">
        <v>78.498237610000004</v>
      </c>
      <c r="M1934">
        <v>50</v>
      </c>
      <c r="N1934">
        <v>49.976261139000002</v>
      </c>
    </row>
    <row r="1935" spans="1:14" x14ac:dyDescent="0.25">
      <c r="A1935">
        <v>1660.9481209999999</v>
      </c>
      <c r="B1935" s="1">
        <f>DATE(2014,11,16) + TIME(22,45,17)</f>
        <v>41959.948113425926</v>
      </c>
      <c r="C1935">
        <v>0</v>
      </c>
      <c r="D1935">
        <v>2400</v>
      </c>
      <c r="E1935">
        <v>2400</v>
      </c>
      <c r="F1935">
        <v>0</v>
      </c>
      <c r="G1935">
        <v>1302.9188231999999</v>
      </c>
      <c r="H1935">
        <v>1291.0089111</v>
      </c>
      <c r="I1935">
        <v>1395.1933594</v>
      </c>
      <c r="J1935">
        <v>1375.4943848</v>
      </c>
      <c r="K1935">
        <v>80</v>
      </c>
      <c r="L1935">
        <v>78.410552979000002</v>
      </c>
      <c r="M1935">
        <v>50</v>
      </c>
      <c r="N1935">
        <v>49.976306915000002</v>
      </c>
    </row>
    <row r="1936" spans="1:14" x14ac:dyDescent="0.25">
      <c r="A1936">
        <v>1662.040649</v>
      </c>
      <c r="B1936" s="1">
        <f>DATE(2014,11,18) + TIME(0,58,32)</f>
        <v>41961.040648148148</v>
      </c>
      <c r="C1936">
        <v>0</v>
      </c>
      <c r="D1936">
        <v>2400</v>
      </c>
      <c r="E1936">
        <v>2400</v>
      </c>
      <c r="F1936">
        <v>0</v>
      </c>
      <c r="G1936">
        <v>1302.8829346</v>
      </c>
      <c r="H1936">
        <v>1290.9665527</v>
      </c>
      <c r="I1936">
        <v>1395.1462402</v>
      </c>
      <c r="J1936">
        <v>1375.4493408000001</v>
      </c>
      <c r="K1936">
        <v>80</v>
      </c>
      <c r="L1936">
        <v>78.318321228000002</v>
      </c>
      <c r="M1936">
        <v>50</v>
      </c>
      <c r="N1936">
        <v>49.976345062</v>
      </c>
    </row>
    <row r="1937" spans="1:14" x14ac:dyDescent="0.25">
      <c r="A1937">
        <v>1663.233563</v>
      </c>
      <c r="B1937" s="1">
        <f>DATE(2014,11,19) + TIME(5,36,19)</f>
        <v>41962.233553240738</v>
      </c>
      <c r="C1937">
        <v>0</v>
      </c>
      <c r="D1937">
        <v>2400</v>
      </c>
      <c r="E1937">
        <v>2400</v>
      </c>
      <c r="F1937">
        <v>0</v>
      </c>
      <c r="G1937">
        <v>1302.8442382999999</v>
      </c>
      <c r="H1937">
        <v>1290.9208983999999</v>
      </c>
      <c r="I1937">
        <v>1395.0983887</v>
      </c>
      <c r="J1937">
        <v>1375.4038086</v>
      </c>
      <c r="K1937">
        <v>80</v>
      </c>
      <c r="L1937">
        <v>78.220046996999997</v>
      </c>
      <c r="M1937">
        <v>50</v>
      </c>
      <c r="N1937">
        <v>49.976375580000003</v>
      </c>
    </row>
    <row r="1938" spans="1:14" x14ac:dyDescent="0.25">
      <c r="A1938">
        <v>1664.461914</v>
      </c>
      <c r="B1938" s="1">
        <f>DATE(2014,11,20) + TIME(11,5,9)</f>
        <v>41963.461909722224</v>
      </c>
      <c r="C1938">
        <v>0</v>
      </c>
      <c r="D1938">
        <v>2400</v>
      </c>
      <c r="E1938">
        <v>2400</v>
      </c>
      <c r="F1938">
        <v>0</v>
      </c>
      <c r="G1938">
        <v>1302.8015137</v>
      </c>
      <c r="H1938">
        <v>1290.8708495999999</v>
      </c>
      <c r="I1938">
        <v>1395.0493164</v>
      </c>
      <c r="J1938">
        <v>1375.3570557</v>
      </c>
      <c r="K1938">
        <v>80</v>
      </c>
      <c r="L1938">
        <v>78.117042541999993</v>
      </c>
      <c r="M1938">
        <v>50</v>
      </c>
      <c r="N1938">
        <v>49.976402282999999</v>
      </c>
    </row>
    <row r="1939" spans="1:14" x14ac:dyDescent="0.25">
      <c r="A1939">
        <v>1665.705115</v>
      </c>
      <c r="B1939" s="1">
        <f>DATE(2014,11,21) + TIME(16,55,21)</f>
        <v>41964.705104166664</v>
      </c>
      <c r="C1939">
        <v>0</v>
      </c>
      <c r="D1939">
        <v>2400</v>
      </c>
      <c r="E1939">
        <v>2400</v>
      </c>
      <c r="F1939">
        <v>0</v>
      </c>
      <c r="G1939">
        <v>1302.7572021000001</v>
      </c>
      <c r="H1939">
        <v>1290.8186035000001</v>
      </c>
      <c r="I1939">
        <v>1395.0017089999999</v>
      </c>
      <c r="J1939">
        <v>1375.3116454999999</v>
      </c>
      <c r="K1939">
        <v>80</v>
      </c>
      <c r="L1939">
        <v>78.011589049999998</v>
      </c>
      <c r="M1939">
        <v>50</v>
      </c>
      <c r="N1939">
        <v>49.976428986000002</v>
      </c>
    </row>
    <row r="1940" spans="1:14" x14ac:dyDescent="0.25">
      <c r="A1940">
        <v>1666.982141</v>
      </c>
      <c r="B1940" s="1">
        <f>DATE(2014,11,22) + TIME(23,34,17)</f>
        <v>41965.982141203705</v>
      </c>
      <c r="C1940">
        <v>0</v>
      </c>
      <c r="D1940">
        <v>2400</v>
      </c>
      <c r="E1940">
        <v>2400</v>
      </c>
      <c r="F1940">
        <v>0</v>
      </c>
      <c r="G1940">
        <v>1302.7121582</v>
      </c>
      <c r="H1940">
        <v>1290.7652588000001</v>
      </c>
      <c r="I1940">
        <v>1394.9562988</v>
      </c>
      <c r="J1940">
        <v>1375.2684326000001</v>
      </c>
      <c r="K1940">
        <v>80</v>
      </c>
      <c r="L1940">
        <v>77.904327393000003</v>
      </c>
      <c r="M1940">
        <v>50</v>
      </c>
      <c r="N1940">
        <v>49.976451873999999</v>
      </c>
    </row>
    <row r="1941" spans="1:14" x14ac:dyDescent="0.25">
      <c r="A1941">
        <v>1668.312068</v>
      </c>
      <c r="B1941" s="1">
        <f>DATE(2014,11,24) + TIME(7,29,22)</f>
        <v>41967.312060185184</v>
      </c>
      <c r="C1941">
        <v>0</v>
      </c>
      <c r="D1941">
        <v>2400</v>
      </c>
      <c r="E1941">
        <v>2400</v>
      </c>
      <c r="F1941">
        <v>0</v>
      </c>
      <c r="G1941">
        <v>1302.6654053</v>
      </c>
      <c r="H1941">
        <v>1290.7098389</v>
      </c>
      <c r="I1941">
        <v>1394.9121094</v>
      </c>
      <c r="J1941">
        <v>1375.2264404</v>
      </c>
      <c r="K1941">
        <v>80</v>
      </c>
      <c r="L1941">
        <v>77.794654846</v>
      </c>
      <c r="M1941">
        <v>50</v>
      </c>
      <c r="N1941">
        <v>49.976474762000002</v>
      </c>
    </row>
    <row r="1942" spans="1:14" x14ac:dyDescent="0.25">
      <c r="A1942">
        <v>1669.7159799999999</v>
      </c>
      <c r="B1942" s="1">
        <f>DATE(2014,11,25) + TIME(17,11,0)</f>
        <v>41968.71597222222</v>
      </c>
      <c r="C1942">
        <v>0</v>
      </c>
      <c r="D1942">
        <v>2400</v>
      </c>
      <c r="E1942">
        <v>2400</v>
      </c>
      <c r="F1942">
        <v>0</v>
      </c>
      <c r="G1942">
        <v>1302.6163329999999</v>
      </c>
      <c r="H1942">
        <v>1290.6514893000001</v>
      </c>
      <c r="I1942">
        <v>1394.8686522999999</v>
      </c>
      <c r="J1942">
        <v>1375.1849365</v>
      </c>
      <c r="K1942">
        <v>80</v>
      </c>
      <c r="L1942">
        <v>77.681381225999999</v>
      </c>
      <c r="M1942">
        <v>50</v>
      </c>
      <c r="N1942">
        <v>49.976501464999998</v>
      </c>
    </row>
    <row r="1943" spans="1:14" x14ac:dyDescent="0.25">
      <c r="A1943">
        <v>1671.2162820000001</v>
      </c>
      <c r="B1943" s="1">
        <f>DATE(2014,11,27) + TIME(5,11,26)</f>
        <v>41970.216273148151</v>
      </c>
      <c r="C1943">
        <v>0</v>
      </c>
      <c r="D1943">
        <v>2400</v>
      </c>
      <c r="E1943">
        <v>2400</v>
      </c>
      <c r="F1943">
        <v>0</v>
      </c>
      <c r="G1943">
        <v>1302.5640868999999</v>
      </c>
      <c r="H1943">
        <v>1290.5892334</v>
      </c>
      <c r="I1943">
        <v>1394.8250731999999</v>
      </c>
      <c r="J1943">
        <v>1375.1434326000001</v>
      </c>
      <c r="K1943">
        <v>80</v>
      </c>
      <c r="L1943">
        <v>77.563064574999999</v>
      </c>
      <c r="M1943">
        <v>50</v>
      </c>
      <c r="N1943">
        <v>49.976524353000002</v>
      </c>
    </row>
    <row r="1944" spans="1:14" x14ac:dyDescent="0.25">
      <c r="A1944">
        <v>1672.8242310000001</v>
      </c>
      <c r="B1944" s="1">
        <f>DATE(2014,11,28) + TIME(19,46,53)</f>
        <v>41971.824224537035</v>
      </c>
      <c r="C1944">
        <v>0</v>
      </c>
      <c r="D1944">
        <v>2400</v>
      </c>
      <c r="E1944">
        <v>2400</v>
      </c>
      <c r="F1944">
        <v>0</v>
      </c>
      <c r="G1944">
        <v>1302.5074463000001</v>
      </c>
      <c r="H1944">
        <v>1290.5217285000001</v>
      </c>
      <c r="I1944">
        <v>1394.7807617000001</v>
      </c>
      <c r="J1944">
        <v>1375.1011963000001</v>
      </c>
      <c r="K1944">
        <v>80</v>
      </c>
      <c r="L1944">
        <v>77.438446045000006</v>
      </c>
      <c r="M1944">
        <v>50</v>
      </c>
      <c r="N1944">
        <v>49.976551055999998</v>
      </c>
    </row>
    <row r="1945" spans="1:14" x14ac:dyDescent="0.25">
      <c r="A1945">
        <v>1674.43218</v>
      </c>
      <c r="B1945" s="1">
        <f>DATE(2014,11,30) + TIME(10,22,20)</f>
        <v>41973.432175925926</v>
      </c>
      <c r="C1945">
        <v>0</v>
      </c>
      <c r="D1945">
        <v>2400</v>
      </c>
      <c r="E1945">
        <v>2400</v>
      </c>
      <c r="F1945">
        <v>0</v>
      </c>
      <c r="G1945">
        <v>1302.4456786999999</v>
      </c>
      <c r="H1945">
        <v>1290.4483643000001</v>
      </c>
      <c r="I1945">
        <v>1394.7357178</v>
      </c>
      <c r="J1945">
        <v>1375.0581055</v>
      </c>
      <c r="K1945">
        <v>80</v>
      </c>
      <c r="L1945">
        <v>77.309852599999999</v>
      </c>
      <c r="M1945">
        <v>50</v>
      </c>
      <c r="N1945">
        <v>49.976577759000001</v>
      </c>
    </row>
    <row r="1946" spans="1:14" x14ac:dyDescent="0.25">
      <c r="A1946">
        <v>1675</v>
      </c>
      <c r="B1946" s="1">
        <f>DATE(2014,12,1) + TIME(0,0,0)</f>
        <v>41974</v>
      </c>
      <c r="C1946">
        <v>0</v>
      </c>
      <c r="D1946">
        <v>2400</v>
      </c>
      <c r="E1946">
        <v>2400</v>
      </c>
      <c r="F1946">
        <v>0</v>
      </c>
      <c r="G1946">
        <v>1302.3812256000001</v>
      </c>
      <c r="H1946">
        <v>1290.3767089999999</v>
      </c>
      <c r="I1946">
        <v>1394.692749</v>
      </c>
      <c r="J1946">
        <v>1375.0169678</v>
      </c>
      <c r="K1946">
        <v>80</v>
      </c>
      <c r="L1946">
        <v>77.231681824000006</v>
      </c>
      <c r="M1946">
        <v>50</v>
      </c>
      <c r="N1946">
        <v>49.976585387999997</v>
      </c>
    </row>
    <row r="1947" spans="1:14" x14ac:dyDescent="0.25">
      <c r="A1947">
        <v>1676.66083</v>
      </c>
      <c r="B1947" s="1">
        <f>DATE(2014,12,2) + TIME(15,51,35)</f>
        <v>41975.660821759258</v>
      </c>
      <c r="C1947">
        <v>0</v>
      </c>
      <c r="D1947">
        <v>2400</v>
      </c>
      <c r="E1947">
        <v>2400</v>
      </c>
      <c r="F1947">
        <v>0</v>
      </c>
      <c r="G1947">
        <v>1302.3598632999999</v>
      </c>
      <c r="H1947">
        <v>1290.3442382999999</v>
      </c>
      <c r="I1947">
        <v>1394.6785889</v>
      </c>
      <c r="J1947">
        <v>1375.0031738</v>
      </c>
      <c r="K1947">
        <v>80</v>
      </c>
      <c r="L1947">
        <v>77.122497558999996</v>
      </c>
      <c r="M1947">
        <v>50</v>
      </c>
      <c r="N1947">
        <v>49.976615905999999</v>
      </c>
    </row>
    <row r="1948" spans="1:14" x14ac:dyDescent="0.25">
      <c r="A1948">
        <v>1678.3216609999999</v>
      </c>
      <c r="B1948" s="1">
        <f>DATE(2014,12,4) + TIME(7,43,11)</f>
        <v>41977.321655092594</v>
      </c>
      <c r="C1948">
        <v>0</v>
      </c>
      <c r="D1948">
        <v>2400</v>
      </c>
      <c r="E1948">
        <v>2400</v>
      </c>
      <c r="F1948">
        <v>0</v>
      </c>
      <c r="G1948">
        <v>1302.2940673999999</v>
      </c>
      <c r="H1948">
        <v>1290.2662353999999</v>
      </c>
      <c r="I1948">
        <v>1394.637207</v>
      </c>
      <c r="J1948">
        <v>1374.963501</v>
      </c>
      <c r="K1948">
        <v>80</v>
      </c>
      <c r="L1948">
        <v>76.998619079999997</v>
      </c>
      <c r="M1948">
        <v>50</v>
      </c>
      <c r="N1948">
        <v>49.976642609000002</v>
      </c>
    </row>
    <row r="1949" spans="1:14" x14ac:dyDescent="0.25">
      <c r="A1949">
        <v>1680.1260769999999</v>
      </c>
      <c r="B1949" s="1">
        <f>DATE(2014,12,6) + TIME(3,1,33)</f>
        <v>41979.126076388886</v>
      </c>
      <c r="C1949">
        <v>0</v>
      </c>
      <c r="D1949">
        <v>2400</v>
      </c>
      <c r="E1949">
        <v>2400</v>
      </c>
      <c r="F1949">
        <v>0</v>
      </c>
      <c r="G1949">
        <v>1302.2266846</v>
      </c>
      <c r="H1949">
        <v>1290.1851807</v>
      </c>
      <c r="I1949">
        <v>1394.5977783000001</v>
      </c>
      <c r="J1949">
        <v>1374.9255370999999</v>
      </c>
      <c r="K1949">
        <v>80</v>
      </c>
      <c r="L1949">
        <v>76.866874695000007</v>
      </c>
      <c r="M1949">
        <v>50</v>
      </c>
      <c r="N1949">
        <v>49.976673126000001</v>
      </c>
    </row>
    <row r="1950" spans="1:14" x14ac:dyDescent="0.25">
      <c r="A1950">
        <v>1682.033212</v>
      </c>
      <c r="B1950" s="1">
        <f>DATE(2014,12,8) + TIME(0,47,49)</f>
        <v>41981.033206018517</v>
      </c>
      <c r="C1950">
        <v>0</v>
      </c>
      <c r="D1950">
        <v>2400</v>
      </c>
      <c r="E1950">
        <v>2400</v>
      </c>
      <c r="F1950">
        <v>0</v>
      </c>
      <c r="G1950">
        <v>1302.1520995999999</v>
      </c>
      <c r="H1950">
        <v>1290.0954589999999</v>
      </c>
      <c r="I1950">
        <v>1394.5567627</v>
      </c>
      <c r="J1950">
        <v>1374.8858643000001</v>
      </c>
      <c r="K1950">
        <v>80</v>
      </c>
      <c r="L1950">
        <v>76.727050781000003</v>
      </c>
      <c r="M1950">
        <v>50</v>
      </c>
      <c r="N1950">
        <v>49.976707458</v>
      </c>
    </row>
    <row r="1951" spans="1:14" x14ac:dyDescent="0.25">
      <c r="A1951">
        <v>1684.082103</v>
      </c>
      <c r="B1951" s="1">
        <f>DATE(2014,12,10) + TIME(1,58,13)</f>
        <v>41983.082094907404</v>
      </c>
      <c r="C1951">
        <v>0</v>
      </c>
      <c r="D1951">
        <v>2400</v>
      </c>
      <c r="E1951">
        <v>2400</v>
      </c>
      <c r="F1951">
        <v>0</v>
      </c>
      <c r="G1951">
        <v>1302.0715332</v>
      </c>
      <c r="H1951">
        <v>1289.9980469</v>
      </c>
      <c r="I1951">
        <v>1394.5153809000001</v>
      </c>
      <c r="J1951">
        <v>1374.8457031</v>
      </c>
      <c r="K1951">
        <v>80</v>
      </c>
      <c r="L1951">
        <v>76.579452515</v>
      </c>
      <c r="M1951">
        <v>50</v>
      </c>
      <c r="N1951">
        <v>49.976741791000002</v>
      </c>
    </row>
    <row r="1952" spans="1:14" x14ac:dyDescent="0.25">
      <c r="A1952">
        <v>1686.130993</v>
      </c>
      <c r="B1952" s="1">
        <f>DATE(2014,12,12) + TIME(3,8,37)</f>
        <v>41985.130983796298</v>
      </c>
      <c r="C1952">
        <v>0</v>
      </c>
      <c r="D1952">
        <v>2400</v>
      </c>
      <c r="E1952">
        <v>2400</v>
      </c>
      <c r="F1952">
        <v>0</v>
      </c>
      <c r="G1952">
        <v>1301.9829102000001</v>
      </c>
      <c r="H1952">
        <v>1289.8909911999999</v>
      </c>
      <c r="I1952">
        <v>1394.4727783000001</v>
      </c>
      <c r="J1952">
        <v>1374.8040771000001</v>
      </c>
      <c r="K1952">
        <v>80</v>
      </c>
      <c r="L1952">
        <v>76.426292419000006</v>
      </c>
      <c r="M1952">
        <v>50</v>
      </c>
      <c r="N1952">
        <v>49.976776123</v>
      </c>
    </row>
    <row r="1953" spans="1:14" x14ac:dyDescent="0.25">
      <c r="A1953">
        <v>1688.1798839999999</v>
      </c>
      <c r="B1953" s="1">
        <f>DATE(2014,12,14) + TIME(4,19,1)</f>
        <v>41987.179872685185</v>
      </c>
      <c r="C1953">
        <v>0</v>
      </c>
      <c r="D1953">
        <v>2400</v>
      </c>
      <c r="E1953">
        <v>2400</v>
      </c>
      <c r="F1953">
        <v>0</v>
      </c>
      <c r="G1953">
        <v>1301.8917236</v>
      </c>
      <c r="H1953">
        <v>1289.7802733999999</v>
      </c>
      <c r="I1953">
        <v>1394.4321289</v>
      </c>
      <c r="J1953">
        <v>1374.7641602000001</v>
      </c>
      <c r="K1953">
        <v>80</v>
      </c>
      <c r="L1953">
        <v>76.272605896000002</v>
      </c>
      <c r="M1953">
        <v>50</v>
      </c>
      <c r="N1953">
        <v>49.976810454999999</v>
      </c>
    </row>
    <row r="1954" spans="1:14" x14ac:dyDescent="0.25">
      <c r="A1954">
        <v>1690.355507</v>
      </c>
      <c r="B1954" s="1">
        <f>DATE(2014,12,16) + TIME(8,31,55)</f>
        <v>41989.355497685188</v>
      </c>
      <c r="C1954">
        <v>0</v>
      </c>
      <c r="D1954">
        <v>2400</v>
      </c>
      <c r="E1954">
        <v>2400</v>
      </c>
      <c r="F1954">
        <v>0</v>
      </c>
      <c r="G1954">
        <v>1301.7980957</v>
      </c>
      <c r="H1954">
        <v>1289.6660156</v>
      </c>
      <c r="I1954">
        <v>1394.3930664</v>
      </c>
      <c r="J1954">
        <v>1374.7257079999999</v>
      </c>
      <c r="K1954">
        <v>80</v>
      </c>
      <c r="L1954">
        <v>76.117080688000001</v>
      </c>
      <c r="M1954">
        <v>50</v>
      </c>
      <c r="N1954">
        <v>49.976844788000001</v>
      </c>
    </row>
    <row r="1955" spans="1:14" x14ac:dyDescent="0.25">
      <c r="A1955">
        <v>1692.5311300000001</v>
      </c>
      <c r="B1955" s="1">
        <f>DATE(2014,12,18) + TIME(12,44,49)</f>
        <v>41991.531122685185</v>
      </c>
      <c r="C1955">
        <v>0</v>
      </c>
      <c r="D1955">
        <v>2400</v>
      </c>
      <c r="E1955">
        <v>2400</v>
      </c>
      <c r="F1955">
        <v>0</v>
      </c>
      <c r="G1955">
        <v>1301.6961670000001</v>
      </c>
      <c r="H1955">
        <v>1289.5418701000001</v>
      </c>
      <c r="I1955">
        <v>1394.3533935999999</v>
      </c>
      <c r="J1955">
        <v>1374.6862793</v>
      </c>
      <c r="K1955">
        <v>80</v>
      </c>
      <c r="L1955">
        <v>75.958236693999993</v>
      </c>
      <c r="M1955">
        <v>50</v>
      </c>
      <c r="N1955">
        <v>49.976882934999999</v>
      </c>
    </row>
    <row r="1956" spans="1:14" x14ac:dyDescent="0.25">
      <c r="A1956">
        <v>1694.7067529999999</v>
      </c>
      <c r="B1956" s="1">
        <f>DATE(2014,12,20) + TIME(16,57,43)</f>
        <v>41993.706747685188</v>
      </c>
      <c r="C1956">
        <v>0</v>
      </c>
      <c r="D1956">
        <v>2400</v>
      </c>
      <c r="E1956">
        <v>2400</v>
      </c>
      <c r="F1956">
        <v>0</v>
      </c>
      <c r="G1956">
        <v>1301.5911865</v>
      </c>
      <c r="H1956">
        <v>1289.4133300999999</v>
      </c>
      <c r="I1956">
        <v>1394.3151855000001</v>
      </c>
      <c r="J1956">
        <v>1374.6480713000001</v>
      </c>
      <c r="K1956">
        <v>80</v>
      </c>
      <c r="L1956">
        <v>75.799468993999994</v>
      </c>
      <c r="M1956">
        <v>50</v>
      </c>
      <c r="N1956">
        <v>49.976917266999997</v>
      </c>
    </row>
    <row r="1957" spans="1:14" x14ac:dyDescent="0.25">
      <c r="A1957">
        <v>1697.217412</v>
      </c>
      <c r="B1957" s="1">
        <f>DATE(2014,12,23) + TIME(5,13,4)</f>
        <v>41996.217407407406</v>
      </c>
      <c r="C1957">
        <v>0</v>
      </c>
      <c r="D1957">
        <v>2400</v>
      </c>
      <c r="E1957">
        <v>2400</v>
      </c>
      <c r="F1957">
        <v>0</v>
      </c>
      <c r="G1957">
        <v>1301.4832764</v>
      </c>
      <c r="H1957">
        <v>1289.2799072</v>
      </c>
      <c r="I1957">
        <v>1394.2785644999999</v>
      </c>
      <c r="J1957">
        <v>1374.6112060999999</v>
      </c>
      <c r="K1957">
        <v>80</v>
      </c>
      <c r="L1957">
        <v>75.635253906000003</v>
      </c>
      <c r="M1957">
        <v>50</v>
      </c>
      <c r="N1957">
        <v>49.976959229000002</v>
      </c>
    </row>
    <row r="1958" spans="1:14" x14ac:dyDescent="0.25">
      <c r="A1958">
        <v>1699.728071</v>
      </c>
      <c r="B1958" s="1">
        <f>DATE(2014,12,25) + TIME(17,28,25)</f>
        <v>41998.728067129632</v>
      </c>
      <c r="C1958">
        <v>0</v>
      </c>
      <c r="D1958">
        <v>2400</v>
      </c>
      <c r="E1958">
        <v>2400</v>
      </c>
      <c r="F1958">
        <v>0</v>
      </c>
      <c r="G1958">
        <v>1301.355957</v>
      </c>
      <c r="H1958">
        <v>1289.1237793</v>
      </c>
      <c r="I1958">
        <v>1394.2376709</v>
      </c>
      <c r="J1958">
        <v>1374.5698242000001</v>
      </c>
      <c r="K1958">
        <v>80</v>
      </c>
      <c r="L1958">
        <v>75.459304810000006</v>
      </c>
      <c r="M1958">
        <v>50</v>
      </c>
      <c r="N1958">
        <v>49.977001190000003</v>
      </c>
    </row>
    <row r="1959" spans="1:14" x14ac:dyDescent="0.25">
      <c r="A1959">
        <v>1702.2387289999999</v>
      </c>
      <c r="B1959" s="1">
        <f>DATE(2014,12,28) + TIME(5,43,46)</f>
        <v>42001.238726851851</v>
      </c>
      <c r="C1959">
        <v>0</v>
      </c>
      <c r="D1959">
        <v>2400</v>
      </c>
      <c r="E1959">
        <v>2400</v>
      </c>
      <c r="F1959">
        <v>0</v>
      </c>
      <c r="G1959">
        <v>1301.2237548999999</v>
      </c>
      <c r="H1959">
        <v>1288.9604492000001</v>
      </c>
      <c r="I1959">
        <v>1394.1983643000001</v>
      </c>
      <c r="J1959">
        <v>1374.5296631000001</v>
      </c>
      <c r="K1959">
        <v>80</v>
      </c>
      <c r="L1959">
        <v>75.281242371000005</v>
      </c>
      <c r="M1959">
        <v>50</v>
      </c>
      <c r="N1959">
        <v>49.977046967</v>
      </c>
    </row>
    <row r="1960" spans="1:14" x14ac:dyDescent="0.25">
      <c r="A1960">
        <v>1704.749388</v>
      </c>
      <c r="B1960" s="1">
        <f>DATE(2014,12,30) + TIME(17,59,7)</f>
        <v>42003.749386574076</v>
      </c>
      <c r="C1960">
        <v>0</v>
      </c>
      <c r="D1960">
        <v>2400</v>
      </c>
      <c r="E1960">
        <v>2400</v>
      </c>
      <c r="F1960">
        <v>0</v>
      </c>
      <c r="G1960">
        <v>1301.0870361</v>
      </c>
      <c r="H1960">
        <v>1288.7908935999999</v>
      </c>
      <c r="I1960">
        <v>1394.1605225000001</v>
      </c>
      <c r="J1960">
        <v>1374.4906006000001</v>
      </c>
      <c r="K1960">
        <v>80</v>
      </c>
      <c r="L1960">
        <v>75.103416443</v>
      </c>
      <c r="M1960">
        <v>50</v>
      </c>
      <c r="N1960">
        <v>49.977088928000001</v>
      </c>
    </row>
    <row r="1961" spans="1:14" x14ac:dyDescent="0.25">
      <c r="A1961">
        <v>1706</v>
      </c>
      <c r="B1961" s="1">
        <f>DATE(2015,1,1) + TIME(0,0,0)</f>
        <v>42005</v>
      </c>
      <c r="C1961">
        <v>0</v>
      </c>
      <c r="D1961">
        <v>2400</v>
      </c>
      <c r="E1961">
        <v>2400</v>
      </c>
      <c r="F1961">
        <v>0</v>
      </c>
      <c r="G1961">
        <v>1300.9467772999999</v>
      </c>
      <c r="H1961">
        <v>1288.6213379000001</v>
      </c>
      <c r="I1961">
        <v>1394.1236572</v>
      </c>
      <c r="J1961">
        <v>1374.4522704999999</v>
      </c>
      <c r="K1961">
        <v>80</v>
      </c>
      <c r="L1961">
        <v>74.963371276999993</v>
      </c>
      <c r="M1961">
        <v>50</v>
      </c>
      <c r="N1961">
        <v>49.977108002000001</v>
      </c>
    </row>
    <row r="1962" spans="1:14" x14ac:dyDescent="0.25">
      <c r="A1962">
        <v>1708.765416</v>
      </c>
      <c r="B1962" s="1">
        <f>DATE(2015,1,3) + TIME(18,22,11)</f>
        <v>42007.765405092592</v>
      </c>
      <c r="C1962">
        <v>0</v>
      </c>
      <c r="D1962">
        <v>2400</v>
      </c>
      <c r="E1962">
        <v>2400</v>
      </c>
      <c r="F1962">
        <v>0</v>
      </c>
      <c r="G1962">
        <v>1300.8686522999999</v>
      </c>
      <c r="H1962">
        <v>1288.5161132999999</v>
      </c>
      <c r="I1962">
        <v>1394.1065673999999</v>
      </c>
      <c r="J1962">
        <v>1374.4337158000001</v>
      </c>
      <c r="K1962">
        <v>80</v>
      </c>
      <c r="L1962">
        <v>74.821052550999994</v>
      </c>
      <c r="M1962">
        <v>50</v>
      </c>
      <c r="N1962">
        <v>49.977157593000001</v>
      </c>
    </row>
    <row r="1963" spans="1:14" x14ac:dyDescent="0.25">
      <c r="A1963">
        <v>1711.530833</v>
      </c>
      <c r="B1963" s="1">
        <f>DATE(2015,1,6) + TIME(12,44,23)</f>
        <v>42010.530821759261</v>
      </c>
      <c r="C1963">
        <v>0</v>
      </c>
      <c r="D1963">
        <v>2400</v>
      </c>
      <c r="E1963">
        <v>2400</v>
      </c>
      <c r="F1963">
        <v>0</v>
      </c>
      <c r="G1963">
        <v>1300.7105713000001</v>
      </c>
      <c r="H1963">
        <v>1288.3208007999999</v>
      </c>
      <c r="I1963">
        <v>1394.0683594</v>
      </c>
      <c r="J1963">
        <v>1374.3935547000001</v>
      </c>
      <c r="K1963">
        <v>80</v>
      </c>
      <c r="L1963">
        <v>74.639610290999997</v>
      </c>
      <c r="M1963">
        <v>50</v>
      </c>
      <c r="N1963">
        <v>49.977203369000001</v>
      </c>
    </row>
    <row r="1964" spans="1:14" x14ac:dyDescent="0.25">
      <c r="A1964">
        <v>1714.296249</v>
      </c>
      <c r="B1964" s="1">
        <f>DATE(2015,1,9) + TIME(7,6,35)</f>
        <v>42013.296238425923</v>
      </c>
      <c r="C1964">
        <v>0</v>
      </c>
      <c r="D1964">
        <v>2400</v>
      </c>
      <c r="E1964">
        <v>2400</v>
      </c>
      <c r="F1964">
        <v>0</v>
      </c>
      <c r="G1964">
        <v>1300.5433350000001</v>
      </c>
      <c r="H1964">
        <v>1288.1114502</v>
      </c>
      <c r="I1964">
        <v>1394.0313721</v>
      </c>
      <c r="J1964">
        <v>1374.3542480000001</v>
      </c>
      <c r="K1964">
        <v>80</v>
      </c>
      <c r="L1964">
        <v>74.448692321999999</v>
      </c>
      <c r="M1964">
        <v>50</v>
      </c>
      <c r="N1964">
        <v>49.977249145999998</v>
      </c>
    </row>
    <row r="1965" spans="1:14" x14ac:dyDescent="0.25">
      <c r="A1965">
        <v>1717.0616649999999</v>
      </c>
      <c r="B1965" s="1">
        <f>DATE(2015,1,12) + TIME(1,28,47)</f>
        <v>42016.061655092592</v>
      </c>
      <c r="C1965">
        <v>0</v>
      </c>
      <c r="D1965">
        <v>2400</v>
      </c>
      <c r="E1965">
        <v>2400</v>
      </c>
      <c r="F1965">
        <v>0</v>
      </c>
      <c r="G1965">
        <v>1300.3698730000001</v>
      </c>
      <c r="H1965">
        <v>1287.8930664</v>
      </c>
      <c r="I1965">
        <v>1393.9957274999999</v>
      </c>
      <c r="J1965">
        <v>1374.3156738</v>
      </c>
      <c r="K1965">
        <v>80</v>
      </c>
      <c r="L1965">
        <v>74.255218506000006</v>
      </c>
      <c r="M1965">
        <v>50</v>
      </c>
      <c r="N1965">
        <v>49.977294921999999</v>
      </c>
    </row>
    <row r="1966" spans="1:14" x14ac:dyDescent="0.25">
      <c r="A1966">
        <v>1719.827082</v>
      </c>
      <c r="B1966" s="1">
        <f>DATE(2015,1,14) + TIME(19,50,59)</f>
        <v>42018.82707175926</v>
      </c>
      <c r="C1966">
        <v>0</v>
      </c>
      <c r="D1966">
        <v>2400</v>
      </c>
      <c r="E1966">
        <v>2400</v>
      </c>
      <c r="F1966">
        <v>0</v>
      </c>
      <c r="G1966">
        <v>1300.1906738</v>
      </c>
      <c r="H1966">
        <v>1287.6667480000001</v>
      </c>
      <c r="I1966">
        <v>1393.9610596</v>
      </c>
      <c r="J1966">
        <v>1374.277832</v>
      </c>
      <c r="K1966">
        <v>80</v>
      </c>
      <c r="L1966">
        <v>74.060569763000004</v>
      </c>
      <c r="M1966">
        <v>50</v>
      </c>
      <c r="N1966">
        <v>49.977340697999999</v>
      </c>
    </row>
    <row r="1967" spans="1:14" x14ac:dyDescent="0.25">
      <c r="A1967">
        <v>1722.592498</v>
      </c>
      <c r="B1967" s="1">
        <f>DATE(2015,1,17) + TIME(14,13,11)</f>
        <v>42021.592488425929</v>
      </c>
      <c r="C1967">
        <v>0</v>
      </c>
      <c r="D1967">
        <v>2400</v>
      </c>
      <c r="E1967">
        <v>2400</v>
      </c>
      <c r="F1967">
        <v>0</v>
      </c>
      <c r="G1967">
        <v>1300.0061035000001</v>
      </c>
      <c r="H1967">
        <v>1287.4324951000001</v>
      </c>
      <c r="I1967">
        <v>1393.9274902</v>
      </c>
      <c r="J1967">
        <v>1374.2408447</v>
      </c>
      <c r="K1967">
        <v>80</v>
      </c>
      <c r="L1967">
        <v>73.864784240999995</v>
      </c>
      <c r="M1967">
        <v>50</v>
      </c>
      <c r="N1967">
        <v>49.977390288999999</v>
      </c>
    </row>
    <row r="1968" spans="1:14" x14ac:dyDescent="0.25">
      <c r="A1968">
        <v>1725.3579139999999</v>
      </c>
      <c r="B1968" s="1">
        <f>DATE(2015,1,20) + TIME(8,35,23)</f>
        <v>42024.357905092591</v>
      </c>
      <c r="C1968">
        <v>0</v>
      </c>
      <c r="D1968">
        <v>2400</v>
      </c>
      <c r="E1968">
        <v>2400</v>
      </c>
      <c r="F1968">
        <v>0</v>
      </c>
      <c r="G1968">
        <v>1299.8160399999999</v>
      </c>
      <c r="H1968">
        <v>1287.1905518000001</v>
      </c>
      <c r="I1968">
        <v>1393.8947754000001</v>
      </c>
      <c r="J1968">
        <v>1374.2044678</v>
      </c>
      <c r="K1968">
        <v>80</v>
      </c>
      <c r="L1968">
        <v>73.667549132999994</v>
      </c>
      <c r="M1968">
        <v>50</v>
      </c>
      <c r="N1968">
        <v>49.977436066000003</v>
      </c>
    </row>
    <row r="1969" spans="1:14" x14ac:dyDescent="0.25">
      <c r="A1969">
        <v>1728.123331</v>
      </c>
      <c r="B1969" s="1">
        <f>DATE(2015,1,23) + TIME(2,57,35)</f>
        <v>42027.12332175926</v>
      </c>
      <c r="C1969">
        <v>0</v>
      </c>
      <c r="D1969">
        <v>2400</v>
      </c>
      <c r="E1969">
        <v>2400</v>
      </c>
      <c r="F1969">
        <v>0</v>
      </c>
      <c r="G1969">
        <v>1299.6206055</v>
      </c>
      <c r="H1969">
        <v>1286.940918</v>
      </c>
      <c r="I1969">
        <v>1393.8630370999999</v>
      </c>
      <c r="J1969">
        <v>1374.1687012</v>
      </c>
      <c r="K1969">
        <v>80</v>
      </c>
      <c r="L1969">
        <v>73.468475342000005</v>
      </c>
      <c r="M1969">
        <v>50</v>
      </c>
      <c r="N1969">
        <v>49.977481842000003</v>
      </c>
    </row>
    <row r="1970" spans="1:14" x14ac:dyDescent="0.25">
      <c r="A1970">
        <v>1731.212133</v>
      </c>
      <c r="B1970" s="1">
        <f>DATE(2015,1,26) + TIME(5,5,28)</f>
        <v>42030.212129629632</v>
      </c>
      <c r="C1970">
        <v>0</v>
      </c>
      <c r="D1970">
        <v>2400</v>
      </c>
      <c r="E1970">
        <v>2400</v>
      </c>
      <c r="F1970">
        <v>0</v>
      </c>
      <c r="G1970">
        <v>1299.4194336</v>
      </c>
      <c r="H1970">
        <v>1286.682251</v>
      </c>
      <c r="I1970">
        <v>1393.8321533000001</v>
      </c>
      <c r="J1970">
        <v>1374.1335449000001</v>
      </c>
      <c r="K1970">
        <v>80</v>
      </c>
      <c r="L1970">
        <v>73.261886597</v>
      </c>
      <c r="M1970">
        <v>50</v>
      </c>
      <c r="N1970">
        <v>49.977535248000002</v>
      </c>
    </row>
    <row r="1971" spans="1:14" x14ac:dyDescent="0.25">
      <c r="A1971">
        <v>1734.3009360000001</v>
      </c>
      <c r="B1971" s="1">
        <f>DATE(2015,1,29) + TIME(7,13,20)</f>
        <v>42033.300925925927</v>
      </c>
      <c r="C1971">
        <v>0</v>
      </c>
      <c r="D1971">
        <v>2400</v>
      </c>
      <c r="E1971">
        <v>2400</v>
      </c>
      <c r="F1971">
        <v>0</v>
      </c>
      <c r="G1971">
        <v>1299.1920166</v>
      </c>
      <c r="H1971">
        <v>1286.3905029</v>
      </c>
      <c r="I1971">
        <v>1393.7983397999999</v>
      </c>
      <c r="J1971">
        <v>1374.0950928</v>
      </c>
      <c r="K1971">
        <v>80</v>
      </c>
      <c r="L1971">
        <v>73.038162231000001</v>
      </c>
      <c r="M1971">
        <v>50</v>
      </c>
      <c r="N1971">
        <v>49.977584839000002</v>
      </c>
    </row>
    <row r="1972" spans="1:14" x14ac:dyDescent="0.25">
      <c r="A1972">
        <v>1737</v>
      </c>
      <c r="B1972" s="1">
        <f>DATE(2015,2,1) + TIME(0,0,0)</f>
        <v>42036</v>
      </c>
      <c r="C1972">
        <v>0</v>
      </c>
      <c r="D1972">
        <v>2400</v>
      </c>
      <c r="E1972">
        <v>2400</v>
      </c>
      <c r="F1972">
        <v>0</v>
      </c>
      <c r="G1972">
        <v>1298.9567870999999</v>
      </c>
      <c r="H1972">
        <v>1286.0880127</v>
      </c>
      <c r="I1972">
        <v>1393.7653809000001</v>
      </c>
      <c r="J1972">
        <v>1374.0570068</v>
      </c>
      <c r="K1972">
        <v>80</v>
      </c>
      <c r="L1972">
        <v>72.814651488999999</v>
      </c>
      <c r="M1972">
        <v>50</v>
      </c>
      <c r="N1972">
        <v>49.977630615000002</v>
      </c>
    </row>
    <row r="1973" spans="1:14" x14ac:dyDescent="0.25">
      <c r="A1973">
        <v>1740.0888030000001</v>
      </c>
      <c r="B1973" s="1">
        <f>DATE(2015,2,4) + TIME(2,7,52)</f>
        <v>42039.088796296295</v>
      </c>
      <c r="C1973">
        <v>0</v>
      </c>
      <c r="D1973">
        <v>2400</v>
      </c>
      <c r="E1973">
        <v>2400</v>
      </c>
      <c r="F1973">
        <v>0</v>
      </c>
      <c r="G1973">
        <v>1298.7409668</v>
      </c>
      <c r="H1973">
        <v>1285.8059082</v>
      </c>
      <c r="I1973">
        <v>1393.7374268000001</v>
      </c>
      <c r="J1973">
        <v>1374.0240478999999</v>
      </c>
      <c r="K1973">
        <v>80</v>
      </c>
      <c r="L1973">
        <v>72.596405028999996</v>
      </c>
      <c r="M1973">
        <v>50</v>
      </c>
      <c r="N1973">
        <v>49.977684021000002</v>
      </c>
    </row>
    <row r="1974" spans="1:14" x14ac:dyDescent="0.25">
      <c r="A1974">
        <v>1743.177606</v>
      </c>
      <c r="B1974" s="1">
        <f>DATE(2015,2,7) + TIME(4,15,45)</f>
        <v>42042.177604166667</v>
      </c>
      <c r="C1974">
        <v>0</v>
      </c>
      <c r="D1974">
        <v>2400</v>
      </c>
      <c r="E1974">
        <v>2400</v>
      </c>
      <c r="F1974">
        <v>0</v>
      </c>
      <c r="G1974">
        <v>1298.4958495999999</v>
      </c>
      <c r="H1974">
        <v>1285.487793</v>
      </c>
      <c r="I1974">
        <v>1393.7059326000001</v>
      </c>
      <c r="J1974">
        <v>1373.9873047000001</v>
      </c>
      <c r="K1974">
        <v>80</v>
      </c>
      <c r="L1974">
        <v>72.359870911000002</v>
      </c>
      <c r="M1974">
        <v>50</v>
      </c>
      <c r="N1974">
        <v>49.977733612000002</v>
      </c>
    </row>
    <row r="1975" spans="1:14" x14ac:dyDescent="0.25">
      <c r="A1975">
        <v>1746.266408</v>
      </c>
      <c r="B1975" s="1">
        <f>DATE(2015,2,10) + TIME(6,23,37)</f>
        <v>42045.266400462962</v>
      </c>
      <c r="C1975">
        <v>0</v>
      </c>
      <c r="D1975">
        <v>2400</v>
      </c>
      <c r="E1975">
        <v>2400</v>
      </c>
      <c r="F1975">
        <v>0</v>
      </c>
      <c r="G1975">
        <v>1298.2426757999999</v>
      </c>
      <c r="H1975">
        <v>1285.1571045000001</v>
      </c>
      <c r="I1975">
        <v>1393.6751709</v>
      </c>
      <c r="J1975">
        <v>1373.9509277</v>
      </c>
      <c r="K1975">
        <v>80</v>
      </c>
      <c r="L1975">
        <v>72.114868164000001</v>
      </c>
      <c r="M1975">
        <v>50</v>
      </c>
      <c r="N1975">
        <v>49.977787018000001</v>
      </c>
    </row>
    <row r="1976" spans="1:14" x14ac:dyDescent="0.25">
      <c r="A1976">
        <v>1749.3552110000001</v>
      </c>
      <c r="B1976" s="1">
        <f>DATE(2015,2,13) + TIME(8,31,30)</f>
        <v>42048.355208333334</v>
      </c>
      <c r="C1976">
        <v>0</v>
      </c>
      <c r="D1976">
        <v>2400</v>
      </c>
      <c r="E1976">
        <v>2400</v>
      </c>
      <c r="F1976">
        <v>0</v>
      </c>
      <c r="G1976">
        <v>1297.9833983999999</v>
      </c>
      <c r="H1976">
        <v>1284.8170166</v>
      </c>
      <c r="I1976">
        <v>1393.6448975000001</v>
      </c>
      <c r="J1976">
        <v>1373.9150391000001</v>
      </c>
      <c r="K1976">
        <v>80</v>
      </c>
      <c r="L1976">
        <v>71.863235474000007</v>
      </c>
      <c r="M1976">
        <v>50</v>
      </c>
      <c r="N1976">
        <v>49.977836609000001</v>
      </c>
    </row>
    <row r="1977" spans="1:14" x14ac:dyDescent="0.25">
      <c r="A1977">
        <v>1752.4440139999999</v>
      </c>
      <c r="B1977" s="1">
        <f>DATE(2015,2,16) + TIME(10,39,22)</f>
        <v>42051.444004629629</v>
      </c>
      <c r="C1977">
        <v>0</v>
      </c>
      <c r="D1977">
        <v>2400</v>
      </c>
      <c r="E1977">
        <v>2400</v>
      </c>
      <c r="F1977">
        <v>0</v>
      </c>
      <c r="G1977">
        <v>1297.7186279</v>
      </c>
      <c r="H1977">
        <v>1284.4682617000001</v>
      </c>
      <c r="I1977">
        <v>1393.6153564000001</v>
      </c>
      <c r="J1977">
        <v>1373.8795166</v>
      </c>
      <c r="K1977">
        <v>80</v>
      </c>
      <c r="L1977">
        <v>71.604988098000007</v>
      </c>
      <c r="M1977">
        <v>50</v>
      </c>
      <c r="N1977">
        <v>49.9778862</v>
      </c>
    </row>
    <row r="1978" spans="1:14" x14ac:dyDescent="0.25">
      <c r="A1978">
        <v>1755.532817</v>
      </c>
      <c r="B1978" s="1">
        <f>DATE(2015,2,19) + TIME(12,47,15)</f>
        <v>42054.532812500001</v>
      </c>
      <c r="C1978">
        <v>0</v>
      </c>
      <c r="D1978">
        <v>2400</v>
      </c>
      <c r="E1978">
        <v>2400</v>
      </c>
      <c r="F1978">
        <v>0</v>
      </c>
      <c r="G1978">
        <v>1297.4487305</v>
      </c>
      <c r="H1978">
        <v>1284.1112060999999</v>
      </c>
      <c r="I1978">
        <v>1393.5863036999999</v>
      </c>
      <c r="J1978">
        <v>1373.8444824000001</v>
      </c>
      <c r="K1978">
        <v>80</v>
      </c>
      <c r="L1978">
        <v>71.339790343999994</v>
      </c>
      <c r="M1978">
        <v>50</v>
      </c>
      <c r="N1978">
        <v>49.977935791</v>
      </c>
    </row>
    <row r="1979" spans="1:14" x14ac:dyDescent="0.25">
      <c r="A1979">
        <v>1758.6216199999999</v>
      </c>
      <c r="B1979" s="1">
        <f>DATE(2015,2,22) + TIME(14,55,7)</f>
        <v>42057.621608796297</v>
      </c>
      <c r="C1979">
        <v>0</v>
      </c>
      <c r="D1979">
        <v>2400</v>
      </c>
      <c r="E1979">
        <v>2400</v>
      </c>
      <c r="F1979">
        <v>0</v>
      </c>
      <c r="G1979">
        <v>1297.1738281</v>
      </c>
      <c r="H1979">
        <v>1283.7460937999999</v>
      </c>
      <c r="I1979">
        <v>1393.5576172000001</v>
      </c>
      <c r="J1979">
        <v>1373.8099365</v>
      </c>
      <c r="K1979">
        <v>80</v>
      </c>
      <c r="L1979">
        <v>71.067268372000001</v>
      </c>
      <c r="M1979">
        <v>50</v>
      </c>
      <c r="N1979">
        <v>49.977985382</v>
      </c>
    </row>
    <row r="1980" spans="1:14" x14ac:dyDescent="0.25">
      <c r="A1980">
        <v>1761.7104220000001</v>
      </c>
      <c r="B1980" s="1">
        <f>DATE(2015,2,25) + TIME(17,3,0)</f>
        <v>42060.710416666669</v>
      </c>
      <c r="C1980">
        <v>0</v>
      </c>
      <c r="D1980">
        <v>2400</v>
      </c>
      <c r="E1980">
        <v>2400</v>
      </c>
      <c r="F1980">
        <v>0</v>
      </c>
      <c r="G1980">
        <v>1296.8941649999999</v>
      </c>
      <c r="H1980">
        <v>1283.3732910000001</v>
      </c>
      <c r="I1980">
        <v>1393.5295410000001</v>
      </c>
      <c r="J1980">
        <v>1373.7757568</v>
      </c>
      <c r="K1980">
        <v>80</v>
      </c>
      <c r="L1980">
        <v>70.787048339999998</v>
      </c>
      <c r="M1980">
        <v>50</v>
      </c>
      <c r="N1980">
        <v>49.978034973</v>
      </c>
    </row>
    <row r="1981" spans="1:14" x14ac:dyDescent="0.25">
      <c r="A1981">
        <v>1764.799225</v>
      </c>
      <c r="B1981" s="1">
        <f>DATE(2015,2,28) + TIME(19,10,53)</f>
        <v>42063.799224537041</v>
      </c>
      <c r="C1981">
        <v>0</v>
      </c>
      <c r="D1981">
        <v>2400</v>
      </c>
      <c r="E1981">
        <v>2400</v>
      </c>
      <c r="F1981">
        <v>0</v>
      </c>
      <c r="G1981">
        <v>1296.6101074000001</v>
      </c>
      <c r="H1981">
        <v>1282.9931641000001</v>
      </c>
      <c r="I1981">
        <v>1393.5017089999999</v>
      </c>
      <c r="J1981">
        <v>1373.7419434000001</v>
      </c>
      <c r="K1981">
        <v>80</v>
      </c>
      <c r="L1981">
        <v>70.498840332</v>
      </c>
      <c r="M1981">
        <v>50</v>
      </c>
      <c r="N1981">
        <v>49.978084564</v>
      </c>
    </row>
    <row r="1982" spans="1:14" x14ac:dyDescent="0.25">
      <c r="A1982">
        <v>1765</v>
      </c>
      <c r="B1982" s="1">
        <f>DATE(2015,3,1) + TIME(0,0,0)</f>
        <v>42064</v>
      </c>
      <c r="C1982">
        <v>0</v>
      </c>
      <c r="D1982">
        <v>2400</v>
      </c>
      <c r="E1982">
        <v>2400</v>
      </c>
      <c r="F1982">
        <v>0</v>
      </c>
      <c r="G1982">
        <v>1296.3496094</v>
      </c>
      <c r="H1982">
        <v>1282.6831055</v>
      </c>
      <c r="I1982">
        <v>1393.4741211</v>
      </c>
      <c r="J1982">
        <v>1373.7106934000001</v>
      </c>
      <c r="K1982">
        <v>80</v>
      </c>
      <c r="L1982">
        <v>70.426818847999996</v>
      </c>
      <c r="M1982">
        <v>50</v>
      </c>
      <c r="N1982">
        <v>49.978088378999999</v>
      </c>
    </row>
    <row r="1983" spans="1:14" x14ac:dyDescent="0.25">
      <c r="A1983">
        <v>1768.0888030000001</v>
      </c>
      <c r="B1983" s="1">
        <f>DATE(2015,3,4) + TIME(2,7,52)</f>
        <v>42067.088796296295</v>
      </c>
      <c r="C1983">
        <v>0</v>
      </c>
      <c r="D1983">
        <v>2400</v>
      </c>
      <c r="E1983">
        <v>2400</v>
      </c>
      <c r="F1983">
        <v>0</v>
      </c>
      <c r="G1983">
        <v>1296.2935791</v>
      </c>
      <c r="H1983">
        <v>1282.5651855000001</v>
      </c>
      <c r="I1983">
        <v>1393.4725341999999</v>
      </c>
      <c r="J1983">
        <v>1373.7056885</v>
      </c>
      <c r="K1983">
        <v>80</v>
      </c>
      <c r="L1983">
        <v>70.171134949000006</v>
      </c>
      <c r="M1983">
        <v>50</v>
      </c>
      <c r="N1983">
        <v>49.978137969999999</v>
      </c>
    </row>
    <row r="1984" spans="1:14" x14ac:dyDescent="0.25">
      <c r="A1984">
        <v>1771.177606</v>
      </c>
      <c r="B1984" s="1">
        <f>DATE(2015,3,7) + TIME(4,15,45)</f>
        <v>42070.177604166667</v>
      </c>
      <c r="C1984">
        <v>0</v>
      </c>
      <c r="D1984">
        <v>2400</v>
      </c>
      <c r="E1984">
        <v>2400</v>
      </c>
      <c r="F1984">
        <v>0</v>
      </c>
      <c r="G1984">
        <v>1296.0087891000001</v>
      </c>
      <c r="H1984">
        <v>1282.1827393000001</v>
      </c>
      <c r="I1984">
        <v>1393.4454346</v>
      </c>
      <c r="J1984">
        <v>1373.6732178</v>
      </c>
      <c r="K1984">
        <v>80</v>
      </c>
      <c r="L1984">
        <v>69.874717712000006</v>
      </c>
      <c r="M1984">
        <v>50</v>
      </c>
      <c r="N1984">
        <v>49.978187560999999</v>
      </c>
    </row>
    <row r="1985" spans="1:14" x14ac:dyDescent="0.25">
      <c r="A1985">
        <v>1774.266408</v>
      </c>
      <c r="B1985" s="1">
        <f>DATE(2015,3,10) + TIME(6,23,37)</f>
        <v>42073.266400462962</v>
      </c>
      <c r="C1985">
        <v>0</v>
      </c>
      <c r="D1985">
        <v>2400</v>
      </c>
      <c r="E1985">
        <v>2400</v>
      </c>
      <c r="F1985">
        <v>0</v>
      </c>
      <c r="G1985">
        <v>1295.7143555</v>
      </c>
      <c r="H1985">
        <v>1281.7843018000001</v>
      </c>
      <c r="I1985">
        <v>1393.4185791</v>
      </c>
      <c r="J1985">
        <v>1373.6405029</v>
      </c>
      <c r="K1985">
        <v>80</v>
      </c>
      <c r="L1985">
        <v>69.562370299999998</v>
      </c>
      <c r="M1985">
        <v>50</v>
      </c>
      <c r="N1985">
        <v>49.978233336999999</v>
      </c>
    </row>
    <row r="1986" spans="1:14" x14ac:dyDescent="0.25">
      <c r="A1986">
        <v>1777.362224</v>
      </c>
      <c r="B1986" s="1">
        <f>DATE(2015,3,13) + TIME(8,41,36)</f>
        <v>42076.362222222226</v>
      </c>
      <c r="C1986">
        <v>0</v>
      </c>
      <c r="D1986">
        <v>2400</v>
      </c>
      <c r="E1986">
        <v>2400</v>
      </c>
      <c r="F1986">
        <v>0</v>
      </c>
      <c r="G1986">
        <v>1295.4155272999999</v>
      </c>
      <c r="H1986">
        <v>1281.3776855000001</v>
      </c>
      <c r="I1986">
        <v>1393.3920897999999</v>
      </c>
      <c r="J1986">
        <v>1373.6081543</v>
      </c>
      <c r="K1986">
        <v>80</v>
      </c>
      <c r="L1986">
        <v>69.239364624000004</v>
      </c>
      <c r="M1986">
        <v>50</v>
      </c>
      <c r="N1986">
        <v>49.978282927999999</v>
      </c>
    </row>
    <row r="1987" spans="1:14" x14ac:dyDescent="0.25">
      <c r="A1987">
        <v>1780.495185</v>
      </c>
      <c r="B1987" s="1">
        <f>DATE(2015,3,16) + TIME(11,53,3)</f>
        <v>42079.495173611111</v>
      </c>
      <c r="C1987">
        <v>0</v>
      </c>
      <c r="D1987">
        <v>2400</v>
      </c>
      <c r="E1987">
        <v>2400</v>
      </c>
      <c r="F1987">
        <v>0</v>
      </c>
      <c r="G1987">
        <v>1295.1126709</v>
      </c>
      <c r="H1987">
        <v>1280.9641113</v>
      </c>
      <c r="I1987">
        <v>1393.3657227000001</v>
      </c>
      <c r="J1987">
        <v>1373.5759277</v>
      </c>
      <c r="K1987">
        <v>80</v>
      </c>
      <c r="L1987">
        <v>68.905662536999998</v>
      </c>
      <c r="M1987">
        <v>50</v>
      </c>
      <c r="N1987">
        <v>49.978328705000003</v>
      </c>
    </row>
    <row r="1988" spans="1:14" x14ac:dyDescent="0.25">
      <c r="A1988">
        <v>1783.6700499999999</v>
      </c>
      <c r="B1988" s="1">
        <f>DATE(2015,3,19) + TIME(16,4,52)</f>
        <v>42082.670046296298</v>
      </c>
      <c r="C1988">
        <v>0</v>
      </c>
      <c r="D1988">
        <v>2400</v>
      </c>
      <c r="E1988">
        <v>2400</v>
      </c>
      <c r="F1988">
        <v>0</v>
      </c>
      <c r="G1988">
        <v>1294.8038329999999</v>
      </c>
      <c r="H1988">
        <v>1280.5405272999999</v>
      </c>
      <c r="I1988">
        <v>1393.3392334</v>
      </c>
      <c r="J1988">
        <v>1373.5438231999999</v>
      </c>
      <c r="K1988">
        <v>80</v>
      </c>
      <c r="L1988">
        <v>68.559143066000004</v>
      </c>
      <c r="M1988">
        <v>50</v>
      </c>
      <c r="N1988">
        <v>49.978378296000002</v>
      </c>
    </row>
    <row r="1989" spans="1:14" x14ac:dyDescent="0.25">
      <c r="A1989">
        <v>1786.844916</v>
      </c>
      <c r="B1989" s="1">
        <f>DATE(2015,3,22) + TIME(20,16,40)</f>
        <v>42085.844907407409</v>
      </c>
      <c r="C1989">
        <v>0</v>
      </c>
      <c r="D1989">
        <v>2400</v>
      </c>
      <c r="E1989">
        <v>2400</v>
      </c>
      <c r="F1989">
        <v>0</v>
      </c>
      <c r="G1989">
        <v>1294.4886475000001</v>
      </c>
      <c r="H1989">
        <v>1280.1066894999999</v>
      </c>
      <c r="I1989">
        <v>1393.3125</v>
      </c>
      <c r="J1989">
        <v>1373.5114745999999</v>
      </c>
      <c r="K1989">
        <v>80</v>
      </c>
      <c r="L1989">
        <v>68.199798584000007</v>
      </c>
      <c r="M1989">
        <v>50</v>
      </c>
      <c r="N1989">
        <v>49.978424072000003</v>
      </c>
    </row>
    <row r="1990" spans="1:14" x14ac:dyDescent="0.25">
      <c r="A1990">
        <v>1790.019781</v>
      </c>
      <c r="B1990" s="1">
        <f>DATE(2015,3,26) + TIME(0,28,29)</f>
        <v>42089.019780092596</v>
      </c>
      <c r="C1990">
        <v>0</v>
      </c>
      <c r="D1990">
        <v>2400</v>
      </c>
      <c r="E1990">
        <v>2400</v>
      </c>
      <c r="F1990">
        <v>0</v>
      </c>
      <c r="G1990">
        <v>1294.1705322</v>
      </c>
      <c r="H1990">
        <v>1279.6671143000001</v>
      </c>
      <c r="I1990">
        <v>1393.2860106999999</v>
      </c>
      <c r="J1990">
        <v>1373.4793701000001</v>
      </c>
      <c r="K1990">
        <v>80</v>
      </c>
      <c r="L1990">
        <v>67.830337524000001</v>
      </c>
      <c r="M1990">
        <v>50</v>
      </c>
      <c r="N1990">
        <v>49.978473663000003</v>
      </c>
    </row>
    <row r="1991" spans="1:14" x14ac:dyDescent="0.25">
      <c r="A1991">
        <v>1793.1946459999999</v>
      </c>
      <c r="B1991" s="1">
        <f>DATE(2015,3,29) + TIME(4,40,17)</f>
        <v>42092.194641203707</v>
      </c>
      <c r="C1991">
        <v>0</v>
      </c>
      <c r="D1991">
        <v>2400</v>
      </c>
      <c r="E1991">
        <v>2400</v>
      </c>
      <c r="F1991">
        <v>0</v>
      </c>
      <c r="G1991">
        <v>1293.8503418</v>
      </c>
      <c r="H1991">
        <v>1279.2229004000001</v>
      </c>
      <c r="I1991">
        <v>1393.2596435999999</v>
      </c>
      <c r="J1991">
        <v>1373.4475098</v>
      </c>
      <c r="K1991">
        <v>80</v>
      </c>
      <c r="L1991">
        <v>67.451484679999993</v>
      </c>
      <c r="M1991">
        <v>50</v>
      </c>
      <c r="N1991">
        <v>49.978519439999999</v>
      </c>
    </row>
    <row r="1992" spans="1:14" x14ac:dyDescent="0.25">
      <c r="A1992">
        <v>1796</v>
      </c>
      <c r="B1992" s="1">
        <f>DATE(2015,4,1) + TIME(0,0,0)</f>
        <v>42095</v>
      </c>
      <c r="C1992">
        <v>0</v>
      </c>
      <c r="D1992">
        <v>2400</v>
      </c>
      <c r="E1992">
        <v>2400</v>
      </c>
      <c r="F1992">
        <v>0</v>
      </c>
      <c r="G1992">
        <v>1293.5294189000001</v>
      </c>
      <c r="H1992">
        <v>1278.777832</v>
      </c>
      <c r="I1992">
        <v>1393.2332764</v>
      </c>
      <c r="J1992">
        <v>1373.4158935999999</v>
      </c>
      <c r="K1992">
        <v>80</v>
      </c>
      <c r="L1992">
        <v>67.073936462000006</v>
      </c>
      <c r="M1992">
        <v>50</v>
      </c>
      <c r="N1992">
        <v>49.978561401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2022-06-01T07:13:50Z</dcterms:created>
  <dcterms:modified xsi:type="dcterms:W3CDTF">2022-06-01T07:14:30Z</dcterms:modified>
</cp:coreProperties>
</file>